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MAY TINH KHANH LOC\AppData\Roaming\VNPT Plugin\Files\FileTemp\"/>
    </mc:Choice>
  </mc:AlternateContent>
  <xr:revisionPtr revIDLastSave="0" documentId="13_ncr:1_{4CE76680-C53C-4B56-947E-8CF3CA673B06}" xr6:coauthVersionLast="47" xr6:coauthVersionMax="47" xr10:uidLastSave="{00000000-0000-0000-0000-000000000000}"/>
  <bookViews>
    <workbookView xWindow="-108" yWindow="-108" windowWidth="23256" windowHeight="12456" tabRatio="822" firstSheet="4" activeTab="4" xr2:uid="{00000000-000D-0000-FFFF-FFFF00000000}"/>
  </bookViews>
  <sheets>
    <sheet name="results" sheetId="45" state="veryHidden" r:id="rId1"/>
    <sheet name="SGV" sheetId="46" state="hidden" r:id="rId2"/>
    <sheet name="SGV_2" sheetId="47" state="veryHidden" r:id="rId3"/>
    <sheet name="SGV_3" sheetId="48" state="veryHidden" r:id="rId4"/>
    <sheet name="2. TMĐT" sheetId="43" r:id="rId5"/>
    <sheet name="3. THKPHM" sheetId="42" state="hidden" r:id="rId6"/>
    <sheet name="4.THKPHM" sheetId="17" state="hidden" r:id="rId7"/>
    <sheet name="5.Tiên lượng" sheetId="1" state="hidden" r:id="rId8"/>
    <sheet name="6.Chiết tính" sheetId="18" state="hidden" r:id="rId9"/>
    <sheet name="Giá VL" sheetId="2" state="hidden" r:id="rId10"/>
    <sheet name="THVL" sheetId="3" state="hidden" r:id="rId11"/>
    <sheet name="Cước ô tô" sheetId="4" state="hidden" r:id="rId12"/>
    <sheet name="Cước ô tô mới" sheetId="5" state="hidden" r:id="rId13"/>
    <sheet name="Cước sông" sheetId="6" state="hidden" r:id="rId14"/>
    <sheet name="Cước TC" sheetId="7" state="hidden" r:id="rId15"/>
    <sheet name="Giá NC" sheetId="8" state="hidden" r:id="rId16"/>
    <sheet name="THNC" sheetId="9" state="hidden" r:id="rId17"/>
    <sheet name="Tính giá NC" sheetId="10" state="hidden" r:id="rId18"/>
    <sheet name="Giá Máy" sheetId="11" state="hidden" r:id="rId19"/>
    <sheet name="THM" sheetId="12" state="hidden" r:id="rId20"/>
    <sheet name="Bù giá CM" sheetId="13" state="hidden" r:id="rId21"/>
    <sheet name="7.Tính giá CM" sheetId="14" state="hidden" r:id="rId22"/>
    <sheet name="THNL" sheetId="15" state="hidden" r:id="rId23"/>
    <sheet name="THTL" sheetId="16" state="hidden" r:id="rId24"/>
    <sheet name="8.ĐGTH" sheetId="19" state="hidden" r:id="rId25"/>
    <sheet name="Tổng hợp VT" sheetId="20" state="hidden" r:id="rId26"/>
    <sheet name="GGTXD" sheetId="21" state="hidden" r:id="rId27"/>
    <sheet name="PTVT" sheetId="22" state="hidden" r:id="rId28"/>
    <sheet name="THDGDT" sheetId="23" state="hidden" r:id="rId29"/>
    <sheet name="THCPXD" sheetId="24" state="hidden" r:id="rId30"/>
    <sheet name="THCPTB" sheetId="25" state="hidden" r:id="rId31"/>
    <sheet name="HM chung" sheetId="26" state="hidden" r:id="rId32"/>
    <sheet name="Bìa ngoài" sheetId="27" state="hidden" r:id="rId33"/>
    <sheet name="Bìa trong" sheetId="28" state="hidden" r:id="rId34"/>
    <sheet name="Thuyết minh" sheetId="29" state="hidden" r:id="rId35"/>
    <sheet name="Thông tin" sheetId="30" state="hidden" r:id="rId36"/>
    <sheet name="Nội suy" sheetId="31" state="hidden" r:id="rId37"/>
    <sheet name="Chiết tính rút gọn" sheetId="32" state="hidden" r:id="rId38"/>
    <sheet name="ĐGTH rút gọn" sheetId="33" state="hidden" r:id="rId39"/>
    <sheet name="Giá vữa" sheetId="34" state="hidden" r:id="rId40"/>
    <sheet name="Sheet1" sheetId="35" state="hidden" r:id="rId41"/>
    <sheet name="QT_PL08b" sheetId="36" state="hidden" r:id="rId42"/>
    <sheet name="QT_PL03a" sheetId="37" state="hidden" r:id="rId43"/>
    <sheet name="QT_PL03b" sheetId="38" state="hidden" r:id="rId44"/>
    <sheet name="QT_PL04" sheetId="39" state="hidden" r:id="rId45"/>
    <sheet name="QT_PL05" sheetId="40" state="hidden" r:id="rId46"/>
    <sheet name="QT_PL06" sheetId="41" state="hidden" r:id="rId47"/>
  </sheets>
  <externalReferences>
    <externalReference r:id="rId48"/>
    <externalReference r:id="rId49"/>
    <externalReference r:id="rId50"/>
    <externalReference r:id="rId51"/>
    <externalReference r:id="rId52"/>
    <externalReference r:id="rId53"/>
  </externalReferences>
  <definedNames>
    <definedName name="________a1" localSheetId="4" hidden="1">{"'Sheet1'!$L$16"}</definedName>
    <definedName name="________a1" hidden="1">{"'Sheet1'!$L$16"}</definedName>
    <definedName name="________a129" localSheetId="4" hidden="1">{"Offgrid",#N/A,FALSE,"OFFGRID";"Region",#N/A,FALSE,"REGION";"Offgrid -2",#N/A,FALSE,"OFFGRID";"WTP",#N/A,FALSE,"WTP";"WTP -2",#N/A,FALSE,"WTP";"Project",#N/A,FALSE,"PROJECT";"Summary -2",#N/A,FALSE,"SUMMARY"}</definedName>
    <definedName name="________a129" hidden="1">{"Offgrid",#N/A,FALSE,"OFFGRID";"Region",#N/A,FALSE,"REGION";"Offgrid -2",#N/A,FALSE,"OFFGRID";"WTP",#N/A,FALSE,"WTP";"WTP -2",#N/A,FALSE,"WTP";"Project",#N/A,FALSE,"PROJECT";"Summary -2",#N/A,FALSE,"SUMMARY"}</definedName>
    <definedName name="________a130" localSheetId="4"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a2" localSheetId="4" hidden="1">{#N/A,#N/A,FALSE,"Chi tiÆt"}</definedName>
    <definedName name="________a2" hidden="1">{#N/A,#N/A,FALSE,"Chi tiÆt"}</definedName>
    <definedName name="________Goi8" localSheetId="4" hidden="1">{"'Sheet1'!$L$16"}</definedName>
    <definedName name="________Goi8" hidden="1">{"'Sheet1'!$L$16"}</definedName>
    <definedName name="________Lan1" localSheetId="4" hidden="1">{"'Sheet1'!$L$16"}</definedName>
    <definedName name="________Lan1" hidden="1">{"'Sheet1'!$L$16"}</definedName>
    <definedName name="________LAN3" localSheetId="4" hidden="1">{"'Sheet1'!$L$16"}</definedName>
    <definedName name="________LAN3" hidden="1">{"'Sheet1'!$L$16"}</definedName>
    <definedName name="________M36" localSheetId="4" hidden="1">{"'Sheet1'!$L$16"}</definedName>
    <definedName name="________M36" hidden="1">{"'Sheet1'!$L$16"}</definedName>
    <definedName name="________NSO2" localSheetId="4" hidden="1">{"'Sheet1'!$L$16"}</definedName>
    <definedName name="________NSO2" hidden="1">{"'Sheet1'!$L$16"}</definedName>
    <definedName name="________PA3" localSheetId="4" hidden="1">{"'Sheet1'!$L$16"}</definedName>
    <definedName name="________PA3" hidden="1">{"'Sheet1'!$L$16"}</definedName>
    <definedName name="________td1" localSheetId="4" hidden="1">{"'Sheet1'!$L$16"}</definedName>
    <definedName name="________td1" hidden="1">{"'Sheet1'!$L$16"}</definedName>
    <definedName name="________tt3" localSheetId="4" hidden="1">{"'Sheet1'!$L$16"}</definedName>
    <definedName name="________tt3" hidden="1">{"'Sheet1'!$L$16"}</definedName>
    <definedName name="______a129" localSheetId="4" hidden="1">{"Offgrid",#N/A,FALSE,"OFFGRID";"Region",#N/A,FALSE,"REGION";"Offgrid -2",#N/A,FALSE,"OFFGRID";"WTP",#N/A,FALSE,"WTP";"WTP -2",#N/A,FALSE,"WTP";"Project",#N/A,FALSE,"PROJECT";"Summary -2",#N/A,FALSE,"SUMMARY"}</definedName>
    <definedName name="______a129" hidden="1">{"Offgrid",#N/A,FALSE,"OFFGRID";"Region",#N/A,FALSE,"REGION";"Offgrid -2",#N/A,FALSE,"OFFGRID";"WTP",#N/A,FALSE,"WTP";"WTP -2",#N/A,FALSE,"WTP";"Project",#N/A,FALSE,"PROJECT";"Summary -2",#N/A,FALSE,"SUMMARY"}</definedName>
    <definedName name="______a130" localSheetId="4"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a2" localSheetId="4" hidden="1">{#N/A,#N/A,FALSE,"Chi tiÆt"}</definedName>
    <definedName name="______a2" hidden="1">{#N/A,#N/A,FALSE,"Chi tiÆt"}</definedName>
    <definedName name="______Goi8" localSheetId="4" hidden="1">{"'Sheet1'!$L$16"}</definedName>
    <definedName name="______Goi8" hidden="1">{"'Sheet1'!$L$16"}</definedName>
    <definedName name="______Lan1" localSheetId="4" hidden="1">{"'Sheet1'!$L$16"}</definedName>
    <definedName name="______Lan1" hidden="1">{"'Sheet1'!$L$16"}</definedName>
    <definedName name="______LAN3" localSheetId="4" hidden="1">{"'Sheet1'!$L$16"}</definedName>
    <definedName name="______LAN3" hidden="1">{"'Sheet1'!$L$16"}</definedName>
    <definedName name="______M36" localSheetId="4" hidden="1">{"'Sheet1'!$L$16"}</definedName>
    <definedName name="______M36" hidden="1">{"'Sheet1'!$L$16"}</definedName>
    <definedName name="______NSO2" localSheetId="4" hidden="1">{"'Sheet1'!$L$16"}</definedName>
    <definedName name="______NSO2" hidden="1">{"'Sheet1'!$L$16"}</definedName>
    <definedName name="______PA3" localSheetId="4" hidden="1">{"'Sheet1'!$L$16"}</definedName>
    <definedName name="______PA3" hidden="1">{"'Sheet1'!$L$16"}</definedName>
    <definedName name="______td1" localSheetId="4" hidden="1">{"'Sheet1'!$L$16"}</definedName>
    <definedName name="______td1" hidden="1">{"'Sheet1'!$L$16"}</definedName>
    <definedName name="______tt3" localSheetId="4" hidden="1">{"'Sheet1'!$L$16"}</definedName>
    <definedName name="______tt3" hidden="1">{"'Sheet1'!$L$16"}</definedName>
    <definedName name="____a129" localSheetId="4"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4" hidden="1">{#N/A,#N/A,FALSE,"Chi tiÆt"}</definedName>
    <definedName name="____a2" hidden="1">{#N/A,#N/A,FALSE,"Chi tiÆt"}</definedName>
    <definedName name="____Goi8" localSheetId="4" hidden="1">{"'Sheet1'!$L$16"}</definedName>
    <definedName name="____Goi8" hidden="1">{"'Sheet1'!$L$16"}</definedName>
    <definedName name="____Lan1" localSheetId="4" hidden="1">{"'Sheet1'!$L$16"}</definedName>
    <definedName name="____Lan1" hidden="1">{"'Sheet1'!$L$16"}</definedName>
    <definedName name="____LAN3" localSheetId="4" hidden="1">{"'Sheet1'!$L$16"}</definedName>
    <definedName name="____LAN3" hidden="1">{"'Sheet1'!$L$16"}</definedName>
    <definedName name="____M36" localSheetId="4" hidden="1">{"'Sheet1'!$L$16"}</definedName>
    <definedName name="____M36" hidden="1">{"'Sheet1'!$L$16"}</definedName>
    <definedName name="____NSO2" localSheetId="4" hidden="1">{"'Sheet1'!$L$16"}</definedName>
    <definedName name="____NSO2" hidden="1">{"'Sheet1'!$L$16"}</definedName>
    <definedName name="____PA3" localSheetId="4" hidden="1">{"'Sheet1'!$L$16"}</definedName>
    <definedName name="____PA3" hidden="1">{"'Sheet1'!$L$16"}</definedName>
    <definedName name="____td1" localSheetId="4" hidden="1">{"'Sheet1'!$L$16"}</definedName>
    <definedName name="____td1" hidden="1">{"'Sheet1'!$L$16"}</definedName>
    <definedName name="____tt3" localSheetId="4" hidden="1">{"'Sheet1'!$L$16"}</definedName>
    <definedName name="____tt3" hidden="1">{"'Sheet1'!$L$16"}</definedName>
    <definedName name="___dvu2010">3.05</definedName>
    <definedName name="__dvu2005">2.37</definedName>
    <definedName name="__dvu2010">3.05</definedName>
    <definedName name="_dvu2005">2.37</definedName>
    <definedName name="_dvu2010">3.05</definedName>
    <definedName name="_xlnm._FilterDatabase" hidden="1">#REF!</definedName>
    <definedName name="_Order1" hidden="1">255</definedName>
    <definedName name="_Order2" hidden="1">255</definedName>
    <definedName name="AccessDatabase" hidden="1">"C:\My Documents\LeBinh\Xls\VP Cong ty\FORM.mdb"</definedName>
    <definedName name="anscount" hidden="1">6</definedName>
    <definedName name="AS2DocOpenMode" hidden="1">"AS2DocumentEdit"</definedName>
    <definedName name="BGCM_GiaGoc_D_1" localSheetId="4">'[1]Bù giá CM'!$Q$6</definedName>
    <definedName name="BGCM_GiaGoc_D_1">'[2]10. Bù giá CM'!$Q$6</definedName>
    <definedName name="BGCM_GiaGoc_Đ_1" localSheetId="4">'[1]Bù giá CM'!$Q$8</definedName>
    <definedName name="BGCM_GiaGoc_Đ_1">'[2]10. Bù giá CM'!$Q$8</definedName>
    <definedName name="BGCM_GiaGoc_X_1" localSheetId="4">'[1]Bù giá CM'!$Q$7</definedName>
    <definedName name="BGCM_GiaGoc_X_1">'[2]10. Bù giá CM'!$Q$7</definedName>
    <definedName name="BGCM_GiaHT_D_1" localSheetId="4">'[1]Bù giá CM'!$R$6</definedName>
    <definedName name="BGCM_GiaHT_D_1">'[2]10. Bù giá CM'!$R$6</definedName>
    <definedName name="BGCM_GiaHT_Đ_1" localSheetId="4">'[1]Bù giá CM'!$R$8</definedName>
    <definedName name="BGCM_GiaHT_Đ_1">'[2]10. Bù giá CM'!$R$8</definedName>
    <definedName name="BGCM_GiaHT_X_1" localSheetId="4">'[1]Bù giá CM'!$R$7</definedName>
    <definedName name="BGCM_GiaHT_X_1">'[2]10. Bù giá CM'!$R$7</definedName>
    <definedName name="BocLen">#REF!</definedName>
    <definedName name="BocXuong">#REF!</definedName>
    <definedName name="capCongTrinh" localSheetId="4">'[3]Tra Cứu'!$B$229:$B$233</definedName>
    <definedName name="capCongTrinh" localSheetId="5">'[2]Tra định mức'!$B$229:$B$233</definedName>
    <definedName name="capCongTrinh">'[3]Tra Cứu'!$B$229:$B$233</definedName>
    <definedName name="chung">66</definedName>
    <definedName name="CLVC3">0.1</definedName>
    <definedName name="CuocTC588s">#REF!</definedName>
    <definedName name="dam">78000</definedName>
    <definedName name="DiaHinh">#REF!</definedName>
    <definedName name="DoDoc">#REF!</definedName>
    <definedName name="Heä_soá_laép_xaø_H">1.7</definedName>
    <definedName name="hoc">55000</definedName>
    <definedName name="HSCT3">0.1</definedName>
    <definedName name="HSDN">2.5</definedName>
    <definedName name="HTML_CodePage" hidden="1">950</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khac">2</definedName>
    <definedName name="limcount" hidden="1">6</definedName>
    <definedName name="loaiCongTrinh" localSheetId="4">'[3]Tra Cứu'!$B$48:$B$52</definedName>
    <definedName name="loaiCongTrinh" localSheetId="5">'[2]Tra định mức'!$B$48:$B$52</definedName>
    <definedName name="loaiCongTrinh">'[3]Tra Cứu'!$B$48:$B$52</definedName>
    <definedName name="LoaiDuongs">#REF!</definedName>
    <definedName name="loaiThietKe" localSheetId="4">'[3]Tra Cứu'!$W$228:$W$230</definedName>
    <definedName name="loaiThietKe" localSheetId="5">'[2]Tra định mức'!$W$228:$W$230</definedName>
    <definedName name="loaiThietKe">'[3]Tra Cứu'!$W$228:$W$230</definedName>
    <definedName name="nhomHang">#REF!</definedName>
    <definedName name="PhuongTiens">#REF!</definedName>
    <definedName name="_xlnm.Print_Area" localSheetId="4">'2. TMĐT'!$A$1:$G$37</definedName>
    <definedName name="_xlnm.Print_Area" localSheetId="5">'3. THKPHM'!$A$1:$H$19</definedName>
    <definedName name="_xlnm.Print_Area" localSheetId="7">'5.Tiên lượng'!$A$1:$X$217</definedName>
    <definedName name="_xlnm.Print_Area" localSheetId="20">'Bù giá CM'!$A$1:$M$3</definedName>
    <definedName name="_xlnm.Print_Area" localSheetId="26">GGTXD!$B:$H</definedName>
    <definedName name="_xlnm.Print_Area" localSheetId="19">THM!$A$1:$AH$362</definedName>
    <definedName name="_xlnm.Print_Area" localSheetId="22">THNL!$A$1:$O$44</definedName>
    <definedName name="_xlnm.Print_Area" localSheetId="23">THTL!$A$1:$O$55</definedName>
    <definedName name="_xlnm.Print_Titles" localSheetId="4">'2. TMĐT'!$7:$7</definedName>
    <definedName name="_xlnm.Print_Titles" localSheetId="7">'5.Tiên lượng'!$4:$5</definedName>
    <definedName name="_xlnm.Print_Titles" localSheetId="8">'6.Chiết tính'!$5:$5</definedName>
    <definedName name="_xlnm.Print_Titles" localSheetId="24">'8.ĐGTH'!$5:$5</definedName>
    <definedName name="_xlnm.Print_Titles" localSheetId="37">'Chiết tính rút gọn'!$5:$5</definedName>
    <definedName name="_xlnm.Print_Titles" localSheetId="11">'Cước ô tô'!$7:$8</definedName>
    <definedName name="_xlnm.Print_Titles" localSheetId="13">'Cước sông'!$5:$6</definedName>
    <definedName name="_xlnm.Print_Titles" localSheetId="9">'Giá VL'!$4:$4</definedName>
    <definedName name="_xlnm.Print_Titles" localSheetId="27">PTVT!$4:$5</definedName>
    <definedName name="_xlnm.Print_Titles" localSheetId="30">THCPTB!$10:$11</definedName>
    <definedName name="_xlnm.Print_Titles" localSheetId="29">THCPXD!$10:$10</definedName>
    <definedName name="_xlnm.Print_Titles" localSheetId="28">THDGDT!$10:$10</definedName>
    <definedName name="_xlnm.Print_Titles" localSheetId="19">THM!$4:$5</definedName>
    <definedName name="_xlnm.Print_Titles" localSheetId="16">THNC!$4:$5</definedName>
    <definedName name="_xlnm.Print_Titles" localSheetId="10">THVL!$4:$5</definedName>
    <definedName name="sencount" hidden="1">6</definedName>
    <definedName name="StartInfo_CongTrinh">'Thông tin'!$A$3</definedName>
    <definedName name="StartInfo_HangMuc">'Thông tin'!$A$31</definedName>
    <definedName name="StartInfo_MauTHKPHM">'Thông tin'!$A$57</definedName>
    <definedName name="StartInfo_SoLieuTinhGiaNC">'Thông tin'!$A$39</definedName>
    <definedName name="THNL.TTCLGiaHT0">THNL!$O$43</definedName>
    <definedName name="THNL.TTGiaGoc0">THNL!$K$43</definedName>
    <definedName name="THNL.TTGiaHT0">THNL!$M$43</definedName>
    <definedName name="THTL.TongKL0">THTL!$I$54</definedName>
    <definedName name="THTL.TTCLGiaHT0">THTL!$O$54</definedName>
    <definedName name="THTL.TTGiaGoc0">THTL!$K$54</definedName>
    <definedName name="THTL.TTGiaHT0">THTL!$M$54</definedName>
    <definedName name="thue">6</definedName>
    <definedName name="vat">5</definedName>
    <definedName name="XCCT">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9" i="43" l="1"/>
  <c r="E9" i="43" l="1"/>
  <c r="E28" i="43"/>
  <c r="N26" i="39" l="1"/>
  <c r="L26" i="39"/>
  <c r="K26" i="39"/>
  <c r="D119" i="37"/>
  <c r="C119" i="37"/>
  <c r="B119" i="37"/>
  <c r="D118" i="37"/>
  <c r="C118" i="37"/>
  <c r="B118" i="37"/>
  <c r="E117" i="37"/>
  <c r="D117" i="37"/>
  <c r="C117" i="37"/>
  <c r="B117" i="37"/>
  <c r="E116" i="37"/>
  <c r="D116" i="37"/>
  <c r="C116" i="37"/>
  <c r="B116" i="37"/>
  <c r="E115" i="37"/>
  <c r="D115" i="37"/>
  <c r="C115" i="37"/>
  <c r="B115" i="37"/>
  <c r="D114" i="37"/>
  <c r="C114" i="37"/>
  <c r="B114" i="37"/>
  <c r="D113" i="37"/>
  <c r="C113" i="37"/>
  <c r="B113" i="37"/>
  <c r="D112" i="37"/>
  <c r="C112" i="37"/>
  <c r="B112" i="37"/>
  <c r="E111" i="37"/>
  <c r="D111" i="37"/>
  <c r="C111" i="37"/>
  <c r="B111" i="37"/>
  <c r="E110" i="37"/>
  <c r="D110" i="37"/>
  <c r="C110" i="37"/>
  <c r="B110" i="37"/>
  <c r="E109" i="37"/>
  <c r="D109" i="37"/>
  <c r="C109" i="37"/>
  <c r="B109" i="37"/>
  <c r="E108" i="37"/>
  <c r="D108" i="37"/>
  <c r="C108" i="37"/>
  <c r="B108" i="37"/>
  <c r="E107" i="37"/>
  <c r="D107" i="37"/>
  <c r="C107" i="37"/>
  <c r="B107" i="37"/>
  <c r="E106" i="37"/>
  <c r="D106" i="37"/>
  <c r="C106" i="37"/>
  <c r="B106" i="37"/>
  <c r="E105" i="37"/>
  <c r="D105" i="37"/>
  <c r="C105" i="37"/>
  <c r="B105" i="37"/>
  <c r="D104" i="37"/>
  <c r="C104" i="37"/>
  <c r="B104" i="37"/>
  <c r="E103" i="37"/>
  <c r="D103" i="37"/>
  <c r="C103" i="37"/>
  <c r="B103" i="37"/>
  <c r="E102" i="37"/>
  <c r="D102" i="37"/>
  <c r="C102" i="37"/>
  <c r="B102" i="37"/>
  <c r="E101" i="37"/>
  <c r="D101" i="37"/>
  <c r="C101" i="37"/>
  <c r="B101" i="37"/>
  <c r="E100" i="37"/>
  <c r="D100" i="37"/>
  <c r="C100" i="37"/>
  <c r="B100" i="37"/>
  <c r="E99" i="37"/>
  <c r="D99" i="37"/>
  <c r="C99" i="37"/>
  <c r="B99" i="37"/>
  <c r="E98" i="37"/>
  <c r="D98" i="37"/>
  <c r="C98" i="37"/>
  <c r="B98" i="37"/>
  <c r="E97" i="37"/>
  <c r="D97" i="37"/>
  <c r="C97" i="37"/>
  <c r="B97" i="37"/>
  <c r="E96" i="37"/>
  <c r="D96" i="37"/>
  <c r="C96" i="37"/>
  <c r="B96" i="37"/>
  <c r="E95" i="37"/>
  <c r="D95" i="37"/>
  <c r="C95" i="37"/>
  <c r="B95" i="37"/>
  <c r="E94" i="37"/>
  <c r="D94" i="37"/>
  <c r="C94" i="37"/>
  <c r="B94" i="37"/>
  <c r="D93" i="37"/>
  <c r="C93" i="37"/>
  <c r="B93" i="37"/>
  <c r="D92" i="37"/>
  <c r="C92" i="37"/>
  <c r="B92" i="37"/>
  <c r="D91" i="37"/>
  <c r="C91" i="37"/>
  <c r="B91" i="37"/>
  <c r="D90" i="37"/>
  <c r="C90" i="37"/>
  <c r="B90" i="37"/>
  <c r="D89" i="37"/>
  <c r="C89" i="37"/>
  <c r="B89" i="37"/>
  <c r="E88" i="37"/>
  <c r="D88" i="37"/>
  <c r="C88" i="37"/>
  <c r="B88" i="37"/>
  <c r="D87" i="37"/>
  <c r="C87" i="37"/>
  <c r="B87" i="37"/>
  <c r="D86" i="37"/>
  <c r="C86" i="37"/>
  <c r="B86" i="37"/>
  <c r="D85" i="37"/>
  <c r="C85" i="37"/>
  <c r="B85" i="37"/>
  <c r="D84" i="37"/>
  <c r="C84" i="37"/>
  <c r="B84" i="37"/>
  <c r="D83" i="37"/>
  <c r="C83" i="37"/>
  <c r="B83" i="37"/>
  <c r="D82" i="37"/>
  <c r="C82" i="37"/>
  <c r="B82" i="37"/>
  <c r="E81" i="37"/>
  <c r="D81" i="37"/>
  <c r="C81" i="37"/>
  <c r="B81" i="37"/>
  <c r="E80" i="37"/>
  <c r="D80" i="37"/>
  <c r="C80" i="37"/>
  <c r="B80" i="37"/>
  <c r="E79" i="37"/>
  <c r="D79" i="37"/>
  <c r="C79" i="37"/>
  <c r="B79" i="37"/>
  <c r="D78" i="37"/>
  <c r="C78" i="37"/>
  <c r="B78" i="37"/>
  <c r="D77" i="37"/>
  <c r="C77" i="37"/>
  <c r="B77" i="37"/>
  <c r="D76" i="37"/>
  <c r="C76" i="37"/>
  <c r="B76" i="37"/>
  <c r="E75" i="37"/>
  <c r="D75" i="37"/>
  <c r="C75" i="37"/>
  <c r="B75" i="37"/>
  <c r="D74" i="37"/>
  <c r="C74" i="37"/>
  <c r="B74" i="37"/>
  <c r="D73" i="37"/>
  <c r="C73" i="37"/>
  <c r="B73" i="37"/>
  <c r="E72" i="37"/>
  <c r="D72" i="37"/>
  <c r="C72" i="37"/>
  <c r="B72" i="37"/>
  <c r="E71" i="37"/>
  <c r="D71" i="37"/>
  <c r="C71" i="37"/>
  <c r="B71" i="37"/>
  <c r="E70" i="37"/>
  <c r="D70" i="37"/>
  <c r="C70" i="37"/>
  <c r="B70" i="37"/>
  <c r="E69" i="37"/>
  <c r="D69" i="37"/>
  <c r="C69" i="37"/>
  <c r="B69" i="37"/>
  <c r="E68" i="37"/>
  <c r="D68" i="37"/>
  <c r="C68" i="37"/>
  <c r="B68" i="37"/>
  <c r="D67" i="37"/>
  <c r="C67" i="37"/>
  <c r="B67" i="37"/>
  <c r="D66" i="37"/>
  <c r="C66" i="37"/>
  <c r="B66" i="37"/>
  <c r="D65" i="37"/>
  <c r="C65" i="37"/>
  <c r="B65" i="37"/>
  <c r="D64" i="37"/>
  <c r="C64" i="37"/>
  <c r="B64" i="37"/>
  <c r="D63" i="37"/>
  <c r="C63" i="37"/>
  <c r="B63" i="37"/>
  <c r="D62" i="37"/>
  <c r="C62" i="37"/>
  <c r="B62" i="37"/>
  <c r="D61" i="37"/>
  <c r="C61" i="37"/>
  <c r="B61" i="37"/>
  <c r="D60" i="37"/>
  <c r="C60" i="37"/>
  <c r="B60" i="37"/>
  <c r="D59" i="37"/>
  <c r="C59" i="37"/>
  <c r="B59" i="37"/>
  <c r="D58" i="37"/>
  <c r="C58" i="37"/>
  <c r="B58" i="37"/>
  <c r="D57" i="37"/>
  <c r="C57" i="37"/>
  <c r="B57" i="37"/>
  <c r="D56" i="37"/>
  <c r="C56" i="37"/>
  <c r="B56" i="37"/>
  <c r="D55" i="37"/>
  <c r="C55" i="37"/>
  <c r="B55" i="37"/>
  <c r="D54" i="37"/>
  <c r="C54" i="37"/>
  <c r="B54" i="37"/>
  <c r="D53" i="37"/>
  <c r="C53" i="37"/>
  <c r="B53" i="37"/>
  <c r="D52" i="37"/>
  <c r="C52" i="37"/>
  <c r="B52" i="37"/>
  <c r="D51" i="37"/>
  <c r="C51" i="37"/>
  <c r="B51" i="37"/>
  <c r="D50" i="37"/>
  <c r="C50" i="37"/>
  <c r="B50" i="37"/>
  <c r="D49" i="37"/>
  <c r="C49" i="37"/>
  <c r="B49" i="37"/>
  <c r="D48" i="37"/>
  <c r="C48" i="37"/>
  <c r="B48" i="37"/>
  <c r="D47" i="37"/>
  <c r="C47" i="37"/>
  <c r="B47" i="37"/>
  <c r="D46" i="37"/>
  <c r="C46" i="37"/>
  <c r="B46" i="37"/>
  <c r="E45" i="37"/>
  <c r="D45" i="37"/>
  <c r="C45" i="37"/>
  <c r="B45" i="37"/>
  <c r="E44" i="37"/>
  <c r="D44" i="37"/>
  <c r="C44" i="37"/>
  <c r="B44" i="37"/>
  <c r="E43" i="37"/>
  <c r="D43" i="37"/>
  <c r="C43" i="37"/>
  <c r="B43" i="37"/>
  <c r="D42" i="37"/>
  <c r="C42" i="37"/>
  <c r="B42" i="37"/>
  <c r="D41" i="37"/>
  <c r="C41" i="37"/>
  <c r="B41" i="37"/>
  <c r="D40" i="37"/>
  <c r="C40" i="37"/>
  <c r="B40" i="37"/>
  <c r="D39" i="37"/>
  <c r="C39" i="37"/>
  <c r="B39" i="37"/>
  <c r="D38" i="37"/>
  <c r="C38" i="37"/>
  <c r="B38" i="37"/>
  <c r="D37" i="37"/>
  <c r="C37" i="37"/>
  <c r="B37" i="37"/>
  <c r="D36" i="37"/>
  <c r="C36" i="37"/>
  <c r="B36" i="37"/>
  <c r="D35" i="37"/>
  <c r="C35" i="37"/>
  <c r="B35" i="37"/>
  <c r="D34" i="37"/>
  <c r="C34" i="37"/>
  <c r="B34" i="37"/>
  <c r="D33" i="37"/>
  <c r="C33" i="37"/>
  <c r="B33" i="37"/>
  <c r="E32" i="37"/>
  <c r="D32" i="37"/>
  <c r="C32" i="37"/>
  <c r="B32" i="37"/>
  <c r="D31" i="37"/>
  <c r="C31" i="37"/>
  <c r="B31" i="37"/>
  <c r="D30" i="37"/>
  <c r="C30" i="37"/>
  <c r="B30" i="37"/>
  <c r="D29" i="37"/>
  <c r="C29" i="37"/>
  <c r="B29" i="37"/>
  <c r="D28" i="37"/>
  <c r="C28" i="37"/>
  <c r="B28" i="37"/>
  <c r="D27" i="37"/>
  <c r="C27" i="37"/>
  <c r="B27" i="37"/>
  <c r="E26" i="37"/>
  <c r="D26" i="37"/>
  <c r="C26" i="37"/>
  <c r="B26" i="37"/>
  <c r="D25" i="37"/>
  <c r="C25" i="37"/>
  <c r="B25" i="37"/>
  <c r="D24" i="37"/>
  <c r="C24" i="37"/>
  <c r="B24" i="37"/>
  <c r="D23" i="37"/>
  <c r="C23" i="37"/>
  <c r="B23" i="37"/>
  <c r="E22" i="37"/>
  <c r="D22" i="37"/>
  <c r="C22" i="37"/>
  <c r="B22" i="37"/>
  <c r="E21" i="37"/>
  <c r="D21" i="37"/>
  <c r="C21" i="37"/>
  <c r="B21" i="37"/>
  <c r="D20" i="37"/>
  <c r="C20" i="37"/>
  <c r="B20" i="37"/>
  <c r="D19" i="37"/>
  <c r="C19" i="37"/>
  <c r="B19" i="37"/>
  <c r="D18" i="37"/>
  <c r="C18" i="37"/>
  <c r="B18" i="37"/>
  <c r="M121" i="36"/>
  <c r="D120" i="36"/>
  <c r="C120" i="36"/>
  <c r="B120" i="36"/>
  <c r="D119" i="36"/>
  <c r="C119" i="36"/>
  <c r="B119" i="36"/>
  <c r="E118" i="36"/>
  <c r="D118" i="36"/>
  <c r="C118" i="36"/>
  <c r="B118" i="36"/>
  <c r="E117" i="36"/>
  <c r="D117" i="36"/>
  <c r="C117" i="36"/>
  <c r="B117" i="36"/>
  <c r="E116" i="36"/>
  <c r="D116" i="36"/>
  <c r="C116" i="36"/>
  <c r="B116" i="36"/>
  <c r="D115" i="36"/>
  <c r="C115" i="36"/>
  <c r="B115" i="36"/>
  <c r="D114" i="36"/>
  <c r="C114" i="36"/>
  <c r="B114" i="36"/>
  <c r="D113" i="36"/>
  <c r="C113" i="36"/>
  <c r="B113" i="36"/>
  <c r="E112" i="36"/>
  <c r="D112" i="36"/>
  <c r="C112" i="36"/>
  <c r="B112" i="36"/>
  <c r="E111" i="36"/>
  <c r="D111" i="36"/>
  <c r="C111" i="36"/>
  <c r="B111" i="36"/>
  <c r="E110" i="36"/>
  <c r="D110" i="36"/>
  <c r="C110" i="36"/>
  <c r="B110" i="36"/>
  <c r="E109" i="36"/>
  <c r="D109" i="36"/>
  <c r="C109" i="36"/>
  <c r="B109" i="36"/>
  <c r="E108" i="36"/>
  <c r="D108" i="36"/>
  <c r="C108" i="36"/>
  <c r="B108" i="36"/>
  <c r="E107" i="36"/>
  <c r="D107" i="36"/>
  <c r="C107" i="36"/>
  <c r="B107" i="36"/>
  <c r="E106" i="36"/>
  <c r="D106" i="36"/>
  <c r="C106" i="36"/>
  <c r="B106" i="36"/>
  <c r="D105" i="36"/>
  <c r="C105" i="36"/>
  <c r="B105" i="36"/>
  <c r="E104" i="36"/>
  <c r="D104" i="36"/>
  <c r="C104" i="36"/>
  <c r="B104" i="36"/>
  <c r="E103" i="36"/>
  <c r="D103" i="36"/>
  <c r="C103" i="36"/>
  <c r="B103" i="36"/>
  <c r="E102" i="36"/>
  <c r="D102" i="36"/>
  <c r="C102" i="36"/>
  <c r="B102" i="36"/>
  <c r="E101" i="36"/>
  <c r="D101" i="36"/>
  <c r="C101" i="36"/>
  <c r="B101" i="36"/>
  <c r="E100" i="36"/>
  <c r="D100" i="36"/>
  <c r="C100" i="36"/>
  <c r="B100" i="36"/>
  <c r="E99" i="36"/>
  <c r="D99" i="36"/>
  <c r="C99" i="36"/>
  <c r="B99" i="36"/>
  <c r="E98" i="36"/>
  <c r="D98" i="36"/>
  <c r="C98" i="36"/>
  <c r="B98" i="36"/>
  <c r="E97" i="36"/>
  <c r="D97" i="36"/>
  <c r="C97" i="36"/>
  <c r="B97" i="36"/>
  <c r="E96" i="36"/>
  <c r="D96" i="36"/>
  <c r="C96" i="36"/>
  <c r="B96" i="36"/>
  <c r="E95" i="36"/>
  <c r="D95" i="36"/>
  <c r="C95" i="36"/>
  <c r="B95" i="36"/>
  <c r="D94" i="36"/>
  <c r="C94" i="36"/>
  <c r="B94" i="36"/>
  <c r="D93" i="36"/>
  <c r="C93" i="36"/>
  <c r="B93" i="36"/>
  <c r="D92" i="36"/>
  <c r="C92" i="36"/>
  <c r="B92" i="36"/>
  <c r="D91" i="36"/>
  <c r="C91" i="36"/>
  <c r="B91" i="36"/>
  <c r="D90" i="36"/>
  <c r="C90" i="36"/>
  <c r="B90" i="36"/>
  <c r="E89" i="36"/>
  <c r="D89" i="36"/>
  <c r="C89" i="36"/>
  <c r="B89" i="36"/>
  <c r="D88" i="36"/>
  <c r="C88" i="36"/>
  <c r="B88" i="36"/>
  <c r="D87" i="36"/>
  <c r="C87" i="36"/>
  <c r="B87" i="36"/>
  <c r="D86" i="36"/>
  <c r="C86" i="36"/>
  <c r="B86" i="36"/>
  <c r="D85" i="36"/>
  <c r="C85" i="36"/>
  <c r="B85" i="36"/>
  <c r="D84" i="36"/>
  <c r="C84" i="36"/>
  <c r="B84" i="36"/>
  <c r="D83" i="36"/>
  <c r="C83" i="36"/>
  <c r="B83" i="36"/>
  <c r="E82" i="36"/>
  <c r="D82" i="36"/>
  <c r="C82" i="36"/>
  <c r="B82" i="36"/>
  <c r="E81" i="36"/>
  <c r="D81" i="36"/>
  <c r="C81" i="36"/>
  <c r="B81" i="36"/>
  <c r="E80" i="36"/>
  <c r="D80" i="36"/>
  <c r="C80" i="36"/>
  <c r="B80" i="36"/>
  <c r="D79" i="36"/>
  <c r="C79" i="36"/>
  <c r="B79" i="36"/>
  <c r="D78" i="36"/>
  <c r="C78" i="36"/>
  <c r="B78" i="36"/>
  <c r="D77" i="36"/>
  <c r="C77" i="36"/>
  <c r="B77" i="36"/>
  <c r="E76" i="36"/>
  <c r="D76" i="36"/>
  <c r="C76" i="36"/>
  <c r="B76" i="36"/>
  <c r="D75" i="36"/>
  <c r="C75" i="36"/>
  <c r="B75" i="36"/>
  <c r="D74" i="36"/>
  <c r="C74" i="36"/>
  <c r="B74" i="36"/>
  <c r="E73" i="36"/>
  <c r="D73" i="36"/>
  <c r="C73" i="36"/>
  <c r="B73" i="36"/>
  <c r="E72" i="36"/>
  <c r="D72" i="36"/>
  <c r="C72" i="36"/>
  <c r="B72" i="36"/>
  <c r="E71" i="36"/>
  <c r="D71" i="36"/>
  <c r="C71" i="36"/>
  <c r="B71" i="36"/>
  <c r="E70" i="36"/>
  <c r="D70" i="36"/>
  <c r="C70" i="36"/>
  <c r="B70" i="36"/>
  <c r="E69" i="36"/>
  <c r="D69" i="36"/>
  <c r="C69" i="36"/>
  <c r="B69" i="36"/>
  <c r="D68" i="36"/>
  <c r="C68" i="36"/>
  <c r="B68" i="36"/>
  <c r="D67" i="36"/>
  <c r="C67" i="36"/>
  <c r="B67" i="36"/>
  <c r="D66" i="36"/>
  <c r="C66" i="36"/>
  <c r="B66" i="36"/>
  <c r="D65" i="36"/>
  <c r="C65" i="36"/>
  <c r="B65" i="36"/>
  <c r="D64" i="36"/>
  <c r="C64" i="36"/>
  <c r="B64" i="36"/>
  <c r="D63" i="36"/>
  <c r="C63" i="36"/>
  <c r="B63" i="36"/>
  <c r="D62" i="36"/>
  <c r="C62" i="36"/>
  <c r="B62" i="36"/>
  <c r="D61" i="36"/>
  <c r="C61" i="36"/>
  <c r="B61" i="36"/>
  <c r="D60" i="36"/>
  <c r="C60" i="36"/>
  <c r="B60" i="36"/>
  <c r="D59" i="36"/>
  <c r="C59" i="36"/>
  <c r="B59" i="36"/>
  <c r="D58" i="36"/>
  <c r="C58" i="36"/>
  <c r="B58" i="36"/>
  <c r="D57" i="36"/>
  <c r="C57" i="36"/>
  <c r="B57" i="36"/>
  <c r="D56" i="36"/>
  <c r="C56" i="36"/>
  <c r="B56" i="36"/>
  <c r="D55" i="36"/>
  <c r="C55" i="36"/>
  <c r="B55" i="36"/>
  <c r="D54" i="36"/>
  <c r="C54" i="36"/>
  <c r="B54" i="36"/>
  <c r="D53" i="36"/>
  <c r="C53" i="36"/>
  <c r="B53" i="36"/>
  <c r="D52" i="36"/>
  <c r="C52" i="36"/>
  <c r="B52" i="36"/>
  <c r="D51" i="36"/>
  <c r="C51" i="36"/>
  <c r="B51" i="36"/>
  <c r="D50" i="36"/>
  <c r="C50" i="36"/>
  <c r="B50" i="36"/>
  <c r="D49" i="36"/>
  <c r="C49" i="36"/>
  <c r="B49" i="36"/>
  <c r="D48" i="36"/>
  <c r="C48" i="36"/>
  <c r="B48" i="36"/>
  <c r="D47" i="36"/>
  <c r="C47" i="36"/>
  <c r="B47" i="36"/>
  <c r="E46" i="36"/>
  <c r="D46" i="36"/>
  <c r="C46" i="36"/>
  <c r="B46" i="36"/>
  <c r="E45" i="36"/>
  <c r="D45" i="36"/>
  <c r="C45" i="36"/>
  <c r="B45" i="36"/>
  <c r="E44" i="36"/>
  <c r="D44" i="36"/>
  <c r="C44" i="36"/>
  <c r="B44" i="36"/>
  <c r="D43" i="36"/>
  <c r="C43" i="36"/>
  <c r="B43" i="36"/>
  <c r="D42" i="36"/>
  <c r="C42" i="36"/>
  <c r="B42" i="36"/>
  <c r="D41" i="36"/>
  <c r="C41" i="36"/>
  <c r="B41" i="36"/>
  <c r="D40" i="36"/>
  <c r="C40" i="36"/>
  <c r="B40" i="36"/>
  <c r="D39" i="36"/>
  <c r="C39" i="36"/>
  <c r="B39" i="36"/>
  <c r="D38" i="36"/>
  <c r="C38" i="36"/>
  <c r="B38" i="36"/>
  <c r="D37" i="36"/>
  <c r="C37" i="36"/>
  <c r="B37" i="36"/>
  <c r="D36" i="36"/>
  <c r="C36" i="36"/>
  <c r="B36" i="36"/>
  <c r="D35" i="36"/>
  <c r="C35" i="36"/>
  <c r="B35" i="36"/>
  <c r="D34" i="36"/>
  <c r="C34" i="36"/>
  <c r="B34" i="36"/>
  <c r="E33" i="36"/>
  <c r="D33" i="36"/>
  <c r="C33" i="36"/>
  <c r="B33" i="36"/>
  <c r="D32" i="36"/>
  <c r="C32" i="36"/>
  <c r="B32" i="36"/>
  <c r="D31" i="36"/>
  <c r="C31" i="36"/>
  <c r="B31" i="36"/>
  <c r="D30" i="36"/>
  <c r="C30" i="36"/>
  <c r="B30" i="36"/>
  <c r="D29" i="36"/>
  <c r="C29" i="36"/>
  <c r="B29" i="36"/>
  <c r="D28" i="36"/>
  <c r="C28" i="36"/>
  <c r="B28" i="36"/>
  <c r="E27" i="36"/>
  <c r="D27" i="36"/>
  <c r="C27" i="36"/>
  <c r="B27" i="36"/>
  <c r="D26" i="36"/>
  <c r="C26" i="36"/>
  <c r="B26" i="36"/>
  <c r="D25" i="36"/>
  <c r="C25" i="36"/>
  <c r="B25" i="36"/>
  <c r="D24" i="36"/>
  <c r="C24" i="36"/>
  <c r="B24" i="36"/>
  <c r="E23" i="36"/>
  <c r="D23" i="36"/>
  <c r="C23" i="36"/>
  <c r="B23" i="36"/>
  <c r="E22" i="36"/>
  <c r="D22" i="36"/>
  <c r="C22" i="36"/>
  <c r="B22" i="36"/>
  <c r="D21" i="36"/>
  <c r="C21" i="36"/>
  <c r="B21" i="36"/>
  <c r="D20" i="36"/>
  <c r="C20" i="36"/>
  <c r="B20" i="36"/>
  <c r="D19" i="36"/>
  <c r="C19" i="36"/>
  <c r="B19" i="36"/>
  <c r="G63" i="34"/>
  <c r="G62" i="34"/>
  <c r="G61" i="34"/>
  <c r="G60" i="34"/>
  <c r="G58" i="34"/>
  <c r="G57" i="34"/>
  <c r="G56" i="34"/>
  <c r="G54" i="34"/>
  <c r="G53" i="34"/>
  <c r="G52" i="34"/>
  <c r="G50" i="34"/>
  <c r="G49" i="34"/>
  <c r="G48" i="34"/>
  <c r="G46" i="34"/>
  <c r="G45" i="34"/>
  <c r="G44" i="34"/>
  <c r="G42" i="34"/>
  <c r="G41" i="34"/>
  <c r="G40" i="34"/>
  <c r="G39" i="34"/>
  <c r="G37" i="34"/>
  <c r="G36" i="34"/>
  <c r="G35" i="34"/>
  <c r="G33" i="34"/>
  <c r="G32" i="34"/>
  <c r="G31" i="34"/>
  <c r="G30" i="34"/>
  <c r="G28" i="34"/>
  <c r="G27" i="34"/>
  <c r="G26" i="34"/>
  <c r="G25" i="34"/>
  <c r="G23" i="34"/>
  <c r="G22" i="34"/>
  <c r="G21" i="34"/>
  <c r="G19" i="34"/>
  <c r="G18" i="34"/>
  <c r="G17" i="34"/>
  <c r="G15" i="34"/>
  <c r="G14" i="34"/>
  <c r="G13" i="34"/>
  <c r="G12" i="34"/>
  <c r="G10" i="34"/>
  <c r="G9" i="34"/>
  <c r="G8" i="34"/>
  <c r="G7" i="34"/>
  <c r="J130" i="33"/>
  <c r="K130" i="33" s="1"/>
  <c r="E130" i="33"/>
  <c r="D130" i="33"/>
  <c r="C130" i="33"/>
  <c r="E129" i="33"/>
  <c r="D129" i="33"/>
  <c r="C129" i="33"/>
  <c r="F128" i="33"/>
  <c r="M128" i="33" s="1"/>
  <c r="E128" i="33"/>
  <c r="D128" i="33"/>
  <c r="C128" i="33"/>
  <c r="F127" i="33"/>
  <c r="M127" i="33" s="1"/>
  <c r="E127" i="33"/>
  <c r="D127" i="33"/>
  <c r="C127" i="33"/>
  <c r="F126" i="33"/>
  <c r="M126" i="33" s="1"/>
  <c r="E126" i="33"/>
  <c r="D126" i="33"/>
  <c r="C126" i="33"/>
  <c r="E125" i="33"/>
  <c r="D125" i="33"/>
  <c r="C125" i="33"/>
  <c r="E124" i="33"/>
  <c r="D124" i="33"/>
  <c r="C124" i="33"/>
  <c r="E123" i="33"/>
  <c r="D123" i="33"/>
  <c r="C123" i="33"/>
  <c r="F122" i="33"/>
  <c r="E122" i="33"/>
  <c r="D122" i="33"/>
  <c r="C122" i="33"/>
  <c r="F121" i="33"/>
  <c r="M121" i="33" s="1"/>
  <c r="E121" i="33"/>
  <c r="D121" i="33"/>
  <c r="C121" i="33"/>
  <c r="F120" i="33"/>
  <c r="E120" i="33"/>
  <c r="D120" i="33"/>
  <c r="C120" i="33"/>
  <c r="F119" i="33"/>
  <c r="E119" i="33"/>
  <c r="D119" i="33"/>
  <c r="C119" i="33"/>
  <c r="F118" i="33"/>
  <c r="E118" i="33"/>
  <c r="D118" i="33"/>
  <c r="C118" i="33"/>
  <c r="F117" i="33"/>
  <c r="E117" i="33"/>
  <c r="D117" i="33"/>
  <c r="C117" i="33"/>
  <c r="G115" i="33"/>
  <c r="K115" i="33" s="1"/>
  <c r="F115" i="33"/>
  <c r="N115" i="33" s="1"/>
  <c r="E115" i="33"/>
  <c r="D115" i="33"/>
  <c r="C115" i="33"/>
  <c r="E114" i="33"/>
  <c r="D114" i="33"/>
  <c r="C114" i="33"/>
  <c r="F113" i="33"/>
  <c r="O113" i="33" s="1"/>
  <c r="E113" i="33"/>
  <c r="D113" i="33"/>
  <c r="C113" i="33"/>
  <c r="F112" i="33"/>
  <c r="O112" i="33" s="1"/>
  <c r="E112" i="33"/>
  <c r="D112" i="33"/>
  <c r="C112" i="33"/>
  <c r="F111" i="33"/>
  <c r="O111" i="33" s="1"/>
  <c r="E111" i="33"/>
  <c r="D111" i="33"/>
  <c r="C111" i="33"/>
  <c r="F110" i="33"/>
  <c r="E110" i="33"/>
  <c r="D110" i="33"/>
  <c r="C110" i="33"/>
  <c r="F109" i="33"/>
  <c r="E109" i="33"/>
  <c r="D109" i="33"/>
  <c r="C109" i="33"/>
  <c r="F108" i="33"/>
  <c r="E108" i="33"/>
  <c r="D108" i="33"/>
  <c r="C108" i="33"/>
  <c r="F107" i="33"/>
  <c r="E107" i="33"/>
  <c r="D107" i="33"/>
  <c r="C107" i="33"/>
  <c r="F106" i="33"/>
  <c r="E106" i="33"/>
  <c r="D106" i="33"/>
  <c r="C106" i="33"/>
  <c r="F105" i="33"/>
  <c r="M105" i="33" s="1"/>
  <c r="E105" i="33"/>
  <c r="D105" i="33"/>
  <c r="C105" i="33"/>
  <c r="F104" i="33"/>
  <c r="E104" i="33"/>
  <c r="D104" i="33"/>
  <c r="C104" i="33"/>
  <c r="J102" i="33"/>
  <c r="E102" i="33"/>
  <c r="D102" i="33"/>
  <c r="C102" i="33"/>
  <c r="E101" i="33"/>
  <c r="D101" i="33"/>
  <c r="C101" i="33"/>
  <c r="E100" i="33"/>
  <c r="D100" i="33"/>
  <c r="C100" i="33"/>
  <c r="E99" i="33"/>
  <c r="D99" i="33"/>
  <c r="C99" i="33"/>
  <c r="J97" i="33"/>
  <c r="E97" i="33"/>
  <c r="D97" i="33"/>
  <c r="C97" i="33"/>
  <c r="J95" i="33"/>
  <c r="F95" i="33"/>
  <c r="E95" i="33"/>
  <c r="D95" i="33"/>
  <c r="C95" i="33"/>
  <c r="E94" i="33"/>
  <c r="D94" i="33"/>
  <c r="C94" i="33"/>
  <c r="J92" i="33"/>
  <c r="E92" i="33"/>
  <c r="D92" i="33"/>
  <c r="C92" i="33"/>
  <c r="E91" i="33"/>
  <c r="D91" i="33"/>
  <c r="C91" i="33"/>
  <c r="E90" i="33"/>
  <c r="D90" i="33"/>
  <c r="C90" i="33"/>
  <c r="E89" i="33"/>
  <c r="D89" i="33"/>
  <c r="C89" i="33"/>
  <c r="J87" i="33"/>
  <c r="E87" i="33"/>
  <c r="D87" i="33"/>
  <c r="C87" i="33"/>
  <c r="F86" i="33"/>
  <c r="O86" i="33" s="1"/>
  <c r="E86" i="33"/>
  <c r="D86" i="33"/>
  <c r="C86" i="33"/>
  <c r="F85" i="33"/>
  <c r="E85" i="33"/>
  <c r="D85" i="33"/>
  <c r="C85" i="33"/>
  <c r="F84" i="33"/>
  <c r="E84" i="33"/>
  <c r="D84" i="33"/>
  <c r="C84" i="33"/>
  <c r="J82" i="33"/>
  <c r="E82" i="33"/>
  <c r="D82" i="33"/>
  <c r="C82" i="33"/>
  <c r="E81" i="33"/>
  <c r="D81" i="33"/>
  <c r="C81" i="33"/>
  <c r="E80" i="33"/>
  <c r="D80" i="33"/>
  <c r="C80" i="33"/>
  <c r="F79" i="33"/>
  <c r="E79" i="33"/>
  <c r="D79" i="33"/>
  <c r="C79" i="33"/>
  <c r="E78" i="33"/>
  <c r="D78" i="33"/>
  <c r="C78" i="33"/>
  <c r="E77" i="33"/>
  <c r="D77" i="33"/>
  <c r="C77" i="33"/>
  <c r="F76" i="33"/>
  <c r="E76" i="33"/>
  <c r="D76" i="33"/>
  <c r="C76" i="33"/>
  <c r="F75" i="33"/>
  <c r="E75" i="33"/>
  <c r="D75" i="33"/>
  <c r="C75" i="33"/>
  <c r="F74" i="33"/>
  <c r="E74" i="33"/>
  <c r="D74" i="33"/>
  <c r="C74" i="33"/>
  <c r="F73" i="33"/>
  <c r="E73" i="33"/>
  <c r="D73" i="33"/>
  <c r="C73" i="33"/>
  <c r="F72" i="33"/>
  <c r="O72" i="33" s="1"/>
  <c r="E72" i="33"/>
  <c r="D72" i="33"/>
  <c r="C72" i="33"/>
  <c r="J69" i="33"/>
  <c r="E69" i="33"/>
  <c r="D69" i="33"/>
  <c r="C69" i="33"/>
  <c r="E68" i="33"/>
  <c r="D68" i="33"/>
  <c r="C68" i="33"/>
  <c r="E67" i="33"/>
  <c r="D67" i="33"/>
  <c r="C67" i="33"/>
  <c r="J65" i="33"/>
  <c r="E65" i="33"/>
  <c r="D65" i="33"/>
  <c r="C65" i="33"/>
  <c r="E64" i="33"/>
  <c r="D64" i="33"/>
  <c r="C64" i="33"/>
  <c r="E63" i="33"/>
  <c r="D63" i="33"/>
  <c r="C63" i="33"/>
  <c r="E62" i="33"/>
  <c r="D62" i="33"/>
  <c r="C62" i="33"/>
  <c r="E61" i="33"/>
  <c r="D61" i="33"/>
  <c r="C61" i="33"/>
  <c r="E60" i="33"/>
  <c r="D60" i="33"/>
  <c r="C60" i="33"/>
  <c r="J57" i="33"/>
  <c r="E57" i="33"/>
  <c r="D57" i="33"/>
  <c r="C57" i="33"/>
  <c r="E56" i="33"/>
  <c r="D56" i="33"/>
  <c r="C56" i="33"/>
  <c r="E55" i="33"/>
  <c r="D55" i="33"/>
  <c r="C55" i="33"/>
  <c r="J53" i="33"/>
  <c r="E53" i="33"/>
  <c r="D53" i="33"/>
  <c r="C53" i="33"/>
  <c r="E52" i="33"/>
  <c r="D52" i="33"/>
  <c r="C52" i="33"/>
  <c r="E51" i="33"/>
  <c r="D51" i="33"/>
  <c r="C51" i="33"/>
  <c r="E50" i="33"/>
  <c r="D50" i="33"/>
  <c r="C50" i="33"/>
  <c r="E49" i="33"/>
  <c r="D49" i="33"/>
  <c r="C49" i="33"/>
  <c r="E48" i="33"/>
  <c r="D48" i="33"/>
  <c r="C48" i="33"/>
  <c r="E47" i="33"/>
  <c r="D47" i="33"/>
  <c r="C47" i="33"/>
  <c r="E46" i="33"/>
  <c r="D46" i="33"/>
  <c r="C46" i="33"/>
  <c r="E45" i="33"/>
  <c r="D45" i="33"/>
  <c r="C45" i="33"/>
  <c r="J42" i="33"/>
  <c r="E42" i="33"/>
  <c r="D42" i="33"/>
  <c r="C42" i="33"/>
  <c r="F41" i="33"/>
  <c r="E41" i="33"/>
  <c r="D41" i="33"/>
  <c r="C41" i="33"/>
  <c r="F40" i="33"/>
  <c r="M40" i="33" s="1"/>
  <c r="E40" i="33"/>
  <c r="D40" i="33"/>
  <c r="C40" i="33"/>
  <c r="F39" i="33"/>
  <c r="E39" i="33"/>
  <c r="D39" i="33"/>
  <c r="C39" i="33"/>
  <c r="E38" i="33"/>
  <c r="D38" i="33"/>
  <c r="C38" i="33"/>
  <c r="E37" i="33"/>
  <c r="D37" i="33"/>
  <c r="C37" i="33"/>
  <c r="E36" i="33"/>
  <c r="D36" i="33"/>
  <c r="C36" i="33"/>
  <c r="E35" i="33"/>
  <c r="D35" i="33"/>
  <c r="C35" i="33"/>
  <c r="J33" i="33"/>
  <c r="E33" i="33"/>
  <c r="D33" i="33"/>
  <c r="C33" i="33"/>
  <c r="E32" i="33"/>
  <c r="D32" i="33"/>
  <c r="C32" i="33"/>
  <c r="E31" i="33"/>
  <c r="D31" i="33"/>
  <c r="C31" i="33"/>
  <c r="E30" i="33"/>
  <c r="D30" i="33"/>
  <c r="C30" i="33"/>
  <c r="E29" i="33"/>
  <c r="D29" i="33"/>
  <c r="C29" i="33"/>
  <c r="J27" i="33"/>
  <c r="E27" i="33"/>
  <c r="D27" i="33"/>
  <c r="C27" i="33"/>
  <c r="F26" i="33"/>
  <c r="E26" i="33"/>
  <c r="D26" i="33"/>
  <c r="C26" i="33"/>
  <c r="J23" i="33"/>
  <c r="E23" i="33"/>
  <c r="D23" i="33"/>
  <c r="C23" i="33"/>
  <c r="E22" i="33"/>
  <c r="D22" i="33"/>
  <c r="C22" i="33"/>
  <c r="E21" i="33"/>
  <c r="D21" i="33"/>
  <c r="C21" i="33"/>
  <c r="J19" i="33"/>
  <c r="E19" i="33"/>
  <c r="D19" i="33"/>
  <c r="C19" i="33"/>
  <c r="E18" i="33"/>
  <c r="D18" i="33"/>
  <c r="C18" i="33"/>
  <c r="F17" i="33"/>
  <c r="M17" i="33" s="1"/>
  <c r="E17" i="33"/>
  <c r="D17" i="33"/>
  <c r="C17" i="33"/>
  <c r="E16" i="33"/>
  <c r="D16" i="33"/>
  <c r="C16" i="33"/>
  <c r="E15" i="33"/>
  <c r="D15" i="33"/>
  <c r="C15" i="33"/>
  <c r="E14" i="33"/>
  <c r="D14" i="33"/>
  <c r="C14" i="33"/>
  <c r="F13" i="33"/>
  <c r="M13" i="33" s="1"/>
  <c r="E13" i="33"/>
  <c r="D13" i="33"/>
  <c r="C13" i="33"/>
  <c r="F12" i="33"/>
  <c r="M12" i="33" s="1"/>
  <c r="E12" i="33"/>
  <c r="D12" i="33"/>
  <c r="C12" i="33"/>
  <c r="E11" i="33"/>
  <c r="D11" i="33"/>
  <c r="C11" i="33"/>
  <c r="E10" i="33"/>
  <c r="D10" i="33"/>
  <c r="C10" i="33"/>
  <c r="E9" i="33"/>
  <c r="D9" i="33"/>
  <c r="C9" i="33"/>
  <c r="I886" i="32"/>
  <c r="G886" i="32"/>
  <c r="F886" i="32"/>
  <c r="E886" i="32"/>
  <c r="J884" i="32"/>
  <c r="F884" i="32"/>
  <c r="E884" i="32"/>
  <c r="D884" i="32"/>
  <c r="C884" i="32"/>
  <c r="I883" i="32"/>
  <c r="G883" i="32"/>
  <c r="F883" i="32"/>
  <c r="E883" i="32"/>
  <c r="F881" i="32"/>
  <c r="E881" i="32"/>
  <c r="D881" i="32"/>
  <c r="C881" i="32"/>
  <c r="I880" i="32"/>
  <c r="G880" i="32"/>
  <c r="F880" i="32"/>
  <c r="E880" i="32"/>
  <c r="I879" i="32"/>
  <c r="G879" i="32"/>
  <c r="F879" i="32"/>
  <c r="E879" i="32"/>
  <c r="I877" i="32"/>
  <c r="G877" i="32"/>
  <c r="F877" i="32"/>
  <c r="E877" i="32"/>
  <c r="F875" i="32"/>
  <c r="E875" i="32"/>
  <c r="D875" i="32"/>
  <c r="C875" i="32"/>
  <c r="I874" i="32"/>
  <c r="I873" i="32"/>
  <c r="G873" i="32"/>
  <c r="F873" i="32"/>
  <c r="E873" i="32"/>
  <c r="I871" i="32"/>
  <c r="G871" i="32"/>
  <c r="F871" i="32"/>
  <c r="E871" i="32"/>
  <c r="F869" i="32"/>
  <c r="E869" i="32"/>
  <c r="D869" i="32"/>
  <c r="C869" i="32"/>
  <c r="I868" i="32"/>
  <c r="G868" i="32"/>
  <c r="F868" i="32"/>
  <c r="E868" i="32"/>
  <c r="I866" i="32"/>
  <c r="G866" i="32"/>
  <c r="F866" i="32"/>
  <c r="E866" i="32"/>
  <c r="F864" i="32"/>
  <c r="E864" i="32"/>
  <c r="D864" i="32"/>
  <c r="C864" i="32"/>
  <c r="I863" i="32"/>
  <c r="I862" i="32"/>
  <c r="G862" i="32"/>
  <c r="F862" i="32"/>
  <c r="E862" i="32"/>
  <c r="I860" i="32"/>
  <c r="G860" i="32"/>
  <c r="F860" i="32"/>
  <c r="E860" i="32"/>
  <c r="I858" i="32"/>
  <c r="I857" i="32"/>
  <c r="G857" i="32"/>
  <c r="F857" i="32"/>
  <c r="E857" i="32"/>
  <c r="I856" i="32"/>
  <c r="G856" i="32"/>
  <c r="F856" i="32"/>
  <c r="E856" i="32"/>
  <c r="I855" i="32"/>
  <c r="G855" i="32"/>
  <c r="F855" i="32"/>
  <c r="E855" i="32"/>
  <c r="F853" i="32"/>
  <c r="E853" i="32"/>
  <c r="D853" i="32"/>
  <c r="C853" i="32"/>
  <c r="I852" i="32"/>
  <c r="I851" i="32"/>
  <c r="G851" i="32"/>
  <c r="F851" i="32"/>
  <c r="E851" i="32"/>
  <c r="I849" i="32"/>
  <c r="G849" i="32"/>
  <c r="F849" i="32"/>
  <c r="E849" i="32"/>
  <c r="I847" i="32"/>
  <c r="I846" i="32"/>
  <c r="G846" i="32"/>
  <c r="F846" i="32"/>
  <c r="E846" i="32"/>
  <c r="I845" i="32"/>
  <c r="G845" i="32"/>
  <c r="F845" i="32"/>
  <c r="E845" i="32"/>
  <c r="I844" i="32"/>
  <c r="G844" i="32"/>
  <c r="F844" i="32"/>
  <c r="E844" i="32"/>
  <c r="F842" i="32"/>
  <c r="E842" i="32"/>
  <c r="D842" i="32"/>
  <c r="C842" i="32"/>
  <c r="I841" i="32"/>
  <c r="G841" i="32"/>
  <c r="F841" i="32"/>
  <c r="E841" i="32"/>
  <c r="I839" i="32"/>
  <c r="G839" i="32"/>
  <c r="F839" i="32"/>
  <c r="E839" i="32"/>
  <c r="I837" i="32"/>
  <c r="G837" i="32"/>
  <c r="F837" i="32"/>
  <c r="E837" i="32"/>
  <c r="I836" i="32"/>
  <c r="G836" i="32"/>
  <c r="F836" i="32"/>
  <c r="E836" i="32"/>
  <c r="F834" i="32"/>
  <c r="E834" i="32"/>
  <c r="D834" i="32"/>
  <c r="C834" i="32"/>
  <c r="I833" i="32"/>
  <c r="I832" i="32"/>
  <c r="G832" i="32"/>
  <c r="F832" i="32"/>
  <c r="E832" i="32"/>
  <c r="I831" i="32"/>
  <c r="G831" i="32"/>
  <c r="F831" i="32"/>
  <c r="E831" i="32"/>
  <c r="I830" i="32"/>
  <c r="G830" i="32"/>
  <c r="F830" i="32"/>
  <c r="E830" i="32"/>
  <c r="I828" i="32"/>
  <c r="G828" i="32"/>
  <c r="F828" i="32"/>
  <c r="E828" i="32"/>
  <c r="I826" i="32"/>
  <c r="I825" i="32"/>
  <c r="G825" i="32"/>
  <c r="F825" i="32"/>
  <c r="E825" i="32"/>
  <c r="I824" i="32"/>
  <c r="G824" i="32"/>
  <c r="F824" i="32"/>
  <c r="E824" i="32"/>
  <c r="I823" i="32"/>
  <c r="G823" i="32"/>
  <c r="F823" i="32"/>
  <c r="E823" i="32"/>
  <c r="I822" i="32"/>
  <c r="G822" i="32"/>
  <c r="F822" i="32"/>
  <c r="E822" i="32"/>
  <c r="F820" i="32"/>
  <c r="E820" i="32"/>
  <c r="D820" i="32"/>
  <c r="C820" i="32"/>
  <c r="I819" i="32"/>
  <c r="G819" i="32"/>
  <c r="F819" i="32"/>
  <c r="E819" i="32"/>
  <c r="I817" i="32"/>
  <c r="G817" i="32"/>
  <c r="F817" i="32"/>
  <c r="E817" i="32"/>
  <c r="F815" i="32"/>
  <c r="E815" i="32"/>
  <c r="D815" i="32"/>
  <c r="C815" i="32"/>
  <c r="I814" i="32"/>
  <c r="G814" i="32"/>
  <c r="F814" i="32"/>
  <c r="E814" i="32"/>
  <c r="I812" i="32"/>
  <c r="G812" i="32"/>
  <c r="F812" i="32"/>
  <c r="E812" i="32"/>
  <c r="I810" i="32"/>
  <c r="I809" i="32"/>
  <c r="G809" i="32"/>
  <c r="F809" i="32"/>
  <c r="E809" i="32"/>
  <c r="I808" i="32"/>
  <c r="G808" i="32"/>
  <c r="F808" i="32"/>
  <c r="E808" i="32"/>
  <c r="I807" i="32"/>
  <c r="G807" i="32"/>
  <c r="F807" i="32"/>
  <c r="E807" i="32"/>
  <c r="I806" i="32"/>
  <c r="G806" i="32"/>
  <c r="F806" i="32"/>
  <c r="E806" i="32"/>
  <c r="F804" i="32"/>
  <c r="E804" i="32"/>
  <c r="D804" i="32"/>
  <c r="C804" i="32"/>
  <c r="I803" i="32"/>
  <c r="G803" i="32"/>
  <c r="F803" i="32"/>
  <c r="E803" i="32"/>
  <c r="I802" i="32"/>
  <c r="G802" i="32"/>
  <c r="F802" i="32"/>
  <c r="E802" i="32"/>
  <c r="I800" i="32"/>
  <c r="G800" i="32"/>
  <c r="F800" i="32"/>
  <c r="E800" i="32"/>
  <c r="I798" i="32"/>
  <c r="I797" i="32"/>
  <c r="G797" i="32"/>
  <c r="F797" i="32"/>
  <c r="E797" i="32"/>
  <c r="I796" i="32"/>
  <c r="G796" i="32"/>
  <c r="F796" i="32"/>
  <c r="E796" i="32"/>
  <c r="I795" i="32"/>
  <c r="G795" i="32"/>
  <c r="F795" i="32"/>
  <c r="E795" i="32"/>
  <c r="I794" i="32"/>
  <c r="G794" i="32"/>
  <c r="F794" i="32"/>
  <c r="E794" i="32"/>
  <c r="F792" i="32"/>
  <c r="E792" i="32"/>
  <c r="D792" i="32"/>
  <c r="C792" i="32"/>
  <c r="I791" i="32"/>
  <c r="G791" i="32"/>
  <c r="F791" i="32"/>
  <c r="E791" i="32"/>
  <c r="I790" i="32"/>
  <c r="G790" i="32"/>
  <c r="F790" i="32"/>
  <c r="E790" i="32"/>
  <c r="I788" i="32"/>
  <c r="G788" i="32"/>
  <c r="F788" i="32"/>
  <c r="E788" i="32"/>
  <c r="I786" i="32"/>
  <c r="I785" i="32"/>
  <c r="G785" i="32"/>
  <c r="F785" i="32"/>
  <c r="E785" i="32"/>
  <c r="I784" i="32"/>
  <c r="G784" i="32"/>
  <c r="F784" i="32"/>
  <c r="E784" i="32"/>
  <c r="I783" i="32"/>
  <c r="G783" i="32"/>
  <c r="F783" i="32"/>
  <c r="E783" i="32"/>
  <c r="I782" i="32"/>
  <c r="G782" i="32"/>
  <c r="F782" i="32"/>
  <c r="E782" i="32"/>
  <c r="F780" i="32"/>
  <c r="E780" i="32"/>
  <c r="D780" i="32"/>
  <c r="C780" i="32"/>
  <c r="I779" i="32"/>
  <c r="G779" i="32"/>
  <c r="F779" i="32"/>
  <c r="E779" i="32"/>
  <c r="I778" i="32"/>
  <c r="G778" i="32"/>
  <c r="F778" i="32"/>
  <c r="E778" i="32"/>
  <c r="I776" i="32"/>
  <c r="G776" i="32"/>
  <c r="F776" i="32"/>
  <c r="E776" i="32"/>
  <c r="I774" i="32"/>
  <c r="I773" i="32"/>
  <c r="G773" i="32"/>
  <c r="F773" i="32"/>
  <c r="E773" i="32"/>
  <c r="I772" i="32"/>
  <c r="G772" i="32"/>
  <c r="F772" i="32"/>
  <c r="E772" i="32"/>
  <c r="I771" i="32"/>
  <c r="G771" i="32"/>
  <c r="F771" i="32"/>
  <c r="E771" i="32"/>
  <c r="I770" i="32"/>
  <c r="G770" i="32"/>
  <c r="F770" i="32"/>
  <c r="E770" i="32"/>
  <c r="F768" i="32"/>
  <c r="E768" i="32"/>
  <c r="D768" i="32"/>
  <c r="C768" i="32"/>
  <c r="I766" i="32"/>
  <c r="G766" i="32"/>
  <c r="F766" i="32"/>
  <c r="E766" i="32"/>
  <c r="J764" i="32"/>
  <c r="F764" i="32"/>
  <c r="E764" i="32"/>
  <c r="D764" i="32"/>
  <c r="C764" i="32"/>
  <c r="I763" i="32"/>
  <c r="G763" i="32"/>
  <c r="F763" i="32"/>
  <c r="E763" i="32"/>
  <c r="I761" i="32"/>
  <c r="I760" i="32"/>
  <c r="G760" i="32"/>
  <c r="F760" i="32"/>
  <c r="E760" i="32"/>
  <c r="I759" i="32"/>
  <c r="G759" i="32"/>
  <c r="F759" i="32"/>
  <c r="E759" i="32"/>
  <c r="F757" i="32"/>
  <c r="E757" i="32"/>
  <c r="D757" i="32"/>
  <c r="C757" i="32"/>
  <c r="I756" i="32"/>
  <c r="G756" i="32"/>
  <c r="F756" i="32"/>
  <c r="E756" i="32"/>
  <c r="I754" i="32"/>
  <c r="G754" i="32"/>
  <c r="F754" i="32"/>
  <c r="E754" i="32"/>
  <c r="I753" i="32"/>
  <c r="G753" i="32"/>
  <c r="F753" i="32"/>
  <c r="E753" i="32"/>
  <c r="I752" i="32"/>
  <c r="G752" i="32"/>
  <c r="F752" i="32"/>
  <c r="E752" i="32"/>
  <c r="F750" i="32"/>
  <c r="E750" i="32"/>
  <c r="D750" i="32"/>
  <c r="C750" i="32"/>
  <c r="I749" i="32"/>
  <c r="G749" i="32"/>
  <c r="F749" i="32"/>
  <c r="E749" i="32"/>
  <c r="I747" i="32"/>
  <c r="G747" i="32"/>
  <c r="F747" i="32"/>
  <c r="E747" i="32"/>
  <c r="I746" i="32"/>
  <c r="G746" i="32"/>
  <c r="F746" i="32"/>
  <c r="E746" i="32"/>
  <c r="I745" i="32"/>
  <c r="G745" i="32"/>
  <c r="F745" i="32"/>
  <c r="E745" i="32"/>
  <c r="F743" i="32"/>
  <c r="E743" i="32"/>
  <c r="D743" i="32"/>
  <c r="C743" i="32"/>
  <c r="I742" i="32"/>
  <c r="G742" i="32"/>
  <c r="F742" i="32"/>
  <c r="E742" i="32"/>
  <c r="I740" i="32"/>
  <c r="G740" i="32"/>
  <c r="F740" i="32"/>
  <c r="E740" i="32"/>
  <c r="I739" i="32"/>
  <c r="G739" i="32"/>
  <c r="F739" i="32"/>
  <c r="E739" i="32"/>
  <c r="I738" i="32"/>
  <c r="G738" i="32"/>
  <c r="F738" i="32"/>
  <c r="E738" i="32"/>
  <c r="F736" i="32"/>
  <c r="E736" i="32"/>
  <c r="D736" i="32"/>
  <c r="C736" i="32"/>
  <c r="I735" i="32"/>
  <c r="I734" i="32"/>
  <c r="G734" i="32"/>
  <c r="F734" i="32"/>
  <c r="E734" i="32"/>
  <c r="I732" i="32"/>
  <c r="G732" i="32"/>
  <c r="F732" i="32"/>
  <c r="E732" i="32"/>
  <c r="I730" i="32"/>
  <c r="I729" i="32"/>
  <c r="G729" i="32"/>
  <c r="F729" i="32"/>
  <c r="E729" i="32"/>
  <c r="F727" i="32"/>
  <c r="E727" i="32"/>
  <c r="D727" i="32"/>
  <c r="C727" i="32"/>
  <c r="I726" i="32"/>
  <c r="I725" i="32"/>
  <c r="G725" i="32"/>
  <c r="F725" i="32"/>
  <c r="E725" i="32"/>
  <c r="I723" i="32"/>
  <c r="G723" i="32"/>
  <c r="F723" i="32"/>
  <c r="E723" i="32"/>
  <c r="I721" i="32"/>
  <c r="I720" i="32"/>
  <c r="G720" i="32"/>
  <c r="F720" i="32"/>
  <c r="E720" i="32"/>
  <c r="F718" i="32"/>
  <c r="E718" i="32"/>
  <c r="D718" i="32"/>
  <c r="C718" i="32"/>
  <c r="I717" i="32"/>
  <c r="I716" i="32"/>
  <c r="G716" i="32"/>
  <c r="F716" i="32"/>
  <c r="E716" i="32"/>
  <c r="I714" i="32"/>
  <c r="G714" i="32"/>
  <c r="F714" i="32"/>
  <c r="E714" i="32"/>
  <c r="I712" i="32"/>
  <c r="I711" i="32"/>
  <c r="G711" i="32"/>
  <c r="F711" i="32"/>
  <c r="E711" i="32"/>
  <c r="F709" i="32"/>
  <c r="E709" i="32"/>
  <c r="D709" i="32"/>
  <c r="C709" i="32"/>
  <c r="I708" i="32"/>
  <c r="I707" i="32"/>
  <c r="G707" i="32"/>
  <c r="F707" i="32"/>
  <c r="E707" i="32"/>
  <c r="I705" i="32"/>
  <c r="G705" i="32"/>
  <c r="F705" i="32"/>
  <c r="E705" i="32"/>
  <c r="I703" i="32"/>
  <c r="I702" i="32"/>
  <c r="G702" i="32"/>
  <c r="F702" i="32"/>
  <c r="E702" i="32"/>
  <c r="F700" i="32"/>
  <c r="E700" i="32"/>
  <c r="D700" i="32"/>
  <c r="C700" i="32"/>
  <c r="I699" i="32"/>
  <c r="I698" i="32"/>
  <c r="G698" i="32"/>
  <c r="F698" i="32"/>
  <c r="E698" i="32"/>
  <c r="I696" i="32"/>
  <c r="G696" i="32"/>
  <c r="F696" i="32"/>
  <c r="E696" i="32"/>
  <c r="I694" i="32"/>
  <c r="I693" i="32"/>
  <c r="G693" i="32"/>
  <c r="F693" i="32"/>
  <c r="E693" i="32"/>
  <c r="F691" i="32"/>
  <c r="E691" i="32"/>
  <c r="D691" i="32"/>
  <c r="C691" i="32"/>
  <c r="I690" i="32"/>
  <c r="G690" i="32"/>
  <c r="F690" i="32"/>
  <c r="E690" i="32"/>
  <c r="I688" i="32"/>
  <c r="G688" i="32"/>
  <c r="F688" i="32"/>
  <c r="E688" i="32"/>
  <c r="I687" i="32"/>
  <c r="G687" i="32"/>
  <c r="F687" i="32"/>
  <c r="E687" i="32"/>
  <c r="F685" i="32"/>
  <c r="E685" i="32"/>
  <c r="D685" i="32"/>
  <c r="C685" i="32"/>
  <c r="I684" i="32"/>
  <c r="G684" i="32"/>
  <c r="F684" i="32"/>
  <c r="E684" i="32"/>
  <c r="I682" i="32"/>
  <c r="G682" i="32"/>
  <c r="F682" i="32"/>
  <c r="E682" i="32"/>
  <c r="I680" i="32"/>
  <c r="I679" i="32"/>
  <c r="G679" i="32"/>
  <c r="F679" i="32"/>
  <c r="E679" i="32"/>
  <c r="I678" i="32"/>
  <c r="G678" i="32"/>
  <c r="F678" i="32"/>
  <c r="E678" i="32"/>
  <c r="I677" i="32"/>
  <c r="G677" i="32"/>
  <c r="F677" i="32"/>
  <c r="E677" i="32"/>
  <c r="I676" i="32"/>
  <c r="G676" i="32"/>
  <c r="F676" i="32"/>
  <c r="E676" i="32"/>
  <c r="I675" i="32"/>
  <c r="G675" i="32"/>
  <c r="F675" i="32"/>
  <c r="E675" i="32"/>
  <c r="F673" i="32"/>
  <c r="E673" i="32"/>
  <c r="D673" i="32"/>
  <c r="C673" i="32"/>
  <c r="I671" i="32"/>
  <c r="G671" i="32"/>
  <c r="F671" i="32"/>
  <c r="E671" i="32"/>
  <c r="I669" i="32"/>
  <c r="G669" i="32"/>
  <c r="F669" i="32"/>
  <c r="E669" i="32"/>
  <c r="F667" i="32"/>
  <c r="E667" i="32"/>
  <c r="D667" i="32"/>
  <c r="C667" i="32"/>
  <c r="I666" i="32"/>
  <c r="G666" i="32"/>
  <c r="F666" i="32"/>
  <c r="E666" i="32"/>
  <c r="I664" i="32"/>
  <c r="G664" i="32"/>
  <c r="F664" i="32"/>
  <c r="E664" i="32"/>
  <c r="F662" i="32"/>
  <c r="E662" i="32"/>
  <c r="D662" i="32"/>
  <c r="C662" i="32"/>
  <c r="I661" i="32"/>
  <c r="G661" i="32"/>
  <c r="F661" i="32"/>
  <c r="E661" i="32"/>
  <c r="I659" i="32"/>
  <c r="G659" i="32"/>
  <c r="F659" i="32"/>
  <c r="E659" i="32"/>
  <c r="F657" i="32"/>
  <c r="E657" i="32"/>
  <c r="D657" i="32"/>
  <c r="C657" i="32"/>
  <c r="I656" i="32"/>
  <c r="G656" i="32"/>
  <c r="F656" i="32"/>
  <c r="E656" i="32"/>
  <c r="I654" i="32"/>
  <c r="G654" i="32"/>
  <c r="F654" i="32"/>
  <c r="E654" i="32"/>
  <c r="F652" i="32"/>
  <c r="E652" i="32"/>
  <c r="D652" i="32"/>
  <c r="C652" i="32"/>
  <c r="I650" i="32"/>
  <c r="G650" i="32"/>
  <c r="F650" i="32"/>
  <c r="E650" i="32"/>
  <c r="I649" i="32"/>
  <c r="G649" i="32"/>
  <c r="F649" i="32"/>
  <c r="E649" i="32"/>
  <c r="I647" i="32"/>
  <c r="G647" i="32"/>
  <c r="F647" i="32"/>
  <c r="E647" i="32"/>
  <c r="F645" i="32"/>
  <c r="E645" i="32"/>
  <c r="D645" i="32"/>
  <c r="C645" i="32"/>
  <c r="I643" i="32"/>
  <c r="G643" i="32"/>
  <c r="F643" i="32"/>
  <c r="E643" i="32"/>
  <c r="I641" i="32"/>
  <c r="G641" i="32"/>
  <c r="F641" i="32"/>
  <c r="E641" i="32"/>
  <c r="I639" i="32"/>
  <c r="G639" i="32"/>
  <c r="F639" i="32"/>
  <c r="E639" i="32"/>
  <c r="I638" i="32"/>
  <c r="G638" i="32"/>
  <c r="F638" i="32"/>
  <c r="E638" i="32"/>
  <c r="I637" i="32"/>
  <c r="G637" i="32"/>
  <c r="F637" i="32"/>
  <c r="E637" i="32"/>
  <c r="I636" i="32"/>
  <c r="G636" i="32"/>
  <c r="F636" i="32"/>
  <c r="E636" i="32"/>
  <c r="I635" i="32"/>
  <c r="G635" i="32"/>
  <c r="F635" i="32"/>
  <c r="E635" i="32"/>
  <c r="F633" i="32"/>
  <c r="E633" i="32"/>
  <c r="D633" i="32"/>
  <c r="C633" i="32"/>
  <c r="I632" i="32"/>
  <c r="G632" i="32"/>
  <c r="F632" i="32"/>
  <c r="E632" i="32"/>
  <c r="I630" i="32"/>
  <c r="G630" i="32"/>
  <c r="F630" i="32"/>
  <c r="E630" i="32"/>
  <c r="F628" i="32"/>
  <c r="E628" i="32"/>
  <c r="D628" i="32"/>
  <c r="C628" i="32"/>
  <c r="I626" i="32"/>
  <c r="I625" i="32"/>
  <c r="G625" i="32"/>
  <c r="F625" i="32"/>
  <c r="E625" i="32"/>
  <c r="I623" i="32"/>
  <c r="G623" i="32"/>
  <c r="F623" i="32"/>
  <c r="E623" i="32"/>
  <c r="I621" i="32"/>
  <c r="I620" i="32"/>
  <c r="G620" i="32"/>
  <c r="F620" i="32"/>
  <c r="E620" i="32"/>
  <c r="I619" i="32"/>
  <c r="G619" i="32"/>
  <c r="F619" i="32"/>
  <c r="E619" i="32"/>
  <c r="I618" i="32"/>
  <c r="G618" i="32"/>
  <c r="F618" i="32"/>
  <c r="E618" i="32"/>
  <c r="F616" i="32"/>
  <c r="E616" i="32"/>
  <c r="D616" i="32"/>
  <c r="C616" i="32"/>
  <c r="I615" i="32"/>
  <c r="G615" i="32"/>
  <c r="F615" i="32"/>
  <c r="E615" i="32"/>
  <c r="I613" i="32"/>
  <c r="G613" i="32"/>
  <c r="F613" i="32"/>
  <c r="E613" i="32"/>
  <c r="I612" i="32"/>
  <c r="G612" i="32"/>
  <c r="F612" i="32"/>
  <c r="E612" i="32"/>
  <c r="F610" i="32"/>
  <c r="E610" i="32"/>
  <c r="D610" i="32"/>
  <c r="C610" i="32"/>
  <c r="I609" i="32"/>
  <c r="G609" i="32"/>
  <c r="F609" i="32"/>
  <c r="E609" i="32"/>
  <c r="I607" i="32"/>
  <c r="I606" i="32"/>
  <c r="G606" i="32"/>
  <c r="F606" i="32"/>
  <c r="E606" i="32"/>
  <c r="F604" i="32"/>
  <c r="E604" i="32"/>
  <c r="D604" i="32"/>
  <c r="C604" i="32"/>
  <c r="I603" i="32"/>
  <c r="G603" i="32"/>
  <c r="F603" i="32"/>
  <c r="E603" i="32"/>
  <c r="I602" i="32"/>
  <c r="G602" i="32"/>
  <c r="F602" i="32"/>
  <c r="E602" i="32"/>
  <c r="I600" i="32"/>
  <c r="G600" i="32"/>
  <c r="F600" i="32"/>
  <c r="E600" i="32"/>
  <c r="I598" i="32"/>
  <c r="I597" i="32"/>
  <c r="G597" i="32"/>
  <c r="F597" i="32"/>
  <c r="E597" i="32"/>
  <c r="I596" i="32"/>
  <c r="G596" i="32"/>
  <c r="F596" i="32"/>
  <c r="E596" i="32"/>
  <c r="I595" i="32"/>
  <c r="G595" i="32"/>
  <c r="F595" i="32"/>
  <c r="E595" i="32"/>
  <c r="I594" i="32"/>
  <c r="G594" i="32"/>
  <c r="F594" i="32"/>
  <c r="E594" i="32"/>
  <c r="F592" i="32"/>
  <c r="E592" i="32"/>
  <c r="D592" i="32"/>
  <c r="C592" i="32"/>
  <c r="I590" i="32"/>
  <c r="I589" i="32"/>
  <c r="G589" i="32"/>
  <c r="F589" i="32"/>
  <c r="E589" i="32"/>
  <c r="I588" i="32"/>
  <c r="G588" i="32"/>
  <c r="F588" i="32"/>
  <c r="E588" i="32"/>
  <c r="I586" i="32"/>
  <c r="G586" i="32"/>
  <c r="F586" i="32"/>
  <c r="E586" i="32"/>
  <c r="F584" i="32"/>
  <c r="E584" i="32"/>
  <c r="D584" i="32"/>
  <c r="C584" i="32"/>
  <c r="I583" i="32"/>
  <c r="G583" i="32"/>
  <c r="F583" i="32"/>
  <c r="E583" i="32"/>
  <c r="I581" i="32"/>
  <c r="G581" i="32"/>
  <c r="F581" i="32"/>
  <c r="E581" i="32"/>
  <c r="I580" i="32"/>
  <c r="G580" i="32"/>
  <c r="F580" i="32"/>
  <c r="E580" i="32"/>
  <c r="I579" i="32"/>
  <c r="G579" i="32"/>
  <c r="F579" i="32"/>
  <c r="E579" i="32"/>
  <c r="F577" i="32"/>
  <c r="E577" i="32"/>
  <c r="D577" i="32"/>
  <c r="C577" i="32"/>
  <c r="I576" i="32"/>
  <c r="G576" i="32"/>
  <c r="F576" i="32"/>
  <c r="E576" i="32"/>
  <c r="I574" i="32"/>
  <c r="I573" i="32"/>
  <c r="G573" i="32"/>
  <c r="F573" i="32"/>
  <c r="E573" i="32"/>
  <c r="F571" i="32"/>
  <c r="E571" i="32"/>
  <c r="D571" i="32"/>
  <c r="C571" i="32"/>
  <c r="I570" i="32"/>
  <c r="G570" i="32"/>
  <c r="F570" i="32"/>
  <c r="E570" i="32"/>
  <c r="I568" i="32"/>
  <c r="I567" i="32"/>
  <c r="G567" i="32"/>
  <c r="F567" i="32"/>
  <c r="E567" i="32"/>
  <c r="F565" i="32"/>
  <c r="E565" i="32"/>
  <c r="D565" i="32"/>
  <c r="C565" i="32"/>
  <c r="I563" i="32"/>
  <c r="I562" i="32"/>
  <c r="G562" i="32"/>
  <c r="F562" i="32"/>
  <c r="E562" i="32"/>
  <c r="I560" i="32"/>
  <c r="G560" i="32"/>
  <c r="F560" i="32"/>
  <c r="E560" i="32"/>
  <c r="I558" i="32"/>
  <c r="I557" i="32"/>
  <c r="G557" i="32"/>
  <c r="F557" i="32"/>
  <c r="E557" i="32"/>
  <c r="I556" i="32"/>
  <c r="G556" i="32"/>
  <c r="F556" i="32"/>
  <c r="E556" i="32"/>
  <c r="I555" i="32"/>
  <c r="G555" i="32"/>
  <c r="F555" i="32"/>
  <c r="E555" i="32"/>
  <c r="F553" i="32"/>
  <c r="E553" i="32"/>
  <c r="D553" i="32"/>
  <c r="C553" i="32"/>
  <c r="I552" i="32"/>
  <c r="G552" i="32"/>
  <c r="F552" i="32"/>
  <c r="E552" i="32"/>
  <c r="I550" i="32"/>
  <c r="G550" i="32"/>
  <c r="F550" i="32"/>
  <c r="E550" i="32"/>
  <c r="I548" i="32"/>
  <c r="G548" i="32"/>
  <c r="F548" i="32"/>
  <c r="E548" i="32"/>
  <c r="I547" i="32"/>
  <c r="G547" i="32"/>
  <c r="F547" i="32"/>
  <c r="E547" i="32"/>
  <c r="F545" i="32"/>
  <c r="E545" i="32"/>
  <c r="D545" i="32"/>
  <c r="C545" i="32"/>
  <c r="I544" i="32"/>
  <c r="G544" i="32"/>
  <c r="F544" i="32"/>
  <c r="E544" i="32"/>
  <c r="I542" i="32"/>
  <c r="G542" i="32"/>
  <c r="F542" i="32"/>
  <c r="E542" i="32"/>
  <c r="F540" i="32"/>
  <c r="E540" i="32"/>
  <c r="D540" i="32"/>
  <c r="C540" i="32"/>
  <c r="I539" i="32"/>
  <c r="G539" i="32"/>
  <c r="F539" i="32"/>
  <c r="E539" i="32"/>
  <c r="I537" i="32"/>
  <c r="G537" i="32"/>
  <c r="F537" i="32"/>
  <c r="E537" i="32"/>
  <c r="I535" i="32"/>
  <c r="I534" i="32"/>
  <c r="G534" i="32"/>
  <c r="F534" i="32"/>
  <c r="E534" i="32"/>
  <c r="I533" i="32"/>
  <c r="G533" i="32"/>
  <c r="F533" i="32"/>
  <c r="E533" i="32"/>
  <c r="I532" i="32"/>
  <c r="G532" i="32"/>
  <c r="F532" i="32"/>
  <c r="E532" i="32"/>
  <c r="I531" i="32"/>
  <c r="G531" i="32"/>
  <c r="F531" i="32"/>
  <c r="E531" i="32"/>
  <c r="F529" i="32"/>
  <c r="E529" i="32"/>
  <c r="D529" i="32"/>
  <c r="C529" i="32"/>
  <c r="I528" i="32"/>
  <c r="I527" i="32"/>
  <c r="G527" i="32"/>
  <c r="F527" i="32"/>
  <c r="E527" i="32"/>
  <c r="I525" i="32"/>
  <c r="G525" i="32"/>
  <c r="F525" i="32"/>
  <c r="E525" i="32"/>
  <c r="I523" i="32"/>
  <c r="I522" i="32"/>
  <c r="G522" i="32"/>
  <c r="F522" i="32"/>
  <c r="E522" i="32"/>
  <c r="I521" i="32"/>
  <c r="G521" i="32"/>
  <c r="F521" i="32"/>
  <c r="E521" i="32"/>
  <c r="I520" i="32"/>
  <c r="G520" i="32"/>
  <c r="F520" i="32"/>
  <c r="E520" i="32"/>
  <c r="F518" i="32"/>
  <c r="E518" i="32"/>
  <c r="D518" i="32"/>
  <c r="C518" i="32"/>
  <c r="I517" i="32"/>
  <c r="G517" i="32"/>
  <c r="F517" i="32"/>
  <c r="E517" i="32"/>
  <c r="I515" i="32"/>
  <c r="G515" i="32"/>
  <c r="F515" i="32"/>
  <c r="E515" i="32"/>
  <c r="I513" i="32"/>
  <c r="G513" i="32"/>
  <c r="F513" i="32"/>
  <c r="E513" i="32"/>
  <c r="I512" i="32"/>
  <c r="G512" i="32"/>
  <c r="F512" i="32"/>
  <c r="E512" i="32"/>
  <c r="F510" i="32"/>
  <c r="E510" i="32"/>
  <c r="D510" i="32"/>
  <c r="C510" i="32"/>
  <c r="I509" i="32"/>
  <c r="I508" i="32"/>
  <c r="G508" i="32"/>
  <c r="F508" i="32"/>
  <c r="E508" i="32"/>
  <c r="I507" i="32"/>
  <c r="G507" i="32"/>
  <c r="F507" i="32"/>
  <c r="E507" i="32"/>
  <c r="I506" i="32"/>
  <c r="G506" i="32"/>
  <c r="F506" i="32"/>
  <c r="E506" i="32"/>
  <c r="I504" i="32"/>
  <c r="G504" i="32"/>
  <c r="F504" i="32"/>
  <c r="E504" i="32"/>
  <c r="I502" i="32"/>
  <c r="I501" i="32"/>
  <c r="G501" i="32"/>
  <c r="F501" i="32"/>
  <c r="E501" i="32"/>
  <c r="I500" i="32"/>
  <c r="G500" i="32"/>
  <c r="F500" i="32"/>
  <c r="E500" i="32"/>
  <c r="I499" i="32"/>
  <c r="G499" i="32"/>
  <c r="F499" i="32"/>
  <c r="E499" i="32"/>
  <c r="I498" i="32"/>
  <c r="G498" i="32"/>
  <c r="F498" i="32"/>
  <c r="E498" i="32"/>
  <c r="F496" i="32"/>
  <c r="E496" i="32"/>
  <c r="D496" i="32"/>
  <c r="C496" i="32"/>
  <c r="I495" i="32"/>
  <c r="G495" i="32"/>
  <c r="F495" i="32"/>
  <c r="E495" i="32"/>
  <c r="I493" i="32"/>
  <c r="G493" i="32"/>
  <c r="F493" i="32"/>
  <c r="E493" i="32"/>
  <c r="I491" i="32"/>
  <c r="I490" i="32"/>
  <c r="G490" i="32"/>
  <c r="F490" i="32"/>
  <c r="E490" i="32"/>
  <c r="I489" i="32"/>
  <c r="G489" i="32"/>
  <c r="F489" i="32"/>
  <c r="E489" i="32"/>
  <c r="I488" i="32"/>
  <c r="G488" i="32"/>
  <c r="F488" i="32"/>
  <c r="E488" i="32"/>
  <c r="F486" i="32"/>
  <c r="E486" i="32"/>
  <c r="D486" i="32"/>
  <c r="C486" i="32"/>
  <c r="I485" i="32"/>
  <c r="G485" i="32"/>
  <c r="F485" i="32"/>
  <c r="E485" i="32"/>
  <c r="I483" i="32"/>
  <c r="G483" i="32"/>
  <c r="F483" i="32"/>
  <c r="E483" i="32"/>
  <c r="I481" i="32"/>
  <c r="I480" i="32"/>
  <c r="G480" i="32"/>
  <c r="F480" i="32"/>
  <c r="E480" i="32"/>
  <c r="I479" i="32"/>
  <c r="G479" i="32"/>
  <c r="F479" i="32"/>
  <c r="E479" i="32"/>
  <c r="I478" i="32"/>
  <c r="G478" i="32"/>
  <c r="F478" i="32"/>
  <c r="E478" i="32"/>
  <c r="I477" i="32"/>
  <c r="G477" i="32"/>
  <c r="F477" i="32"/>
  <c r="E477" i="32"/>
  <c r="F475" i="32"/>
  <c r="E475" i="32"/>
  <c r="D475" i="32"/>
  <c r="C475" i="32"/>
  <c r="I474" i="32"/>
  <c r="G474" i="32"/>
  <c r="F474" i="32"/>
  <c r="E474" i="32"/>
  <c r="I473" i="32"/>
  <c r="G473" i="32"/>
  <c r="F473" i="32"/>
  <c r="E473" i="32"/>
  <c r="I471" i="32"/>
  <c r="G471" i="32"/>
  <c r="F471" i="32"/>
  <c r="E471" i="32"/>
  <c r="I469" i="32"/>
  <c r="I468" i="32"/>
  <c r="G468" i="32"/>
  <c r="F468" i="32"/>
  <c r="E468" i="32"/>
  <c r="I467" i="32"/>
  <c r="G467" i="32"/>
  <c r="F467" i="32"/>
  <c r="E467" i="32"/>
  <c r="I466" i="32"/>
  <c r="G466" i="32"/>
  <c r="F466" i="32"/>
  <c r="E466" i="32"/>
  <c r="I465" i="32"/>
  <c r="G465" i="32"/>
  <c r="F465" i="32"/>
  <c r="E465" i="32"/>
  <c r="F463" i="32"/>
  <c r="E463" i="32"/>
  <c r="D463" i="32"/>
  <c r="C463" i="32"/>
  <c r="I462" i="32"/>
  <c r="G462" i="32"/>
  <c r="F462" i="32"/>
  <c r="E462" i="32"/>
  <c r="I460" i="32"/>
  <c r="G460" i="32"/>
  <c r="F460" i="32"/>
  <c r="E460" i="32"/>
  <c r="I459" i="32"/>
  <c r="G459" i="32"/>
  <c r="F459" i="32"/>
  <c r="E459" i="32"/>
  <c r="F457" i="32"/>
  <c r="E457" i="32"/>
  <c r="D457" i="32"/>
  <c r="C457" i="32"/>
  <c r="I454" i="32"/>
  <c r="G454" i="32"/>
  <c r="F454" i="32"/>
  <c r="E454" i="32"/>
  <c r="I453" i="32"/>
  <c r="G453" i="32"/>
  <c r="F453" i="32"/>
  <c r="E453" i="32"/>
  <c r="I452" i="32"/>
  <c r="G452" i="32"/>
  <c r="F452" i="32"/>
  <c r="E452" i="32"/>
  <c r="I450" i="32"/>
  <c r="G450" i="32"/>
  <c r="F450" i="32"/>
  <c r="E450" i="32"/>
  <c r="I448" i="32"/>
  <c r="G448" i="32"/>
  <c r="F448" i="32"/>
  <c r="E448" i="32"/>
  <c r="I447" i="32"/>
  <c r="G447" i="32"/>
  <c r="F447" i="32"/>
  <c r="E447" i="32"/>
  <c r="I446" i="32"/>
  <c r="G446" i="32"/>
  <c r="F446" i="32"/>
  <c r="E446" i="32"/>
  <c r="I445" i="32"/>
  <c r="G445" i="32"/>
  <c r="F445" i="32"/>
  <c r="E445" i="32"/>
  <c r="F443" i="32"/>
  <c r="E443" i="32"/>
  <c r="D443" i="32"/>
  <c r="C443" i="32"/>
  <c r="I442" i="32"/>
  <c r="I441" i="32"/>
  <c r="G441" i="32"/>
  <c r="F441" i="32"/>
  <c r="E441" i="32"/>
  <c r="I440" i="32"/>
  <c r="G440" i="32"/>
  <c r="F440" i="32"/>
  <c r="E440" i="32"/>
  <c r="I438" i="32"/>
  <c r="G438" i="32"/>
  <c r="F438" i="32"/>
  <c r="E438" i="32"/>
  <c r="I436" i="32"/>
  <c r="G436" i="32"/>
  <c r="F436" i="32"/>
  <c r="E436" i="32"/>
  <c r="F434" i="32"/>
  <c r="E434" i="32"/>
  <c r="D434" i="32"/>
  <c r="C434" i="32"/>
  <c r="I433" i="32"/>
  <c r="I432" i="32"/>
  <c r="G432" i="32"/>
  <c r="F432" i="32"/>
  <c r="E432" i="32"/>
  <c r="I431" i="32"/>
  <c r="G431" i="32"/>
  <c r="F431" i="32"/>
  <c r="E431" i="32"/>
  <c r="I430" i="32"/>
  <c r="G430" i="32"/>
  <c r="F430" i="32"/>
  <c r="E430" i="32"/>
  <c r="I429" i="32"/>
  <c r="G429" i="32"/>
  <c r="F429" i="32"/>
  <c r="E429" i="32"/>
  <c r="I428" i="32"/>
  <c r="G428" i="32"/>
  <c r="F428" i="32"/>
  <c r="E428" i="32"/>
  <c r="I427" i="32"/>
  <c r="G427" i="32"/>
  <c r="F427" i="32"/>
  <c r="E427" i="32"/>
  <c r="I426" i="32"/>
  <c r="G426" i="32"/>
  <c r="F426" i="32"/>
  <c r="E426" i="32"/>
  <c r="I425" i="32"/>
  <c r="G425" i="32"/>
  <c r="F425" i="32"/>
  <c r="E425" i="32"/>
  <c r="I423" i="32"/>
  <c r="G423" i="32"/>
  <c r="F423" i="32"/>
  <c r="E423" i="32"/>
  <c r="I422" i="32"/>
  <c r="G422" i="32"/>
  <c r="F422" i="32"/>
  <c r="E422" i="32"/>
  <c r="I420" i="32"/>
  <c r="I419" i="32"/>
  <c r="G419" i="32"/>
  <c r="F419" i="32"/>
  <c r="E419" i="32"/>
  <c r="I418" i="32"/>
  <c r="G418" i="32"/>
  <c r="F418" i="32"/>
  <c r="E418" i="32"/>
  <c r="I417" i="32"/>
  <c r="G417" i="32"/>
  <c r="F417" i="32"/>
  <c r="E417" i="32"/>
  <c r="F415" i="32"/>
  <c r="E415" i="32"/>
  <c r="D415" i="32"/>
  <c r="C415" i="32"/>
  <c r="I413" i="32"/>
  <c r="G413" i="32"/>
  <c r="F413" i="32"/>
  <c r="E413" i="32"/>
  <c r="I412" i="32"/>
  <c r="G412" i="32"/>
  <c r="F412" i="32"/>
  <c r="E412" i="32"/>
  <c r="I411" i="32"/>
  <c r="G411" i="32"/>
  <c r="F411" i="32"/>
  <c r="E411" i="32"/>
  <c r="I409" i="32"/>
  <c r="G409" i="32"/>
  <c r="F409" i="32"/>
  <c r="E409" i="32"/>
  <c r="I407" i="32"/>
  <c r="G407" i="32"/>
  <c r="F407" i="32"/>
  <c r="E407" i="32"/>
  <c r="I406" i="32"/>
  <c r="G406" i="32"/>
  <c r="F406" i="32"/>
  <c r="E406" i="32"/>
  <c r="I405" i="32"/>
  <c r="G405" i="32"/>
  <c r="F405" i="32"/>
  <c r="E405" i="32"/>
  <c r="I404" i="32"/>
  <c r="G404" i="32"/>
  <c r="F404" i="32"/>
  <c r="E404" i="32"/>
  <c r="F402" i="32"/>
  <c r="E402" i="32"/>
  <c r="D402" i="32"/>
  <c r="C402" i="32"/>
  <c r="I401" i="32"/>
  <c r="I400" i="32"/>
  <c r="G400" i="32"/>
  <c r="F400" i="32"/>
  <c r="E400" i="32"/>
  <c r="I399" i="32"/>
  <c r="G399" i="32"/>
  <c r="F399" i="32"/>
  <c r="E399" i="32"/>
  <c r="I397" i="32"/>
  <c r="G397" i="32"/>
  <c r="F397" i="32"/>
  <c r="E397" i="32"/>
  <c r="I395" i="32"/>
  <c r="G395" i="32"/>
  <c r="F395" i="32"/>
  <c r="E395" i="32"/>
  <c r="F393" i="32"/>
  <c r="E393" i="32"/>
  <c r="D393" i="32"/>
  <c r="C393" i="32"/>
  <c r="I392" i="32"/>
  <c r="I391" i="32"/>
  <c r="G391" i="32"/>
  <c r="F391" i="32"/>
  <c r="E391" i="32"/>
  <c r="I390" i="32"/>
  <c r="G390" i="32"/>
  <c r="F390" i="32"/>
  <c r="E390" i="32"/>
  <c r="I389" i="32"/>
  <c r="G389" i="32"/>
  <c r="F389" i="32"/>
  <c r="E389" i="32"/>
  <c r="I388" i="32"/>
  <c r="G388" i="32"/>
  <c r="F388" i="32"/>
  <c r="E388" i="32"/>
  <c r="I387" i="32"/>
  <c r="G387" i="32"/>
  <c r="F387" i="32"/>
  <c r="E387" i="32"/>
  <c r="I386" i="32"/>
  <c r="G386" i="32"/>
  <c r="F386" i="32"/>
  <c r="E386" i="32"/>
  <c r="I385" i="32"/>
  <c r="G385" i="32"/>
  <c r="F385" i="32"/>
  <c r="E385" i="32"/>
  <c r="I384" i="32"/>
  <c r="G384" i="32"/>
  <c r="F384" i="32"/>
  <c r="E384" i="32"/>
  <c r="I382" i="32"/>
  <c r="G382" i="32"/>
  <c r="F382" i="32"/>
  <c r="E382" i="32"/>
  <c r="I381" i="32"/>
  <c r="G381" i="32"/>
  <c r="F381" i="32"/>
  <c r="E381" i="32"/>
  <c r="I379" i="32"/>
  <c r="I378" i="32"/>
  <c r="G378" i="32"/>
  <c r="F378" i="32"/>
  <c r="E378" i="32"/>
  <c r="I377" i="32"/>
  <c r="G377" i="32"/>
  <c r="F377" i="32"/>
  <c r="E377" i="32"/>
  <c r="I376" i="32"/>
  <c r="G376" i="32"/>
  <c r="F376" i="32"/>
  <c r="E376" i="32"/>
  <c r="F374" i="32"/>
  <c r="E374" i="32"/>
  <c r="D374" i="32"/>
  <c r="C374" i="32"/>
  <c r="I373" i="32"/>
  <c r="I372" i="32"/>
  <c r="G372" i="32"/>
  <c r="F372" i="32"/>
  <c r="E372" i="32"/>
  <c r="I371" i="32"/>
  <c r="G371" i="32"/>
  <c r="F371" i="32"/>
  <c r="E371" i="32"/>
  <c r="I370" i="32"/>
  <c r="G370" i="32"/>
  <c r="F370" i="32"/>
  <c r="E370" i="32"/>
  <c r="I369" i="32"/>
  <c r="G369" i="32"/>
  <c r="F369" i="32"/>
  <c r="E369" i="32"/>
  <c r="I368" i="32"/>
  <c r="G368" i="32"/>
  <c r="F368" i="32"/>
  <c r="E368" i="32"/>
  <c r="I366" i="32"/>
  <c r="G366" i="32"/>
  <c r="F366" i="32"/>
  <c r="E366" i="32"/>
  <c r="I364" i="32"/>
  <c r="G364" i="32"/>
  <c r="F364" i="32"/>
  <c r="E364" i="32"/>
  <c r="F362" i="32"/>
  <c r="E362" i="32"/>
  <c r="D362" i="32"/>
  <c r="C362" i="32"/>
  <c r="I361" i="32"/>
  <c r="G361" i="32"/>
  <c r="F361" i="32"/>
  <c r="E361" i="32"/>
  <c r="I360" i="32"/>
  <c r="G360" i="32"/>
  <c r="F360" i="32"/>
  <c r="E360" i="32"/>
  <c r="I358" i="32"/>
  <c r="G358" i="32"/>
  <c r="F358" i="32"/>
  <c r="E358" i="32"/>
  <c r="F356" i="32"/>
  <c r="E356" i="32"/>
  <c r="D356" i="32"/>
  <c r="C356" i="32"/>
  <c r="I355" i="32"/>
  <c r="I354" i="32"/>
  <c r="G354" i="32"/>
  <c r="F354" i="32"/>
  <c r="E354" i="32"/>
  <c r="I353" i="32"/>
  <c r="G353" i="32"/>
  <c r="F353" i="32"/>
  <c r="E353" i="32"/>
  <c r="I352" i="32"/>
  <c r="G352" i="32"/>
  <c r="F352" i="32"/>
  <c r="E352" i="32"/>
  <c r="I351" i="32"/>
  <c r="G351" i="32"/>
  <c r="F351" i="32"/>
  <c r="E351" i="32"/>
  <c r="I350" i="32"/>
  <c r="G350" i="32"/>
  <c r="F350" i="32"/>
  <c r="E350" i="32"/>
  <c r="I348" i="32"/>
  <c r="G348" i="32"/>
  <c r="F348" i="32"/>
  <c r="E348" i="32"/>
  <c r="I346" i="32"/>
  <c r="G346" i="32"/>
  <c r="F346" i="32"/>
  <c r="E346" i="32"/>
  <c r="F344" i="32"/>
  <c r="E344" i="32"/>
  <c r="D344" i="32"/>
  <c r="C344" i="32"/>
  <c r="I341" i="32"/>
  <c r="I340" i="32"/>
  <c r="G340" i="32"/>
  <c r="F340" i="32"/>
  <c r="E340" i="32"/>
  <c r="I339" i="32"/>
  <c r="G339" i="32"/>
  <c r="F339" i="32"/>
  <c r="E339" i="32"/>
  <c r="I337" i="32"/>
  <c r="G337" i="32"/>
  <c r="F337" i="32"/>
  <c r="E337" i="32"/>
  <c r="F335" i="32"/>
  <c r="E335" i="32"/>
  <c r="D335" i="32"/>
  <c r="C335" i="32"/>
  <c r="I334" i="32"/>
  <c r="I333" i="32"/>
  <c r="G333" i="32"/>
  <c r="F333" i="32"/>
  <c r="E333" i="32"/>
  <c r="I332" i="32"/>
  <c r="G332" i="32"/>
  <c r="F332" i="32"/>
  <c r="E332" i="32"/>
  <c r="I331" i="32"/>
  <c r="G331" i="32"/>
  <c r="F331" i="32"/>
  <c r="E331" i="32"/>
  <c r="I330" i="32"/>
  <c r="G330" i="32"/>
  <c r="F330" i="32"/>
  <c r="E330" i="32"/>
  <c r="I329" i="32"/>
  <c r="G329" i="32"/>
  <c r="F329" i="32"/>
  <c r="E329" i="32"/>
  <c r="I327" i="32"/>
  <c r="G327" i="32"/>
  <c r="F327" i="32"/>
  <c r="E327" i="32"/>
  <c r="I325" i="32"/>
  <c r="G325" i="32"/>
  <c r="F325" i="32"/>
  <c r="E325" i="32"/>
  <c r="F323" i="32"/>
  <c r="E323" i="32"/>
  <c r="D323" i="32"/>
  <c r="C323" i="32"/>
  <c r="I322" i="32"/>
  <c r="G322" i="32"/>
  <c r="F322" i="32"/>
  <c r="E322" i="32"/>
  <c r="I320" i="32"/>
  <c r="G320" i="32"/>
  <c r="F320" i="32"/>
  <c r="E320" i="32"/>
  <c r="F318" i="32"/>
  <c r="E318" i="32"/>
  <c r="D318" i="32"/>
  <c r="C318" i="32"/>
  <c r="I316" i="32"/>
  <c r="G316" i="32"/>
  <c r="F316" i="32"/>
  <c r="E316" i="32"/>
  <c r="I315" i="32"/>
  <c r="G315" i="32"/>
  <c r="F315" i="32"/>
  <c r="E315" i="32"/>
  <c r="I313" i="32"/>
  <c r="G313" i="32"/>
  <c r="F313" i="32"/>
  <c r="E313" i="32"/>
  <c r="F311" i="32"/>
  <c r="E311" i="32"/>
  <c r="D311" i="32"/>
  <c r="C311" i="32"/>
  <c r="I310" i="32"/>
  <c r="G310" i="32"/>
  <c r="F310" i="32"/>
  <c r="E310" i="32"/>
  <c r="I309" i="32"/>
  <c r="G309" i="32"/>
  <c r="F309" i="32"/>
  <c r="E309" i="32"/>
  <c r="I307" i="32"/>
  <c r="G307" i="32"/>
  <c r="F307" i="32"/>
  <c r="E307" i="32"/>
  <c r="F305" i="32"/>
  <c r="E305" i="32"/>
  <c r="D305" i="32"/>
  <c r="C305" i="32"/>
  <c r="I304" i="32"/>
  <c r="G304" i="32"/>
  <c r="F304" i="32"/>
  <c r="E304" i="32"/>
  <c r="I303" i="32"/>
  <c r="G303" i="32"/>
  <c r="F303" i="32"/>
  <c r="E303" i="32"/>
  <c r="I301" i="32"/>
  <c r="G301" i="32"/>
  <c r="F301" i="32"/>
  <c r="E301" i="32"/>
  <c r="F299" i="32"/>
  <c r="E299" i="32"/>
  <c r="D299" i="32"/>
  <c r="C299" i="32"/>
  <c r="I298" i="32"/>
  <c r="G298" i="32"/>
  <c r="F298" i="32"/>
  <c r="E298" i="32"/>
  <c r="I297" i="32"/>
  <c r="G297" i="32"/>
  <c r="F297" i="32"/>
  <c r="E297" i="32"/>
  <c r="I295" i="32"/>
  <c r="G295" i="32"/>
  <c r="F295" i="32"/>
  <c r="E295" i="32"/>
  <c r="F293" i="32"/>
  <c r="E293" i="32"/>
  <c r="D293" i="32"/>
  <c r="C293" i="32"/>
  <c r="I292" i="32"/>
  <c r="G292" i="32"/>
  <c r="F292" i="32"/>
  <c r="E292" i="32"/>
  <c r="I291" i="32"/>
  <c r="G291" i="32"/>
  <c r="F291" i="32"/>
  <c r="E291" i="32"/>
  <c r="I289" i="32"/>
  <c r="G289" i="32"/>
  <c r="F289" i="32"/>
  <c r="E289" i="32"/>
  <c r="F287" i="32"/>
  <c r="E287" i="32"/>
  <c r="D287" i="32"/>
  <c r="C287" i="32"/>
  <c r="I286" i="32"/>
  <c r="G286" i="32"/>
  <c r="F286" i="32"/>
  <c r="E286" i="32"/>
  <c r="I285" i="32"/>
  <c r="G285" i="32"/>
  <c r="F285" i="32"/>
  <c r="E285" i="32"/>
  <c r="I283" i="32"/>
  <c r="G283" i="32"/>
  <c r="F283" i="32"/>
  <c r="E283" i="32"/>
  <c r="F281" i="32"/>
  <c r="E281" i="32"/>
  <c r="D281" i="32"/>
  <c r="C281" i="32"/>
  <c r="I280" i="32"/>
  <c r="G280" i="32"/>
  <c r="F280" i="32"/>
  <c r="E280" i="32"/>
  <c r="I279" i="32"/>
  <c r="G279" i="32"/>
  <c r="F279" i="32"/>
  <c r="E279" i="32"/>
  <c r="I277" i="32"/>
  <c r="G277" i="32"/>
  <c r="F277" i="32"/>
  <c r="E277" i="32"/>
  <c r="F275" i="32"/>
  <c r="E275" i="32"/>
  <c r="D275" i="32"/>
  <c r="C275" i="32"/>
  <c r="I274" i="32"/>
  <c r="G274" i="32"/>
  <c r="F274" i="32"/>
  <c r="E274" i="32"/>
  <c r="I273" i="32"/>
  <c r="G273" i="32"/>
  <c r="F273" i="32"/>
  <c r="E273" i="32"/>
  <c r="I271" i="32"/>
  <c r="G271" i="32"/>
  <c r="F271" i="32"/>
  <c r="E271" i="32"/>
  <c r="F269" i="32"/>
  <c r="E269" i="32"/>
  <c r="D269" i="32"/>
  <c r="C269" i="32"/>
  <c r="I268" i="32"/>
  <c r="G268" i="32"/>
  <c r="F268" i="32"/>
  <c r="E268" i="32"/>
  <c r="I267" i="32"/>
  <c r="G267" i="32"/>
  <c r="F267" i="32"/>
  <c r="E267" i="32"/>
  <c r="I265" i="32"/>
  <c r="G265" i="32"/>
  <c r="F265" i="32"/>
  <c r="E265" i="32"/>
  <c r="F263" i="32"/>
  <c r="E263" i="32"/>
  <c r="D263" i="32"/>
  <c r="C263" i="32"/>
  <c r="I260" i="32"/>
  <c r="I259" i="32"/>
  <c r="G259" i="32"/>
  <c r="F259" i="32"/>
  <c r="E259" i="32"/>
  <c r="I257" i="32"/>
  <c r="G257" i="32"/>
  <c r="F257" i="32"/>
  <c r="E257" i="32"/>
  <c r="I255" i="32"/>
  <c r="I254" i="32"/>
  <c r="G254" i="32"/>
  <c r="F254" i="32"/>
  <c r="E254" i="32"/>
  <c r="F252" i="32"/>
  <c r="E252" i="32"/>
  <c r="D252" i="32"/>
  <c r="C252" i="32"/>
  <c r="I251" i="32"/>
  <c r="I250" i="32"/>
  <c r="G250" i="32"/>
  <c r="F250" i="32"/>
  <c r="E250" i="32"/>
  <c r="I249" i="32"/>
  <c r="G249" i="32"/>
  <c r="F249" i="32"/>
  <c r="E249" i="32"/>
  <c r="I247" i="32"/>
  <c r="G247" i="32"/>
  <c r="F247" i="32"/>
  <c r="E247" i="32"/>
  <c r="I245" i="32"/>
  <c r="I244" i="32"/>
  <c r="G244" i="32"/>
  <c r="F244" i="32"/>
  <c r="E244" i="32"/>
  <c r="I243" i="32"/>
  <c r="G243" i="32"/>
  <c r="F243" i="32"/>
  <c r="E243" i="32"/>
  <c r="F241" i="32"/>
  <c r="E241" i="32"/>
  <c r="D241" i="32"/>
  <c r="C241" i="32"/>
  <c r="I240" i="32"/>
  <c r="I239" i="32"/>
  <c r="G239" i="32"/>
  <c r="F239" i="32"/>
  <c r="E239" i="32"/>
  <c r="I238" i="32"/>
  <c r="G238" i="32"/>
  <c r="F238" i="32"/>
  <c r="E238" i="32"/>
  <c r="I236" i="32"/>
  <c r="G236" i="32"/>
  <c r="F236" i="32"/>
  <c r="E236" i="32"/>
  <c r="I234" i="32"/>
  <c r="I233" i="32"/>
  <c r="G233" i="32"/>
  <c r="F233" i="32"/>
  <c r="E233" i="32"/>
  <c r="I232" i="32"/>
  <c r="G232" i="32"/>
  <c r="F232" i="32"/>
  <c r="E232" i="32"/>
  <c r="I231" i="32"/>
  <c r="G231" i="32"/>
  <c r="F231" i="32"/>
  <c r="E231" i="32"/>
  <c r="I230" i="32"/>
  <c r="G230" i="32"/>
  <c r="F230" i="32"/>
  <c r="E230" i="32"/>
  <c r="I229" i="32"/>
  <c r="G229" i="32"/>
  <c r="F229" i="32"/>
  <c r="E229" i="32"/>
  <c r="I228" i="32"/>
  <c r="G228" i="32"/>
  <c r="F228" i="32"/>
  <c r="E228" i="32"/>
  <c r="F226" i="32"/>
  <c r="E226" i="32"/>
  <c r="D226" i="32"/>
  <c r="C226" i="32"/>
  <c r="I225" i="32"/>
  <c r="I224" i="32"/>
  <c r="G224" i="32"/>
  <c r="F224" i="32"/>
  <c r="E224" i="32"/>
  <c r="I223" i="32"/>
  <c r="G223" i="32"/>
  <c r="F223" i="32"/>
  <c r="E223" i="32"/>
  <c r="I221" i="32"/>
  <c r="G221" i="32"/>
  <c r="F221" i="32"/>
  <c r="E221" i="32"/>
  <c r="I219" i="32"/>
  <c r="I218" i="32"/>
  <c r="G218" i="32"/>
  <c r="F218" i="32"/>
  <c r="E218" i="32"/>
  <c r="I217" i="32"/>
  <c r="G217" i="32"/>
  <c r="F217" i="32"/>
  <c r="E217" i="32"/>
  <c r="I216" i="32"/>
  <c r="G216" i="32"/>
  <c r="F216" i="32"/>
  <c r="E216" i="32"/>
  <c r="F214" i="32"/>
  <c r="E214" i="32"/>
  <c r="D214" i="32"/>
  <c r="C214" i="32"/>
  <c r="I213" i="32"/>
  <c r="I212" i="32"/>
  <c r="G212" i="32"/>
  <c r="F212" i="32"/>
  <c r="E212" i="32"/>
  <c r="I210" i="32"/>
  <c r="G210" i="32"/>
  <c r="F210" i="32"/>
  <c r="E210" i="32"/>
  <c r="I208" i="32"/>
  <c r="I207" i="32"/>
  <c r="G207" i="32"/>
  <c r="F207" i="32"/>
  <c r="E207" i="32"/>
  <c r="I206" i="32"/>
  <c r="G206" i="32"/>
  <c r="F206" i="32"/>
  <c r="E206" i="32"/>
  <c r="F204" i="32"/>
  <c r="E204" i="32"/>
  <c r="D204" i="32"/>
  <c r="C204" i="32"/>
  <c r="I203" i="32"/>
  <c r="I202" i="32"/>
  <c r="G202" i="32"/>
  <c r="F202" i="32"/>
  <c r="E202" i="32"/>
  <c r="I201" i="32"/>
  <c r="G201" i="32"/>
  <c r="F201" i="32"/>
  <c r="E201" i="32"/>
  <c r="I200" i="32"/>
  <c r="G200" i="32"/>
  <c r="F200" i="32"/>
  <c r="E200" i="32"/>
  <c r="I199" i="32"/>
  <c r="G199" i="32"/>
  <c r="F199" i="32"/>
  <c r="E199" i="32"/>
  <c r="I198" i="32"/>
  <c r="G198" i="32"/>
  <c r="F198" i="32"/>
  <c r="E198" i="32"/>
  <c r="I196" i="32"/>
  <c r="G196" i="32"/>
  <c r="F196" i="32"/>
  <c r="E196" i="32"/>
  <c r="I194" i="32"/>
  <c r="G194" i="32"/>
  <c r="F194" i="32"/>
  <c r="E194" i="32"/>
  <c r="F192" i="32"/>
  <c r="E192" i="32"/>
  <c r="D192" i="32"/>
  <c r="C192" i="32"/>
  <c r="I191" i="32"/>
  <c r="G191" i="32"/>
  <c r="F191" i="32"/>
  <c r="E191" i="32"/>
  <c r="I189" i="32"/>
  <c r="I188" i="32"/>
  <c r="G188" i="32"/>
  <c r="F188" i="32"/>
  <c r="E188" i="32"/>
  <c r="F186" i="32"/>
  <c r="E186" i="32"/>
  <c r="D186" i="32"/>
  <c r="C186" i="32"/>
  <c r="I185" i="32"/>
  <c r="I184" i="32"/>
  <c r="G184" i="32"/>
  <c r="F184" i="32"/>
  <c r="E184" i="32"/>
  <c r="I183" i="32"/>
  <c r="G183" i="32"/>
  <c r="F183" i="32"/>
  <c r="E183" i="32"/>
  <c r="I182" i="32"/>
  <c r="G182" i="32"/>
  <c r="F182" i="32"/>
  <c r="E182" i="32"/>
  <c r="I180" i="32"/>
  <c r="G180" i="32"/>
  <c r="F180" i="32"/>
  <c r="E180" i="32"/>
  <c r="I178" i="32"/>
  <c r="I177" i="32"/>
  <c r="G177" i="32"/>
  <c r="F177" i="32"/>
  <c r="E177" i="32"/>
  <c r="I176" i="32"/>
  <c r="G176" i="32"/>
  <c r="F176" i="32"/>
  <c r="E176" i="32"/>
  <c r="I175" i="32"/>
  <c r="G175" i="32"/>
  <c r="F175" i="32"/>
  <c r="E175" i="32"/>
  <c r="I174" i="32"/>
  <c r="G174" i="32"/>
  <c r="F174" i="32"/>
  <c r="E174" i="32"/>
  <c r="I173" i="32"/>
  <c r="G173" i="32"/>
  <c r="F173" i="32"/>
  <c r="E173" i="32"/>
  <c r="I172" i="32"/>
  <c r="G172" i="32"/>
  <c r="F172" i="32"/>
  <c r="E172" i="32"/>
  <c r="F170" i="32"/>
  <c r="E170" i="32"/>
  <c r="D170" i="32"/>
  <c r="C170" i="32"/>
  <c r="I168" i="32"/>
  <c r="I167" i="32"/>
  <c r="G167" i="32"/>
  <c r="F167" i="32"/>
  <c r="E167" i="32"/>
  <c r="I165" i="32"/>
  <c r="G165" i="32"/>
  <c r="F165" i="32"/>
  <c r="E165" i="32"/>
  <c r="I163" i="32"/>
  <c r="I162" i="32"/>
  <c r="G162" i="32"/>
  <c r="F162" i="32"/>
  <c r="E162" i="32"/>
  <c r="I161" i="32"/>
  <c r="G161" i="32"/>
  <c r="F161" i="32"/>
  <c r="E161" i="32"/>
  <c r="F159" i="32"/>
  <c r="E159" i="32"/>
  <c r="D159" i="32"/>
  <c r="C159" i="32"/>
  <c r="I158" i="32"/>
  <c r="I157" i="32"/>
  <c r="G157" i="32"/>
  <c r="F157" i="32"/>
  <c r="E157" i="32"/>
  <c r="I156" i="32"/>
  <c r="G156" i="32"/>
  <c r="F156" i="32"/>
  <c r="E156" i="32"/>
  <c r="I155" i="32"/>
  <c r="G155" i="32"/>
  <c r="F155" i="32"/>
  <c r="E155" i="32"/>
  <c r="I154" i="32"/>
  <c r="G154" i="32"/>
  <c r="F154" i="32"/>
  <c r="E154" i="32"/>
  <c r="I153" i="32"/>
  <c r="G153" i="32"/>
  <c r="F153" i="32"/>
  <c r="E153" i="32"/>
  <c r="I151" i="32"/>
  <c r="G151" i="32"/>
  <c r="F151" i="32"/>
  <c r="E151" i="32"/>
  <c r="I149" i="32"/>
  <c r="G149" i="32"/>
  <c r="F149" i="32"/>
  <c r="E149" i="32"/>
  <c r="F147" i="32"/>
  <c r="E147" i="32"/>
  <c r="D147" i="32"/>
  <c r="C147" i="32"/>
  <c r="I146" i="32"/>
  <c r="I145" i="32"/>
  <c r="G145" i="32"/>
  <c r="F145" i="32"/>
  <c r="E145" i="32"/>
  <c r="I144" i="32"/>
  <c r="G144" i="32"/>
  <c r="F144" i="32"/>
  <c r="E144" i="32"/>
  <c r="I143" i="32"/>
  <c r="G143" i="32"/>
  <c r="F143" i="32"/>
  <c r="E143" i="32"/>
  <c r="I142" i="32"/>
  <c r="G142" i="32"/>
  <c r="F142" i="32"/>
  <c r="E142" i="32"/>
  <c r="I141" i="32"/>
  <c r="G141" i="32"/>
  <c r="F141" i="32"/>
  <c r="E141" i="32"/>
  <c r="I139" i="32"/>
  <c r="G139" i="32"/>
  <c r="F139" i="32"/>
  <c r="E139" i="32"/>
  <c r="I137" i="32"/>
  <c r="G137" i="32"/>
  <c r="F137" i="32"/>
  <c r="E137" i="32"/>
  <c r="F135" i="32"/>
  <c r="E135" i="32"/>
  <c r="D135" i="32"/>
  <c r="C135" i="32"/>
  <c r="I134" i="32"/>
  <c r="G134" i="32"/>
  <c r="F134" i="32"/>
  <c r="E134" i="32"/>
  <c r="I132" i="32"/>
  <c r="I131" i="32"/>
  <c r="G131" i="32"/>
  <c r="F131" i="32"/>
  <c r="E131" i="32"/>
  <c r="F129" i="32"/>
  <c r="E129" i="32"/>
  <c r="D129" i="32"/>
  <c r="C129" i="32"/>
  <c r="I128" i="32"/>
  <c r="I127" i="32"/>
  <c r="G127" i="32"/>
  <c r="F127" i="32"/>
  <c r="E127" i="32"/>
  <c r="I126" i="32"/>
  <c r="G126" i="32"/>
  <c r="F126" i="32"/>
  <c r="E126" i="32"/>
  <c r="I125" i="32"/>
  <c r="G125" i="32"/>
  <c r="F125" i="32"/>
  <c r="E125" i="32"/>
  <c r="I123" i="32"/>
  <c r="G123" i="32"/>
  <c r="F123" i="32"/>
  <c r="E123" i="32"/>
  <c r="I121" i="32"/>
  <c r="I120" i="32"/>
  <c r="G120" i="32"/>
  <c r="F120" i="32"/>
  <c r="E120" i="32"/>
  <c r="I119" i="32"/>
  <c r="G119" i="32"/>
  <c r="F119" i="32"/>
  <c r="E119" i="32"/>
  <c r="I118" i="32"/>
  <c r="G118" i="32"/>
  <c r="F118" i="32"/>
  <c r="E118" i="32"/>
  <c r="I117" i="32"/>
  <c r="G117" i="32"/>
  <c r="F117" i="32"/>
  <c r="E117" i="32"/>
  <c r="I116" i="32"/>
  <c r="G116" i="32"/>
  <c r="F116" i="32"/>
  <c r="E116" i="32"/>
  <c r="I115" i="32"/>
  <c r="G115" i="32"/>
  <c r="F115" i="32"/>
  <c r="E115" i="32"/>
  <c r="F113" i="32"/>
  <c r="E113" i="32"/>
  <c r="D113" i="32"/>
  <c r="C113" i="32"/>
  <c r="I111" i="32"/>
  <c r="G111" i="32"/>
  <c r="F111" i="32"/>
  <c r="E111" i="32"/>
  <c r="I110" i="32"/>
  <c r="G110" i="32"/>
  <c r="F110" i="32"/>
  <c r="E110" i="32"/>
  <c r="I108" i="32"/>
  <c r="G108" i="32"/>
  <c r="F108" i="32"/>
  <c r="E108" i="32"/>
  <c r="F106" i="32"/>
  <c r="E106" i="32"/>
  <c r="D106" i="32"/>
  <c r="C106" i="32"/>
  <c r="I105" i="32"/>
  <c r="G105" i="32"/>
  <c r="F105" i="32"/>
  <c r="E105" i="32"/>
  <c r="I104" i="32"/>
  <c r="G104" i="32"/>
  <c r="F104" i="32"/>
  <c r="E104" i="32"/>
  <c r="I102" i="32"/>
  <c r="G102" i="32"/>
  <c r="F102" i="32"/>
  <c r="E102" i="32"/>
  <c r="F100" i="32"/>
  <c r="E100" i="32"/>
  <c r="D100" i="32"/>
  <c r="C100" i="32"/>
  <c r="I97" i="32"/>
  <c r="I96" i="32"/>
  <c r="G96" i="32"/>
  <c r="F96" i="32"/>
  <c r="E96" i="32"/>
  <c r="I95" i="32"/>
  <c r="G95" i="32"/>
  <c r="F95" i="32"/>
  <c r="E95" i="32"/>
  <c r="I93" i="32"/>
  <c r="G93" i="32"/>
  <c r="F93" i="32"/>
  <c r="E93" i="32"/>
  <c r="F91" i="32"/>
  <c r="E91" i="32"/>
  <c r="D91" i="32"/>
  <c r="C91" i="32"/>
  <c r="I90" i="32"/>
  <c r="I89" i="32"/>
  <c r="G89" i="32"/>
  <c r="F89" i="32"/>
  <c r="E89" i="32"/>
  <c r="I88" i="32"/>
  <c r="G88" i="32"/>
  <c r="F88" i="32"/>
  <c r="E88" i="32"/>
  <c r="I87" i="32"/>
  <c r="G87" i="32"/>
  <c r="F87" i="32"/>
  <c r="E87" i="32"/>
  <c r="I86" i="32"/>
  <c r="G86" i="32"/>
  <c r="F86" i="32"/>
  <c r="E86" i="32"/>
  <c r="I85" i="32"/>
  <c r="G85" i="32"/>
  <c r="F85" i="32"/>
  <c r="E85" i="32"/>
  <c r="I83" i="32"/>
  <c r="G83" i="32"/>
  <c r="F83" i="32"/>
  <c r="E83" i="32"/>
  <c r="I81" i="32"/>
  <c r="G81" i="32"/>
  <c r="F81" i="32"/>
  <c r="E81" i="32"/>
  <c r="F79" i="32"/>
  <c r="E79" i="32"/>
  <c r="D79" i="32"/>
  <c r="C79" i="32"/>
  <c r="I78" i="32"/>
  <c r="G78" i="32"/>
  <c r="F78" i="32"/>
  <c r="E78" i="32"/>
  <c r="I76" i="32"/>
  <c r="G76" i="32"/>
  <c r="F76" i="32"/>
  <c r="E76" i="32"/>
  <c r="F74" i="32"/>
  <c r="E74" i="32"/>
  <c r="D74" i="32"/>
  <c r="C74" i="32"/>
  <c r="I72" i="32"/>
  <c r="G72" i="32"/>
  <c r="F72" i="32"/>
  <c r="E72" i="32"/>
  <c r="I71" i="32"/>
  <c r="G71" i="32"/>
  <c r="F71" i="32"/>
  <c r="E71" i="32"/>
  <c r="I69" i="32"/>
  <c r="G69" i="32"/>
  <c r="F69" i="32"/>
  <c r="E69" i="32"/>
  <c r="F67" i="32"/>
  <c r="E67" i="32"/>
  <c r="D67" i="32"/>
  <c r="C67" i="32"/>
  <c r="I66" i="32"/>
  <c r="G66" i="32"/>
  <c r="F66" i="32"/>
  <c r="E66" i="32"/>
  <c r="I65" i="32"/>
  <c r="G65" i="32"/>
  <c r="F65" i="32"/>
  <c r="E65" i="32"/>
  <c r="I63" i="32"/>
  <c r="G63" i="32"/>
  <c r="F63" i="32"/>
  <c r="E63" i="32"/>
  <c r="F61" i="32"/>
  <c r="E61" i="32"/>
  <c r="D61" i="32"/>
  <c r="C61" i="32"/>
  <c r="I60" i="32"/>
  <c r="G60" i="32"/>
  <c r="F60" i="32"/>
  <c r="E60" i="32"/>
  <c r="I58" i="32"/>
  <c r="G58" i="32"/>
  <c r="F58" i="32"/>
  <c r="E58" i="32"/>
  <c r="F56" i="32"/>
  <c r="E56" i="32"/>
  <c r="D56" i="32"/>
  <c r="C56" i="32"/>
  <c r="I55" i="32"/>
  <c r="G55" i="32"/>
  <c r="F55" i="32"/>
  <c r="E55" i="32"/>
  <c r="I54" i="32"/>
  <c r="G54" i="32"/>
  <c r="F54" i="32"/>
  <c r="E54" i="32"/>
  <c r="I52" i="32"/>
  <c r="G52" i="32"/>
  <c r="F52" i="32"/>
  <c r="E52" i="32"/>
  <c r="F50" i="32"/>
  <c r="E50" i="32"/>
  <c r="D50" i="32"/>
  <c r="C50" i="32"/>
  <c r="I49" i="32"/>
  <c r="G49" i="32"/>
  <c r="F49" i="32"/>
  <c r="E49" i="32"/>
  <c r="I48" i="32"/>
  <c r="G48" i="32"/>
  <c r="F48" i="32"/>
  <c r="E48" i="32"/>
  <c r="I46" i="32"/>
  <c r="G46" i="32"/>
  <c r="F46" i="32"/>
  <c r="E46" i="32"/>
  <c r="F44" i="32"/>
  <c r="E44" i="32"/>
  <c r="D44" i="32"/>
  <c r="C44" i="32"/>
  <c r="I43" i="32"/>
  <c r="G43" i="32"/>
  <c r="F43" i="32"/>
  <c r="E43" i="32"/>
  <c r="I42" i="32"/>
  <c r="G42" i="32"/>
  <c r="F42" i="32"/>
  <c r="E42" i="32"/>
  <c r="I40" i="32"/>
  <c r="G40" i="32"/>
  <c r="F40" i="32"/>
  <c r="E40" i="32"/>
  <c r="F38" i="32"/>
  <c r="E38" i="32"/>
  <c r="D38" i="32"/>
  <c r="C38" i="32"/>
  <c r="I37" i="32"/>
  <c r="G37" i="32"/>
  <c r="F37" i="32"/>
  <c r="E37" i="32"/>
  <c r="I36" i="32"/>
  <c r="G36" i="32"/>
  <c r="F36" i="32"/>
  <c r="E36" i="32"/>
  <c r="I34" i="32"/>
  <c r="G34" i="32"/>
  <c r="F34" i="32"/>
  <c r="E34" i="32"/>
  <c r="F32" i="32"/>
  <c r="E32" i="32"/>
  <c r="D32" i="32"/>
  <c r="C32" i="32"/>
  <c r="I31" i="32"/>
  <c r="G31" i="32"/>
  <c r="F31" i="32"/>
  <c r="E31" i="32"/>
  <c r="I30" i="32"/>
  <c r="G30" i="32"/>
  <c r="F30" i="32"/>
  <c r="E30" i="32"/>
  <c r="I28" i="32"/>
  <c r="G28" i="32"/>
  <c r="F28" i="32"/>
  <c r="E28" i="32"/>
  <c r="F26" i="32"/>
  <c r="E26" i="32"/>
  <c r="D26" i="32"/>
  <c r="C26" i="32"/>
  <c r="I25" i="32"/>
  <c r="G25" i="32"/>
  <c r="F25" i="32"/>
  <c r="E25" i="32"/>
  <c r="I24" i="32"/>
  <c r="G24" i="32"/>
  <c r="F24" i="32"/>
  <c r="E24" i="32"/>
  <c r="I22" i="32"/>
  <c r="G22" i="32"/>
  <c r="F22" i="32"/>
  <c r="E22" i="32"/>
  <c r="F20" i="32"/>
  <c r="E20" i="32"/>
  <c r="D20" i="32"/>
  <c r="C20" i="32"/>
  <c r="I19" i="32"/>
  <c r="G19" i="32"/>
  <c r="F19" i="32"/>
  <c r="E19" i="32"/>
  <c r="I18" i="32"/>
  <c r="G18" i="32"/>
  <c r="F18" i="32"/>
  <c r="E18" i="32"/>
  <c r="I16" i="32"/>
  <c r="G16" i="32"/>
  <c r="F16" i="32"/>
  <c r="E16" i="32"/>
  <c r="F14" i="32"/>
  <c r="E14" i="32"/>
  <c r="D14" i="32"/>
  <c r="C14" i="32"/>
  <c r="I13" i="32"/>
  <c r="G13" i="32"/>
  <c r="F13" i="32"/>
  <c r="E13" i="32"/>
  <c r="I12" i="32"/>
  <c r="G12" i="32"/>
  <c r="F12" i="32"/>
  <c r="E12" i="32"/>
  <c r="I10" i="32"/>
  <c r="G10" i="32"/>
  <c r="F10" i="32"/>
  <c r="E10" i="32"/>
  <c r="F8" i="32"/>
  <c r="E8" i="32"/>
  <c r="D8" i="32"/>
  <c r="C8" i="32"/>
  <c r="E67" i="30"/>
  <c r="G1723" i="18" s="1"/>
  <c r="E65" i="30"/>
  <c r="G291" i="18" s="1"/>
  <c r="E64" i="30"/>
  <c r="E63" i="30"/>
  <c r="G1297" i="18" s="1"/>
  <c r="E61" i="30"/>
  <c r="G1525" i="18" s="1"/>
  <c r="E60" i="30"/>
  <c r="G1796" i="18" s="1"/>
  <c r="E59" i="30"/>
  <c r="B48" i="30"/>
  <c r="B49" i="30" s="1"/>
  <c r="B50" i="30" s="1"/>
  <c r="B51" i="30" s="1"/>
  <c r="B52" i="30" s="1"/>
  <c r="B53" i="30" s="1"/>
  <c r="B55" i="30" s="1"/>
  <c r="B56" i="30" s="1"/>
  <c r="B57" i="30" s="1"/>
  <c r="B58" i="30" s="1"/>
  <c r="B59" i="30" s="1"/>
  <c r="B60" i="30" s="1"/>
  <c r="B61" i="30" s="1"/>
  <c r="B62" i="30" s="1"/>
  <c r="B63" i="30" s="1"/>
  <c r="B64" i="30" s="1"/>
  <c r="B65" i="30" s="1"/>
  <c r="B66" i="30" s="1"/>
  <c r="B67" i="30" s="1"/>
  <c r="B68" i="30" s="1"/>
  <c r="B69" i="30" s="1"/>
  <c r="B70" i="30" s="1"/>
  <c r="B71" i="30" s="1"/>
  <c r="B72" i="30" s="1"/>
  <c r="B73" i="30" s="1"/>
  <c r="B74" i="30" s="1"/>
  <c r="B75" i="30" s="1"/>
  <c r="B76" i="30" s="1"/>
  <c r="B77" i="30" s="1"/>
  <c r="B78" i="30" s="1"/>
  <c r="B79" i="30" s="1"/>
  <c r="B80" i="30" s="1"/>
  <c r="B81" i="30" s="1"/>
  <c r="B82" i="30" s="1"/>
  <c r="B83" i="30" s="1"/>
  <c r="B84" i="30" s="1"/>
  <c r="B85" i="30" s="1"/>
  <c r="B86" i="30" s="1"/>
  <c r="B87" i="30" s="1"/>
  <c r="B88" i="30" s="1"/>
  <c r="B89" i="30" s="1"/>
  <c r="B90" i="30" s="1"/>
  <c r="B91" i="30" s="1"/>
  <c r="B92" i="30" s="1"/>
  <c r="B93" i="30" s="1"/>
  <c r="B94" i="30" s="1"/>
  <c r="B46" i="30"/>
  <c r="B44" i="30"/>
  <c r="B42" i="30"/>
  <c r="B40" i="30"/>
  <c r="B38" i="30"/>
  <c r="B36" i="30"/>
  <c r="B34" i="30"/>
  <c r="B6" i="30"/>
  <c r="B7" i="30" s="1"/>
  <c r="B8" i="30" s="1"/>
  <c r="B9" i="30" s="1"/>
  <c r="B10" i="30" s="1"/>
  <c r="B11" i="30" s="1"/>
  <c r="B12" i="30" s="1"/>
  <c r="B13" i="30" s="1"/>
  <c r="B14" i="30" s="1"/>
  <c r="B15" i="30" s="1"/>
  <c r="B16" i="30" s="1"/>
  <c r="B17" i="30" s="1"/>
  <c r="B18" i="30" s="1"/>
  <c r="B19" i="30" s="1"/>
  <c r="B20" i="30" s="1"/>
  <c r="B21" i="30" s="1"/>
  <c r="B22" i="30" s="1"/>
  <c r="B23" i="30" s="1"/>
  <c r="B24" i="30" s="1"/>
  <c r="B25" i="30" s="1"/>
  <c r="B26" i="30" s="1"/>
  <c r="B27" i="30" s="1"/>
  <c r="B28" i="30" s="1"/>
  <c r="B29" i="30" s="1"/>
  <c r="G16" i="26"/>
  <c r="H16" i="26" s="1"/>
  <c r="G15" i="26"/>
  <c r="H15" i="26" s="1"/>
  <c r="G14" i="26"/>
  <c r="H14" i="26" s="1"/>
  <c r="G13" i="26"/>
  <c r="H13" i="26" s="1"/>
  <c r="G12" i="26"/>
  <c r="H12" i="26" s="1"/>
  <c r="G11" i="26"/>
  <c r="G10" i="26"/>
  <c r="H10" i="26" s="1"/>
  <c r="F9" i="26"/>
  <c r="E8" i="26"/>
  <c r="E6" i="26"/>
  <c r="K17" i="25"/>
  <c r="J17" i="25"/>
  <c r="I17" i="25"/>
  <c r="B8" i="25"/>
  <c r="G12" i="24"/>
  <c r="L886" i="22"/>
  <c r="J886" i="22"/>
  <c r="H886" i="22"/>
  <c r="E886" i="22"/>
  <c r="D886" i="22"/>
  <c r="E884" i="22"/>
  <c r="D884" i="22"/>
  <c r="C884" i="22"/>
  <c r="L883" i="22"/>
  <c r="J883" i="22"/>
  <c r="H883" i="22"/>
  <c r="E883" i="22"/>
  <c r="D883" i="22"/>
  <c r="E881" i="22"/>
  <c r="D881" i="22"/>
  <c r="C881" i="22"/>
  <c r="L880" i="22"/>
  <c r="J880" i="22"/>
  <c r="H880" i="22"/>
  <c r="E880" i="22"/>
  <c r="D880" i="22"/>
  <c r="L879" i="22"/>
  <c r="J879" i="22"/>
  <c r="H879" i="22"/>
  <c r="E879" i="22"/>
  <c r="D879" i="22"/>
  <c r="L877" i="22"/>
  <c r="J877" i="22"/>
  <c r="H877" i="22"/>
  <c r="E877" i="22"/>
  <c r="D877" i="22"/>
  <c r="F875" i="22"/>
  <c r="E875" i="22"/>
  <c r="D875" i="22"/>
  <c r="C875" i="22"/>
  <c r="H874" i="22"/>
  <c r="G874" i="22"/>
  <c r="G874" i="32" s="1"/>
  <c r="L873" i="22"/>
  <c r="L874" i="22" s="1"/>
  <c r="M231" i="12" s="1"/>
  <c r="R231" i="12" s="1"/>
  <c r="J873" i="22"/>
  <c r="J874" i="22" s="1"/>
  <c r="K231" i="12" s="1"/>
  <c r="H873" i="22"/>
  <c r="E873" i="22"/>
  <c r="D873" i="22"/>
  <c r="L871" i="22"/>
  <c r="J871" i="22"/>
  <c r="H871" i="22"/>
  <c r="E871" i="22"/>
  <c r="D871" i="22"/>
  <c r="F869" i="22"/>
  <c r="E869" i="22"/>
  <c r="D869" i="22"/>
  <c r="C869" i="22"/>
  <c r="L868" i="22"/>
  <c r="J868" i="22"/>
  <c r="H868" i="22"/>
  <c r="E868" i="22"/>
  <c r="D868" i="22"/>
  <c r="L866" i="22"/>
  <c r="J866" i="22"/>
  <c r="H866" i="22"/>
  <c r="E866" i="22"/>
  <c r="D866" i="22"/>
  <c r="F864" i="22"/>
  <c r="E864" i="22"/>
  <c r="D864" i="22"/>
  <c r="C864" i="22"/>
  <c r="H863" i="22"/>
  <c r="G863" i="22"/>
  <c r="G863" i="32" s="1"/>
  <c r="L862" i="22"/>
  <c r="L863" i="22" s="1"/>
  <c r="M248" i="12" s="1"/>
  <c r="R248" i="12" s="1"/>
  <c r="J862" i="22"/>
  <c r="J863" i="22" s="1"/>
  <c r="K248" i="12" s="1"/>
  <c r="H862" i="22"/>
  <c r="E862" i="22"/>
  <c r="D862" i="22"/>
  <c r="L860" i="22"/>
  <c r="J860" i="22"/>
  <c r="H860" i="22"/>
  <c r="E860" i="22"/>
  <c r="D860" i="22"/>
  <c r="H858" i="22"/>
  <c r="G858" i="22"/>
  <c r="G858" i="32" s="1"/>
  <c r="L857" i="22"/>
  <c r="J857" i="22"/>
  <c r="H857" i="22"/>
  <c r="E857" i="22"/>
  <c r="D857" i="22"/>
  <c r="L856" i="22"/>
  <c r="J856" i="22"/>
  <c r="H856" i="22"/>
  <c r="E856" i="22"/>
  <c r="D856" i="22"/>
  <c r="L855" i="22"/>
  <c r="J855" i="22"/>
  <c r="H855" i="22"/>
  <c r="E855" i="22"/>
  <c r="D855" i="22"/>
  <c r="E853" i="22"/>
  <c r="D853" i="22"/>
  <c r="C853" i="22"/>
  <c r="H852" i="22"/>
  <c r="G852" i="22"/>
  <c r="L851" i="22"/>
  <c r="L852" i="22" s="1"/>
  <c r="M239" i="12" s="1"/>
  <c r="R239" i="12" s="1"/>
  <c r="J851" i="22"/>
  <c r="J852" i="22" s="1"/>
  <c r="K239" i="12" s="1"/>
  <c r="H851" i="22"/>
  <c r="E851" i="22"/>
  <c r="D851" i="22"/>
  <c r="L849" i="22"/>
  <c r="J849" i="22"/>
  <c r="H849" i="22"/>
  <c r="E849" i="22"/>
  <c r="D849" i="22"/>
  <c r="H847" i="22"/>
  <c r="G847" i="22"/>
  <c r="G1753" i="18" s="1"/>
  <c r="L846" i="22"/>
  <c r="J846" i="22"/>
  <c r="H846" i="22"/>
  <c r="E846" i="22"/>
  <c r="D846" i="22"/>
  <c r="L845" i="22"/>
  <c r="J845" i="22"/>
  <c r="H845" i="22"/>
  <c r="E845" i="22"/>
  <c r="D845" i="22"/>
  <c r="L844" i="22"/>
  <c r="J844" i="22"/>
  <c r="H844" i="22"/>
  <c r="E844" i="22"/>
  <c r="D844" i="22"/>
  <c r="E842" i="22"/>
  <c r="D842" i="22"/>
  <c r="C842" i="22"/>
  <c r="L841" i="22"/>
  <c r="J841" i="22"/>
  <c r="H841" i="22"/>
  <c r="E841" i="22"/>
  <c r="D841" i="22"/>
  <c r="L839" i="22"/>
  <c r="J839" i="22"/>
  <c r="H839" i="22"/>
  <c r="E839" i="22"/>
  <c r="D839" i="22"/>
  <c r="L837" i="22"/>
  <c r="J837" i="22"/>
  <c r="H837" i="22"/>
  <c r="E837" i="22"/>
  <c r="D837" i="22"/>
  <c r="L836" i="22"/>
  <c r="J836" i="22"/>
  <c r="H836" i="22"/>
  <c r="E836" i="22"/>
  <c r="D836" i="22"/>
  <c r="E834" i="22"/>
  <c r="D834" i="22"/>
  <c r="C834" i="22"/>
  <c r="H833" i="22"/>
  <c r="G833" i="22"/>
  <c r="G1721" i="18" s="1"/>
  <c r="L832" i="22"/>
  <c r="J832" i="22"/>
  <c r="H832" i="22"/>
  <c r="E832" i="22"/>
  <c r="D832" i="22"/>
  <c r="L831" i="22"/>
  <c r="J831" i="22"/>
  <c r="H831" i="22"/>
  <c r="E831" i="22"/>
  <c r="D831" i="22"/>
  <c r="L830" i="22"/>
  <c r="J830" i="22"/>
  <c r="H830" i="22"/>
  <c r="E830" i="22"/>
  <c r="D830" i="22"/>
  <c r="L828" i="22"/>
  <c r="J828" i="22"/>
  <c r="H828" i="22"/>
  <c r="E828" i="22"/>
  <c r="D828" i="22"/>
  <c r="H826" i="22"/>
  <c r="G826" i="22"/>
  <c r="G826" i="32" s="1"/>
  <c r="L825" i="22"/>
  <c r="J825" i="22"/>
  <c r="H825" i="22"/>
  <c r="E825" i="22"/>
  <c r="D825" i="22"/>
  <c r="L824" i="22"/>
  <c r="J824" i="22"/>
  <c r="H824" i="22"/>
  <c r="E824" i="22"/>
  <c r="D824" i="22"/>
  <c r="L823" i="22"/>
  <c r="J823" i="22"/>
  <c r="H823" i="22"/>
  <c r="E823" i="22"/>
  <c r="D823" i="22"/>
  <c r="L822" i="22"/>
  <c r="J822" i="22"/>
  <c r="H822" i="22"/>
  <c r="E822" i="22"/>
  <c r="D822" i="22"/>
  <c r="F820" i="22"/>
  <c r="E820" i="22"/>
  <c r="D820" i="22"/>
  <c r="C820" i="22"/>
  <c r="L819" i="22"/>
  <c r="J819" i="22"/>
  <c r="H819" i="22"/>
  <c r="E819" i="22"/>
  <c r="D819" i="22"/>
  <c r="L817" i="22"/>
  <c r="J817" i="22"/>
  <c r="H817" i="22"/>
  <c r="E817" i="22"/>
  <c r="D817" i="22"/>
  <c r="F815" i="22"/>
  <c r="E815" i="22"/>
  <c r="D815" i="22"/>
  <c r="C815" i="22"/>
  <c r="L814" i="22"/>
  <c r="J814" i="22"/>
  <c r="H814" i="22"/>
  <c r="E814" i="22"/>
  <c r="D814" i="22"/>
  <c r="L812" i="22"/>
  <c r="J812" i="22"/>
  <c r="H812" i="22"/>
  <c r="E812" i="22"/>
  <c r="D812" i="22"/>
  <c r="H810" i="22"/>
  <c r="G810" i="22"/>
  <c r="G810" i="32" s="1"/>
  <c r="L809" i="22"/>
  <c r="J809" i="22"/>
  <c r="H809" i="22"/>
  <c r="E809" i="22"/>
  <c r="D809" i="22"/>
  <c r="L808" i="22"/>
  <c r="J808" i="22"/>
  <c r="H808" i="22"/>
  <c r="E808" i="22"/>
  <c r="D808" i="22"/>
  <c r="L807" i="22"/>
  <c r="J807" i="22"/>
  <c r="H807" i="22"/>
  <c r="E807" i="22"/>
  <c r="D807" i="22"/>
  <c r="L806" i="22"/>
  <c r="J806" i="22"/>
  <c r="H806" i="22"/>
  <c r="E806" i="22"/>
  <c r="D806" i="22"/>
  <c r="F804" i="22"/>
  <c r="E804" i="22"/>
  <c r="D804" i="22"/>
  <c r="C804" i="22"/>
  <c r="L803" i="22"/>
  <c r="J803" i="22"/>
  <c r="H803" i="22"/>
  <c r="E803" i="22"/>
  <c r="D803" i="22"/>
  <c r="L802" i="22"/>
  <c r="J802" i="22"/>
  <c r="H802" i="22"/>
  <c r="E802" i="22"/>
  <c r="D802" i="22"/>
  <c r="L800" i="22"/>
  <c r="J800" i="22"/>
  <c r="H800" i="22"/>
  <c r="E800" i="22"/>
  <c r="D800" i="22"/>
  <c r="H798" i="22"/>
  <c r="G798" i="22"/>
  <c r="L797" i="22"/>
  <c r="J797" i="22"/>
  <c r="H797" i="22"/>
  <c r="E797" i="22"/>
  <c r="D797" i="22"/>
  <c r="L796" i="22"/>
  <c r="J796" i="22"/>
  <c r="H796" i="22"/>
  <c r="E796" i="22"/>
  <c r="D796" i="22"/>
  <c r="L795" i="22"/>
  <c r="J795" i="22"/>
  <c r="H795" i="22"/>
  <c r="E795" i="22"/>
  <c r="D795" i="22"/>
  <c r="L794" i="22"/>
  <c r="J794" i="22"/>
  <c r="H794" i="22"/>
  <c r="E794" i="22"/>
  <c r="D794" i="22"/>
  <c r="F792" i="22"/>
  <c r="E792" i="22"/>
  <c r="D792" i="22"/>
  <c r="C792" i="22"/>
  <c r="L791" i="22"/>
  <c r="J791" i="22"/>
  <c r="H791" i="22"/>
  <c r="E791" i="22"/>
  <c r="D791" i="22"/>
  <c r="L790" i="22"/>
  <c r="J790" i="22"/>
  <c r="H790" i="22"/>
  <c r="E790" i="22"/>
  <c r="D790" i="22"/>
  <c r="L788" i="22"/>
  <c r="J788" i="22"/>
  <c r="H788" i="22"/>
  <c r="E788" i="22"/>
  <c r="D788" i="22"/>
  <c r="H786" i="22"/>
  <c r="G786" i="22"/>
  <c r="G786" i="32" s="1"/>
  <c r="L785" i="22"/>
  <c r="J785" i="22"/>
  <c r="H785" i="22"/>
  <c r="E785" i="22"/>
  <c r="D785" i="22"/>
  <c r="L784" i="22"/>
  <c r="J784" i="22"/>
  <c r="H784" i="22"/>
  <c r="E784" i="22"/>
  <c r="D784" i="22"/>
  <c r="L783" i="22"/>
  <c r="J783" i="22"/>
  <c r="H783" i="22"/>
  <c r="E783" i="22"/>
  <c r="D783" i="22"/>
  <c r="L782" i="22"/>
  <c r="J782" i="22"/>
  <c r="H782" i="22"/>
  <c r="E782" i="22"/>
  <c r="D782" i="22"/>
  <c r="F780" i="22"/>
  <c r="E780" i="22"/>
  <c r="D780" i="22"/>
  <c r="C780" i="22"/>
  <c r="L779" i="22"/>
  <c r="J779" i="22"/>
  <c r="H779" i="22"/>
  <c r="E779" i="22"/>
  <c r="D779" i="22"/>
  <c r="L778" i="22"/>
  <c r="J778" i="22"/>
  <c r="H778" i="22"/>
  <c r="E778" i="22"/>
  <c r="D778" i="22"/>
  <c r="L776" i="22"/>
  <c r="J776" i="22"/>
  <c r="H776" i="22"/>
  <c r="E776" i="22"/>
  <c r="D776" i="22"/>
  <c r="H774" i="22"/>
  <c r="G774" i="22"/>
  <c r="G774" i="32" s="1"/>
  <c r="L773" i="22"/>
  <c r="J773" i="22"/>
  <c r="H773" i="22"/>
  <c r="E773" i="22"/>
  <c r="D773" i="22"/>
  <c r="L772" i="22"/>
  <c r="J772" i="22"/>
  <c r="H772" i="22"/>
  <c r="E772" i="22"/>
  <c r="D772" i="22"/>
  <c r="L771" i="22"/>
  <c r="J771" i="22"/>
  <c r="H771" i="22"/>
  <c r="E771" i="22"/>
  <c r="D771" i="22"/>
  <c r="L770" i="22"/>
  <c r="J770" i="22"/>
  <c r="H770" i="22"/>
  <c r="E770" i="22"/>
  <c r="D770" i="22"/>
  <c r="F768" i="22"/>
  <c r="E768" i="22"/>
  <c r="D768" i="22"/>
  <c r="C768" i="22"/>
  <c r="H767" i="22"/>
  <c r="M767" i="22" s="1"/>
  <c r="L766" i="22"/>
  <c r="J766" i="22"/>
  <c r="H766" i="22"/>
  <c r="E766" i="22"/>
  <c r="D766" i="22"/>
  <c r="F764" i="22"/>
  <c r="E764" i="22"/>
  <c r="D764" i="22"/>
  <c r="C764" i="22"/>
  <c r="L763" i="22"/>
  <c r="J763" i="22"/>
  <c r="H763" i="22"/>
  <c r="E763" i="22"/>
  <c r="D763" i="22"/>
  <c r="H761" i="22"/>
  <c r="G761" i="22"/>
  <c r="G761" i="32" s="1"/>
  <c r="L760" i="22"/>
  <c r="J760" i="22"/>
  <c r="H760" i="22"/>
  <c r="E760" i="22"/>
  <c r="D760" i="22"/>
  <c r="L759" i="22"/>
  <c r="J759" i="22"/>
  <c r="H759" i="22"/>
  <c r="E759" i="22"/>
  <c r="D759" i="22"/>
  <c r="E757" i="22"/>
  <c r="D757" i="22"/>
  <c r="C757" i="22"/>
  <c r="L756" i="22"/>
  <c r="J756" i="22"/>
  <c r="H756" i="22"/>
  <c r="E756" i="22"/>
  <c r="D756" i="22"/>
  <c r="L754" i="22"/>
  <c r="J754" i="22"/>
  <c r="H754" i="22"/>
  <c r="E754" i="22"/>
  <c r="D754" i="22"/>
  <c r="L753" i="22"/>
  <c r="J753" i="22"/>
  <c r="H753" i="22"/>
  <c r="E753" i="22"/>
  <c r="D753" i="22"/>
  <c r="L752" i="22"/>
  <c r="J752" i="22"/>
  <c r="H752" i="22"/>
  <c r="E752" i="22"/>
  <c r="D752" i="22"/>
  <c r="F750" i="22"/>
  <c r="E750" i="22"/>
  <c r="D750" i="22"/>
  <c r="C750" i="22"/>
  <c r="L749" i="22"/>
  <c r="J749" i="22"/>
  <c r="H749" i="22"/>
  <c r="E749" i="22"/>
  <c r="D749" i="22"/>
  <c r="L747" i="22"/>
  <c r="J747" i="22"/>
  <c r="H747" i="22"/>
  <c r="E747" i="22"/>
  <c r="D747" i="22"/>
  <c r="L746" i="22"/>
  <c r="J746" i="22"/>
  <c r="H746" i="22"/>
  <c r="E746" i="22"/>
  <c r="D746" i="22"/>
  <c r="L745" i="22"/>
  <c r="J745" i="22"/>
  <c r="H745" i="22"/>
  <c r="E745" i="22"/>
  <c r="D745" i="22"/>
  <c r="F743" i="22"/>
  <c r="E743" i="22"/>
  <c r="D743" i="22"/>
  <c r="C743" i="22"/>
  <c r="L742" i="22"/>
  <c r="J742" i="22"/>
  <c r="H742" i="22"/>
  <c r="E742" i="22"/>
  <c r="D742" i="22"/>
  <c r="L740" i="22"/>
  <c r="J740" i="22"/>
  <c r="H740" i="22"/>
  <c r="E740" i="22"/>
  <c r="D740" i="22"/>
  <c r="L739" i="22"/>
  <c r="J739" i="22"/>
  <c r="H739" i="22"/>
  <c r="E739" i="22"/>
  <c r="D739" i="22"/>
  <c r="L738" i="22"/>
  <c r="J738" i="22"/>
  <c r="H738" i="22"/>
  <c r="E738" i="22"/>
  <c r="D738" i="22"/>
  <c r="F736" i="22"/>
  <c r="E736" i="22"/>
  <c r="D736" i="22"/>
  <c r="C736" i="22"/>
  <c r="H735" i="22"/>
  <c r="G735" i="22"/>
  <c r="G735" i="32" s="1"/>
  <c r="L734" i="22"/>
  <c r="L735" i="22" s="1"/>
  <c r="M236" i="12" s="1"/>
  <c r="R236" i="12" s="1"/>
  <c r="J734" i="22"/>
  <c r="J735" i="22" s="1"/>
  <c r="K236" i="12" s="1"/>
  <c r="H734" i="22"/>
  <c r="E734" i="22"/>
  <c r="D734" i="22"/>
  <c r="L732" i="22"/>
  <c r="J732" i="22"/>
  <c r="H732" i="22"/>
  <c r="E732" i="22"/>
  <c r="D732" i="22"/>
  <c r="H730" i="22"/>
  <c r="G730" i="22"/>
  <c r="G730" i="32" s="1"/>
  <c r="L729" i="22"/>
  <c r="L730" i="22" s="1"/>
  <c r="M244" i="3" s="1"/>
  <c r="R244" i="3" s="1"/>
  <c r="J729" i="22"/>
  <c r="J730" i="22" s="1"/>
  <c r="K244" i="3" s="1"/>
  <c r="H729" i="22"/>
  <c r="E729" i="22"/>
  <c r="D729" i="22"/>
  <c r="F727" i="22"/>
  <c r="E727" i="22"/>
  <c r="D727" i="22"/>
  <c r="C727" i="22"/>
  <c r="H726" i="22"/>
  <c r="G726" i="22"/>
  <c r="G726" i="32" s="1"/>
  <c r="L725" i="22"/>
  <c r="L726" i="22" s="1"/>
  <c r="J725" i="22"/>
  <c r="J726" i="22" s="1"/>
  <c r="K235" i="12" s="1"/>
  <c r="H725" i="22"/>
  <c r="E725" i="22"/>
  <c r="D725" i="22"/>
  <c r="L723" i="22"/>
  <c r="J723" i="22"/>
  <c r="H723" i="22"/>
  <c r="E723" i="22"/>
  <c r="D723" i="22"/>
  <c r="H721" i="22"/>
  <c r="G721" i="22"/>
  <c r="G721" i="32" s="1"/>
  <c r="L720" i="22"/>
  <c r="L721" i="22" s="1"/>
  <c r="M243" i="3" s="1"/>
  <c r="R243" i="3" s="1"/>
  <c r="J720" i="22"/>
  <c r="J721" i="22" s="1"/>
  <c r="K243" i="3" s="1"/>
  <c r="H720" i="22"/>
  <c r="E720" i="22"/>
  <c r="D720" i="22"/>
  <c r="F718" i="22"/>
  <c r="E718" i="22"/>
  <c r="D718" i="22"/>
  <c r="C718" i="22"/>
  <c r="H717" i="22"/>
  <c r="G717" i="22"/>
  <c r="L716" i="22"/>
  <c r="L717" i="22" s="1"/>
  <c r="M230" i="12" s="1"/>
  <c r="R230" i="12" s="1"/>
  <c r="J716" i="22"/>
  <c r="J717" i="22" s="1"/>
  <c r="K230" i="12" s="1"/>
  <c r="H716" i="22"/>
  <c r="E716" i="22"/>
  <c r="D716" i="22"/>
  <c r="L714" i="22"/>
  <c r="J714" i="22"/>
  <c r="H714" i="22"/>
  <c r="E714" i="22"/>
  <c r="D714" i="22"/>
  <c r="H712" i="22"/>
  <c r="G712" i="22"/>
  <c r="L711" i="22"/>
  <c r="L712" i="22" s="1"/>
  <c r="M240" i="3" s="1"/>
  <c r="R240" i="3" s="1"/>
  <c r="J711" i="22"/>
  <c r="J712" i="22" s="1"/>
  <c r="K240" i="3" s="1"/>
  <c r="H711" i="22"/>
  <c r="E711" i="22"/>
  <c r="D711" i="22"/>
  <c r="F709" i="22"/>
  <c r="E709" i="22"/>
  <c r="D709" i="22"/>
  <c r="C709" i="22"/>
  <c r="H708" i="22"/>
  <c r="G708" i="22"/>
  <c r="L707" i="22"/>
  <c r="L708" i="22" s="1"/>
  <c r="J707" i="22"/>
  <c r="J708" i="22" s="1"/>
  <c r="K234" i="12" s="1"/>
  <c r="H707" i="22"/>
  <c r="E707" i="22"/>
  <c r="D707" i="22"/>
  <c r="L705" i="22"/>
  <c r="J705" i="22"/>
  <c r="H705" i="22"/>
  <c r="E705" i="22"/>
  <c r="D705" i="22"/>
  <c r="H703" i="22"/>
  <c r="G703" i="22"/>
  <c r="G703" i="32" s="1"/>
  <c r="L702" i="22"/>
  <c r="J702" i="22"/>
  <c r="J703" i="22" s="1"/>
  <c r="K242" i="3" s="1"/>
  <c r="H702" i="22"/>
  <c r="E702" i="22"/>
  <c r="D702" i="22"/>
  <c r="F700" i="22"/>
  <c r="E700" i="22"/>
  <c r="D700" i="22"/>
  <c r="C700" i="22"/>
  <c r="H699" i="22"/>
  <c r="G699" i="22"/>
  <c r="G699" i="32" s="1"/>
  <c r="L698" i="22"/>
  <c r="L699" i="22" s="1"/>
  <c r="M229" i="12" s="1"/>
  <c r="R229" i="12" s="1"/>
  <c r="J698" i="22"/>
  <c r="J699" i="22" s="1"/>
  <c r="K229" i="12" s="1"/>
  <c r="H698" i="22"/>
  <c r="E698" i="22"/>
  <c r="D698" i="22"/>
  <c r="L696" i="22"/>
  <c r="J696" i="22"/>
  <c r="H696" i="22"/>
  <c r="E696" i="22"/>
  <c r="D696" i="22"/>
  <c r="H694" i="22"/>
  <c r="G694" i="22"/>
  <c r="G694" i="32" s="1"/>
  <c r="L693" i="22"/>
  <c r="L694" i="22" s="1"/>
  <c r="M239" i="3" s="1"/>
  <c r="R239" i="3" s="1"/>
  <c r="J693" i="22"/>
  <c r="J694" i="22" s="1"/>
  <c r="K239" i="3" s="1"/>
  <c r="H693" i="22"/>
  <c r="E693" i="22"/>
  <c r="D693" i="22"/>
  <c r="F691" i="22"/>
  <c r="E691" i="22"/>
  <c r="D691" i="22"/>
  <c r="C691" i="22"/>
  <c r="L690" i="22"/>
  <c r="J690" i="22"/>
  <c r="H690" i="22"/>
  <c r="E690" i="22"/>
  <c r="D690" i="22"/>
  <c r="L688" i="22"/>
  <c r="J688" i="22"/>
  <c r="H688" i="22"/>
  <c r="E688" i="22"/>
  <c r="D688" i="22"/>
  <c r="L687" i="22"/>
  <c r="J687" i="22"/>
  <c r="H687" i="22"/>
  <c r="E687" i="22"/>
  <c r="D687" i="22"/>
  <c r="F685" i="22"/>
  <c r="E685" i="22"/>
  <c r="D685" i="22"/>
  <c r="C685" i="22"/>
  <c r="L684" i="22"/>
  <c r="J684" i="22"/>
  <c r="H684" i="22"/>
  <c r="E684" i="22"/>
  <c r="D684" i="22"/>
  <c r="L682" i="22"/>
  <c r="J682" i="22"/>
  <c r="H682" i="22"/>
  <c r="E682" i="22"/>
  <c r="D682" i="22"/>
  <c r="H680" i="22"/>
  <c r="G680" i="22"/>
  <c r="G680" i="32" s="1"/>
  <c r="L679" i="22"/>
  <c r="J679" i="22"/>
  <c r="H679" i="22"/>
  <c r="E679" i="22"/>
  <c r="D679" i="22"/>
  <c r="L678" i="22"/>
  <c r="J678" i="22"/>
  <c r="H678" i="22"/>
  <c r="E678" i="22"/>
  <c r="D678" i="22"/>
  <c r="L677" i="22"/>
  <c r="J677" i="22"/>
  <c r="H677" i="22"/>
  <c r="E677" i="22"/>
  <c r="D677" i="22"/>
  <c r="L676" i="22"/>
  <c r="J676" i="22"/>
  <c r="H676" i="22"/>
  <c r="E676" i="22"/>
  <c r="D676" i="22"/>
  <c r="L675" i="22"/>
  <c r="J675" i="22"/>
  <c r="H675" i="22"/>
  <c r="E675" i="22"/>
  <c r="D675" i="22"/>
  <c r="F673" i="22"/>
  <c r="E673" i="22"/>
  <c r="D673" i="22"/>
  <c r="C673" i="22"/>
  <c r="H672" i="22"/>
  <c r="M672" i="22" s="1"/>
  <c r="L671" i="22"/>
  <c r="J671" i="22"/>
  <c r="H671" i="22"/>
  <c r="E671" i="22"/>
  <c r="D671" i="22"/>
  <c r="L669" i="22"/>
  <c r="J669" i="22"/>
  <c r="H669" i="22"/>
  <c r="E669" i="22"/>
  <c r="D669" i="22"/>
  <c r="E667" i="22"/>
  <c r="D667" i="22"/>
  <c r="C667" i="22"/>
  <c r="L666" i="22"/>
  <c r="J666" i="22"/>
  <c r="H666" i="22"/>
  <c r="E666" i="22"/>
  <c r="D666" i="22"/>
  <c r="L664" i="22"/>
  <c r="J664" i="22"/>
  <c r="H664" i="22"/>
  <c r="E664" i="22"/>
  <c r="D664" i="22"/>
  <c r="E662" i="22"/>
  <c r="D662" i="22"/>
  <c r="C662" i="22"/>
  <c r="L661" i="22"/>
  <c r="J661" i="22"/>
  <c r="H661" i="22"/>
  <c r="E661" i="22"/>
  <c r="D661" i="22"/>
  <c r="L659" i="22"/>
  <c r="J659" i="22"/>
  <c r="H659" i="22"/>
  <c r="E659" i="22"/>
  <c r="D659" i="22"/>
  <c r="E657" i="22"/>
  <c r="D657" i="22"/>
  <c r="C657" i="22"/>
  <c r="L656" i="22"/>
  <c r="J656" i="22"/>
  <c r="H656" i="22"/>
  <c r="E656" i="22"/>
  <c r="D656" i="22"/>
  <c r="L654" i="22"/>
  <c r="J654" i="22"/>
  <c r="H654" i="22"/>
  <c r="E654" i="22"/>
  <c r="D654" i="22"/>
  <c r="E652" i="22"/>
  <c r="D652" i="22"/>
  <c r="C652" i="22"/>
  <c r="H651" i="22"/>
  <c r="Q651" i="22" s="1"/>
  <c r="L650" i="22"/>
  <c r="J650" i="22"/>
  <c r="H650" i="22"/>
  <c r="E650" i="22"/>
  <c r="D650" i="22"/>
  <c r="L649" i="22"/>
  <c r="J649" i="22"/>
  <c r="H649" i="22"/>
  <c r="E649" i="22"/>
  <c r="D649" i="22"/>
  <c r="L647" i="22"/>
  <c r="J647" i="22"/>
  <c r="H647" i="22"/>
  <c r="E647" i="22"/>
  <c r="D647" i="22"/>
  <c r="E645" i="22"/>
  <c r="D645" i="22"/>
  <c r="C645" i="22"/>
  <c r="H644" i="22"/>
  <c r="M644" i="22" s="1"/>
  <c r="L643" i="22"/>
  <c r="J643" i="22"/>
  <c r="H643" i="22"/>
  <c r="E643" i="22"/>
  <c r="D643" i="22"/>
  <c r="L641" i="22"/>
  <c r="J641" i="22"/>
  <c r="H641" i="22"/>
  <c r="E641" i="22"/>
  <c r="D641" i="22"/>
  <c r="L639" i="22"/>
  <c r="J639" i="22"/>
  <c r="H639" i="22"/>
  <c r="E639" i="22"/>
  <c r="D639" i="22"/>
  <c r="L638" i="22"/>
  <c r="J638" i="22"/>
  <c r="H638" i="22"/>
  <c r="E638" i="22"/>
  <c r="D638" i="22"/>
  <c r="L637" i="22"/>
  <c r="J637" i="22"/>
  <c r="H637" i="22"/>
  <c r="E637" i="22"/>
  <c r="D637" i="22"/>
  <c r="L636" i="22"/>
  <c r="J636" i="22"/>
  <c r="H636" i="22"/>
  <c r="E636" i="22"/>
  <c r="D636" i="22"/>
  <c r="L635" i="22"/>
  <c r="J635" i="22"/>
  <c r="H635" i="22"/>
  <c r="E635" i="22"/>
  <c r="D635" i="22"/>
  <c r="F633" i="22"/>
  <c r="I644" i="22" s="1"/>
  <c r="E633" i="22"/>
  <c r="D633" i="22"/>
  <c r="C633" i="22"/>
  <c r="L632" i="22"/>
  <c r="J632" i="22"/>
  <c r="H632" i="22"/>
  <c r="E632" i="22"/>
  <c r="D632" i="22"/>
  <c r="L630" i="22"/>
  <c r="J630" i="22"/>
  <c r="H630" i="22"/>
  <c r="E630" i="22"/>
  <c r="D630" i="22"/>
  <c r="E628" i="22"/>
  <c r="D628" i="22"/>
  <c r="C628" i="22"/>
  <c r="H627" i="22"/>
  <c r="M627" i="22" s="1"/>
  <c r="H626" i="22"/>
  <c r="G626" i="22"/>
  <c r="G626" i="32" s="1"/>
  <c r="L625" i="22"/>
  <c r="L626" i="22" s="1"/>
  <c r="M247" i="12" s="1"/>
  <c r="R247" i="12" s="1"/>
  <c r="J625" i="22"/>
  <c r="H625" i="22"/>
  <c r="E625" i="22"/>
  <c r="D625" i="22"/>
  <c r="L623" i="22"/>
  <c r="J623" i="22"/>
  <c r="H623" i="22"/>
  <c r="E623" i="22"/>
  <c r="D623" i="22"/>
  <c r="H621" i="22"/>
  <c r="G621" i="22"/>
  <c r="G621" i="32" s="1"/>
  <c r="L620" i="22"/>
  <c r="J620" i="22"/>
  <c r="H620" i="22"/>
  <c r="E620" i="22"/>
  <c r="D620" i="22"/>
  <c r="L619" i="22"/>
  <c r="J619" i="22"/>
  <c r="H619" i="22"/>
  <c r="E619" i="22"/>
  <c r="D619" i="22"/>
  <c r="L618" i="22"/>
  <c r="J618" i="22"/>
  <c r="H618" i="22"/>
  <c r="E618" i="22"/>
  <c r="D618" i="22"/>
  <c r="E616" i="22"/>
  <c r="D616" i="22"/>
  <c r="C616" i="22"/>
  <c r="L615" i="22"/>
  <c r="J615" i="22"/>
  <c r="H615" i="22"/>
  <c r="E615" i="22"/>
  <c r="D615" i="22"/>
  <c r="L613" i="22"/>
  <c r="J613" i="22"/>
  <c r="H613" i="22"/>
  <c r="E613" i="22"/>
  <c r="D613" i="22"/>
  <c r="L612" i="22"/>
  <c r="J612" i="22"/>
  <c r="H612" i="22"/>
  <c r="E612" i="22"/>
  <c r="D612" i="22"/>
  <c r="E610" i="22"/>
  <c r="D610" i="22"/>
  <c r="C610" i="22"/>
  <c r="L609" i="22"/>
  <c r="J609" i="22"/>
  <c r="H609" i="22"/>
  <c r="E609" i="22"/>
  <c r="D609" i="22"/>
  <c r="H607" i="22"/>
  <c r="G607" i="22"/>
  <c r="G607" i="32" s="1"/>
  <c r="L606" i="22"/>
  <c r="L607" i="22" s="1"/>
  <c r="M215" i="3" s="1"/>
  <c r="R215" i="3" s="1"/>
  <c r="J606" i="22"/>
  <c r="J607" i="22" s="1"/>
  <c r="K215" i="3" s="1"/>
  <c r="H606" i="22"/>
  <c r="E606" i="22"/>
  <c r="D606" i="22"/>
  <c r="E604" i="22"/>
  <c r="D604" i="22"/>
  <c r="C604" i="22"/>
  <c r="L603" i="22"/>
  <c r="J603" i="22"/>
  <c r="H603" i="22"/>
  <c r="E603" i="22"/>
  <c r="D603" i="22"/>
  <c r="L602" i="22"/>
  <c r="J602" i="22"/>
  <c r="H602" i="22"/>
  <c r="E602" i="22"/>
  <c r="D602" i="22"/>
  <c r="L600" i="22"/>
  <c r="J600" i="22"/>
  <c r="H600" i="22"/>
  <c r="E600" i="22"/>
  <c r="D600" i="22"/>
  <c r="H598" i="22"/>
  <c r="G598" i="22"/>
  <c r="L597" i="22"/>
  <c r="J597" i="22"/>
  <c r="H597" i="22"/>
  <c r="E597" i="22"/>
  <c r="D597" i="22"/>
  <c r="L596" i="22"/>
  <c r="J596" i="22"/>
  <c r="H596" i="22"/>
  <c r="E596" i="22"/>
  <c r="D596" i="22"/>
  <c r="L595" i="22"/>
  <c r="J595" i="22"/>
  <c r="H595" i="22"/>
  <c r="E595" i="22"/>
  <c r="D595" i="22"/>
  <c r="L594" i="22"/>
  <c r="J594" i="22"/>
  <c r="H594" i="22"/>
  <c r="E594" i="22"/>
  <c r="D594" i="22"/>
  <c r="E592" i="22"/>
  <c r="D592" i="22"/>
  <c r="C592" i="22"/>
  <c r="H591" i="22"/>
  <c r="Q591" i="22" s="1"/>
  <c r="H590" i="22"/>
  <c r="G590" i="22"/>
  <c r="G590" i="32" s="1"/>
  <c r="L589" i="22"/>
  <c r="J589" i="22"/>
  <c r="H589" i="22"/>
  <c r="E589" i="22"/>
  <c r="D589" i="22"/>
  <c r="L588" i="22"/>
  <c r="J588" i="22"/>
  <c r="H588" i="22"/>
  <c r="E588" i="22"/>
  <c r="D588" i="22"/>
  <c r="L586" i="22"/>
  <c r="J586" i="22"/>
  <c r="H586" i="22"/>
  <c r="E586" i="22"/>
  <c r="D586" i="22"/>
  <c r="E584" i="22"/>
  <c r="D584" i="22"/>
  <c r="C584" i="22"/>
  <c r="L583" i="22"/>
  <c r="J583" i="22"/>
  <c r="H583" i="22"/>
  <c r="E583" i="22"/>
  <c r="D583" i="22"/>
  <c r="L581" i="22"/>
  <c r="J581" i="22"/>
  <c r="H581" i="22"/>
  <c r="E581" i="22"/>
  <c r="D581" i="22"/>
  <c r="L580" i="22"/>
  <c r="J580" i="22"/>
  <c r="H580" i="22"/>
  <c r="E580" i="22"/>
  <c r="D580" i="22"/>
  <c r="L579" i="22"/>
  <c r="J579" i="22"/>
  <c r="H579" i="22"/>
  <c r="E579" i="22"/>
  <c r="D579" i="22"/>
  <c r="F577" i="22"/>
  <c r="E577" i="22"/>
  <c r="D577" i="22"/>
  <c r="C577" i="22"/>
  <c r="L576" i="22"/>
  <c r="J576" i="22"/>
  <c r="H576" i="22"/>
  <c r="E576" i="22"/>
  <c r="D576" i="22"/>
  <c r="H574" i="22"/>
  <c r="G574" i="22"/>
  <c r="G574" i="32" s="1"/>
  <c r="L573" i="22"/>
  <c r="L574" i="22" s="1"/>
  <c r="M241" i="3" s="1"/>
  <c r="R241" i="3" s="1"/>
  <c r="J573" i="22"/>
  <c r="J574" i="22" s="1"/>
  <c r="K241" i="3" s="1"/>
  <c r="H573" i="22"/>
  <c r="E573" i="22"/>
  <c r="D573" i="22"/>
  <c r="F571" i="22"/>
  <c r="E571" i="22"/>
  <c r="D571" i="22"/>
  <c r="C571" i="22"/>
  <c r="L570" i="22"/>
  <c r="J570" i="22"/>
  <c r="H570" i="22"/>
  <c r="E570" i="22"/>
  <c r="D570" i="22"/>
  <c r="H568" i="22"/>
  <c r="G568" i="22"/>
  <c r="G568" i="32" s="1"/>
  <c r="L567" i="22"/>
  <c r="L568" i="22" s="1"/>
  <c r="M238" i="3" s="1"/>
  <c r="R238" i="3" s="1"/>
  <c r="J567" i="22"/>
  <c r="J568" i="22" s="1"/>
  <c r="K238" i="3" s="1"/>
  <c r="H567" i="22"/>
  <c r="E567" i="22"/>
  <c r="D567" i="22"/>
  <c r="F565" i="22"/>
  <c r="E565" i="22"/>
  <c r="D565" i="22"/>
  <c r="C565" i="22"/>
  <c r="H564" i="22"/>
  <c r="Q564" i="22" s="1"/>
  <c r="H563" i="22"/>
  <c r="G563" i="22"/>
  <c r="G563" i="32" s="1"/>
  <c r="L562" i="22"/>
  <c r="L563" i="22" s="1"/>
  <c r="M238" i="12" s="1"/>
  <c r="R238" i="12" s="1"/>
  <c r="J562" i="22"/>
  <c r="J563" i="22" s="1"/>
  <c r="K238" i="12" s="1"/>
  <c r="H562" i="22"/>
  <c r="E562" i="22"/>
  <c r="D562" i="22"/>
  <c r="L560" i="22"/>
  <c r="J560" i="22"/>
  <c r="H560" i="22"/>
  <c r="E560" i="22"/>
  <c r="D560" i="22"/>
  <c r="H558" i="22"/>
  <c r="G558" i="22"/>
  <c r="G558" i="32" s="1"/>
  <c r="L557" i="22"/>
  <c r="J557" i="22"/>
  <c r="H557" i="22"/>
  <c r="E557" i="22"/>
  <c r="D557" i="22"/>
  <c r="L556" i="22"/>
  <c r="J556" i="22"/>
  <c r="H556" i="22"/>
  <c r="E556" i="22"/>
  <c r="D556" i="22"/>
  <c r="L555" i="22"/>
  <c r="J555" i="22"/>
  <c r="H555" i="22"/>
  <c r="E555" i="22"/>
  <c r="D555" i="22"/>
  <c r="E553" i="22"/>
  <c r="D553" i="22"/>
  <c r="C553" i="22"/>
  <c r="L552" i="22"/>
  <c r="J552" i="22"/>
  <c r="H552" i="22"/>
  <c r="E552" i="22"/>
  <c r="D552" i="22"/>
  <c r="L550" i="22"/>
  <c r="J550" i="22"/>
  <c r="H550" i="22"/>
  <c r="E550" i="22"/>
  <c r="D550" i="22"/>
  <c r="L548" i="22"/>
  <c r="J548" i="22"/>
  <c r="H548" i="22"/>
  <c r="E548" i="22"/>
  <c r="D548" i="22"/>
  <c r="L547" i="22"/>
  <c r="J547" i="22"/>
  <c r="H547" i="22"/>
  <c r="E547" i="22"/>
  <c r="D547" i="22"/>
  <c r="E545" i="22"/>
  <c r="D545" i="22"/>
  <c r="C545" i="22"/>
  <c r="L544" i="22"/>
  <c r="J544" i="22"/>
  <c r="H544" i="22"/>
  <c r="E544" i="22"/>
  <c r="D544" i="22"/>
  <c r="L542" i="22"/>
  <c r="J542" i="22"/>
  <c r="H542" i="22"/>
  <c r="E542" i="22"/>
  <c r="D542" i="22"/>
  <c r="E540" i="22"/>
  <c r="D540" i="22"/>
  <c r="C540" i="22"/>
  <c r="L539" i="22"/>
  <c r="J539" i="22"/>
  <c r="H539" i="22"/>
  <c r="E539" i="22"/>
  <c r="D539" i="22"/>
  <c r="L537" i="22"/>
  <c r="J537" i="22"/>
  <c r="H537" i="22"/>
  <c r="E537" i="22"/>
  <c r="D537" i="22"/>
  <c r="H535" i="22"/>
  <c r="G535" i="22"/>
  <c r="G535" i="32" s="1"/>
  <c r="L534" i="22"/>
  <c r="J534" i="22"/>
  <c r="H534" i="22"/>
  <c r="E534" i="22"/>
  <c r="D534" i="22"/>
  <c r="L533" i="22"/>
  <c r="J533" i="22"/>
  <c r="H533" i="22"/>
  <c r="E533" i="22"/>
  <c r="D533" i="22"/>
  <c r="L532" i="22"/>
  <c r="J532" i="22"/>
  <c r="H532" i="22"/>
  <c r="E532" i="22"/>
  <c r="D532" i="22"/>
  <c r="L531" i="22"/>
  <c r="J531" i="22"/>
  <c r="H531" i="22"/>
  <c r="E531" i="22"/>
  <c r="D531" i="22"/>
  <c r="F529" i="22"/>
  <c r="E529" i="22"/>
  <c r="D529" i="22"/>
  <c r="C529" i="22"/>
  <c r="H528" i="22"/>
  <c r="G528" i="22"/>
  <c r="G1062" i="18" s="1"/>
  <c r="L527" i="22"/>
  <c r="L528" i="22" s="1"/>
  <c r="M246" i="12" s="1"/>
  <c r="R246" i="12" s="1"/>
  <c r="J527" i="22"/>
  <c r="J528" i="22" s="1"/>
  <c r="K246" i="12" s="1"/>
  <c r="H527" i="22"/>
  <c r="E527" i="22"/>
  <c r="D527" i="22"/>
  <c r="L525" i="22"/>
  <c r="J525" i="22"/>
  <c r="H525" i="22"/>
  <c r="E525" i="22"/>
  <c r="D525" i="22"/>
  <c r="H523" i="22"/>
  <c r="G523" i="22"/>
  <c r="G523" i="32" s="1"/>
  <c r="L522" i="22"/>
  <c r="J522" i="22"/>
  <c r="H522" i="22"/>
  <c r="E522" i="22"/>
  <c r="D522" i="22"/>
  <c r="L521" i="22"/>
  <c r="J521" i="22"/>
  <c r="H521" i="22"/>
  <c r="E521" i="22"/>
  <c r="D521" i="22"/>
  <c r="L520" i="22"/>
  <c r="J520" i="22"/>
  <c r="H520" i="22"/>
  <c r="E520" i="22"/>
  <c r="D520" i="22"/>
  <c r="E518" i="22"/>
  <c r="D518" i="22"/>
  <c r="C518" i="22"/>
  <c r="L517" i="22"/>
  <c r="J517" i="22"/>
  <c r="H517" i="22"/>
  <c r="E517" i="22"/>
  <c r="D517" i="22"/>
  <c r="L515" i="22"/>
  <c r="J515" i="22"/>
  <c r="H515" i="22"/>
  <c r="E515" i="22"/>
  <c r="D515" i="22"/>
  <c r="L513" i="22"/>
  <c r="J513" i="22"/>
  <c r="H513" i="22"/>
  <c r="E513" i="22"/>
  <c r="D513" i="22"/>
  <c r="L512" i="22"/>
  <c r="J512" i="22"/>
  <c r="H512" i="22"/>
  <c r="E512" i="22"/>
  <c r="D512" i="22"/>
  <c r="E510" i="22"/>
  <c r="D510" i="22"/>
  <c r="C510" i="22"/>
  <c r="H509" i="22"/>
  <c r="G509" i="22"/>
  <c r="G509" i="32" s="1"/>
  <c r="L508" i="22"/>
  <c r="J508" i="22"/>
  <c r="H508" i="22"/>
  <c r="E508" i="22"/>
  <c r="D508" i="22"/>
  <c r="L507" i="22"/>
  <c r="J507" i="22"/>
  <c r="H507" i="22"/>
  <c r="E507" i="22"/>
  <c r="D507" i="22"/>
  <c r="L506" i="22"/>
  <c r="J506" i="22"/>
  <c r="H506" i="22"/>
  <c r="E506" i="22"/>
  <c r="D506" i="22"/>
  <c r="L504" i="22"/>
  <c r="J504" i="22"/>
  <c r="H504" i="22"/>
  <c r="E504" i="22"/>
  <c r="D504" i="22"/>
  <c r="H502" i="22"/>
  <c r="G502" i="22"/>
  <c r="G502" i="32" s="1"/>
  <c r="L501" i="22"/>
  <c r="J501" i="22"/>
  <c r="H501" i="22"/>
  <c r="E501" i="22"/>
  <c r="D501" i="22"/>
  <c r="L500" i="22"/>
  <c r="J500" i="22"/>
  <c r="H500" i="22"/>
  <c r="E500" i="22"/>
  <c r="D500" i="22"/>
  <c r="L499" i="22"/>
  <c r="J499" i="22"/>
  <c r="H499" i="22"/>
  <c r="E499" i="22"/>
  <c r="D499" i="22"/>
  <c r="L498" i="22"/>
  <c r="J498" i="22"/>
  <c r="H498" i="22"/>
  <c r="E498" i="22"/>
  <c r="D498" i="22"/>
  <c r="F496" i="22"/>
  <c r="E496" i="22"/>
  <c r="D496" i="22"/>
  <c r="C496" i="22"/>
  <c r="L495" i="22"/>
  <c r="J495" i="22"/>
  <c r="H495" i="22"/>
  <c r="E495" i="22"/>
  <c r="D495" i="22"/>
  <c r="L493" i="22"/>
  <c r="J493" i="22"/>
  <c r="H493" i="22"/>
  <c r="E493" i="22"/>
  <c r="D493" i="22"/>
  <c r="H491" i="22"/>
  <c r="G491" i="22"/>
  <c r="G998" i="18" s="1"/>
  <c r="L490" i="22"/>
  <c r="J490" i="22"/>
  <c r="H490" i="22"/>
  <c r="E490" i="22"/>
  <c r="D490" i="22"/>
  <c r="L489" i="22"/>
  <c r="J489" i="22"/>
  <c r="H489" i="22"/>
  <c r="E489" i="22"/>
  <c r="D489" i="22"/>
  <c r="L488" i="22"/>
  <c r="J488" i="22"/>
  <c r="H488" i="22"/>
  <c r="E488" i="22"/>
  <c r="D488" i="22"/>
  <c r="F486" i="22"/>
  <c r="E486" i="22"/>
  <c r="D486" i="22"/>
  <c r="C486" i="22"/>
  <c r="L485" i="22"/>
  <c r="J485" i="22"/>
  <c r="H485" i="22"/>
  <c r="E485" i="22"/>
  <c r="D485" i="22"/>
  <c r="L483" i="22"/>
  <c r="J483" i="22"/>
  <c r="H483" i="22"/>
  <c r="E483" i="22"/>
  <c r="D483" i="22"/>
  <c r="H481" i="22"/>
  <c r="G481" i="22"/>
  <c r="G979" i="18" s="1"/>
  <c r="L480" i="22"/>
  <c r="J480" i="22"/>
  <c r="H480" i="22"/>
  <c r="E480" i="22"/>
  <c r="D480" i="22"/>
  <c r="L479" i="22"/>
  <c r="J479" i="22"/>
  <c r="H479" i="22"/>
  <c r="E479" i="22"/>
  <c r="D479" i="22"/>
  <c r="L478" i="22"/>
  <c r="J478" i="22"/>
  <c r="H478" i="22"/>
  <c r="E478" i="22"/>
  <c r="D478" i="22"/>
  <c r="L477" i="22"/>
  <c r="J477" i="22"/>
  <c r="H477" i="22"/>
  <c r="E477" i="22"/>
  <c r="D477" i="22"/>
  <c r="F475" i="22"/>
  <c r="E475" i="22"/>
  <c r="D475" i="22"/>
  <c r="C475" i="22"/>
  <c r="L474" i="22"/>
  <c r="J474" i="22"/>
  <c r="H474" i="22"/>
  <c r="E474" i="22"/>
  <c r="D474" i="22"/>
  <c r="L473" i="22"/>
  <c r="J473" i="22"/>
  <c r="H473" i="22"/>
  <c r="E473" i="22"/>
  <c r="D473" i="22"/>
  <c r="L471" i="22"/>
  <c r="J471" i="22"/>
  <c r="H471" i="22"/>
  <c r="E471" i="22"/>
  <c r="D471" i="22"/>
  <c r="H469" i="22"/>
  <c r="G469" i="22"/>
  <c r="G469" i="32" s="1"/>
  <c r="L468" i="22"/>
  <c r="J468" i="22"/>
  <c r="H468" i="22"/>
  <c r="E468" i="22"/>
  <c r="D468" i="22"/>
  <c r="L467" i="22"/>
  <c r="J467" i="22"/>
  <c r="H467" i="22"/>
  <c r="E467" i="22"/>
  <c r="D467" i="22"/>
  <c r="L466" i="22"/>
  <c r="J466" i="22"/>
  <c r="H466" i="22"/>
  <c r="E466" i="22"/>
  <c r="D466" i="22"/>
  <c r="L465" i="22"/>
  <c r="J465" i="22"/>
  <c r="H465" i="22"/>
  <c r="E465" i="22"/>
  <c r="D465" i="22"/>
  <c r="F463" i="22"/>
  <c r="E463" i="22"/>
  <c r="D463" i="22"/>
  <c r="C463" i="22"/>
  <c r="L462" i="22"/>
  <c r="J462" i="22"/>
  <c r="H462" i="22"/>
  <c r="E462" i="22"/>
  <c r="D462" i="22"/>
  <c r="L460" i="22"/>
  <c r="J460" i="22"/>
  <c r="H460" i="22"/>
  <c r="E460" i="22"/>
  <c r="D460" i="22"/>
  <c r="L459" i="22"/>
  <c r="J459" i="22"/>
  <c r="H459" i="22"/>
  <c r="E459" i="22"/>
  <c r="D459" i="22"/>
  <c r="F457" i="22"/>
  <c r="E457" i="22"/>
  <c r="D457" i="22"/>
  <c r="C457" i="22"/>
  <c r="Q456" i="22"/>
  <c r="M456" i="22"/>
  <c r="K456" i="22"/>
  <c r="H455" i="22"/>
  <c r="Q455" i="22" s="1"/>
  <c r="L454" i="22"/>
  <c r="J454" i="22"/>
  <c r="H454" i="22"/>
  <c r="E454" i="22"/>
  <c r="D454" i="22"/>
  <c r="L453" i="22"/>
  <c r="J453" i="22"/>
  <c r="H453" i="22"/>
  <c r="E453" i="22"/>
  <c r="D453" i="22"/>
  <c r="L452" i="22"/>
  <c r="J452" i="22"/>
  <c r="H452" i="22"/>
  <c r="E452" i="22"/>
  <c r="D452" i="22"/>
  <c r="L450" i="22"/>
  <c r="J450" i="22"/>
  <c r="H450" i="22"/>
  <c r="E450" i="22"/>
  <c r="D450" i="22"/>
  <c r="L448" i="22"/>
  <c r="J448" i="22"/>
  <c r="H448" i="22"/>
  <c r="E448" i="22"/>
  <c r="D448" i="22"/>
  <c r="L447" i="22"/>
  <c r="J447" i="22"/>
  <c r="H447" i="22"/>
  <c r="E447" i="22"/>
  <c r="D447" i="22"/>
  <c r="L446" i="22"/>
  <c r="J446" i="22"/>
  <c r="H446" i="22"/>
  <c r="E446" i="22"/>
  <c r="D446" i="22"/>
  <c r="L445" i="22"/>
  <c r="J445" i="22"/>
  <c r="H445" i="22"/>
  <c r="E445" i="22"/>
  <c r="D445" i="22"/>
  <c r="E443" i="22"/>
  <c r="D443" i="22"/>
  <c r="C443" i="22"/>
  <c r="H442" i="22"/>
  <c r="G442" i="22"/>
  <c r="G442" i="32" s="1"/>
  <c r="L441" i="22"/>
  <c r="J441" i="22"/>
  <c r="H441" i="22"/>
  <c r="E441" i="22"/>
  <c r="D441" i="22"/>
  <c r="L440" i="22"/>
  <c r="J440" i="22"/>
  <c r="H440" i="22"/>
  <c r="E440" i="22"/>
  <c r="D440" i="22"/>
  <c r="L438" i="22"/>
  <c r="J438" i="22"/>
  <c r="H438" i="22"/>
  <c r="E438" i="22"/>
  <c r="D438" i="22"/>
  <c r="L436" i="22"/>
  <c r="J436" i="22"/>
  <c r="H436" i="22"/>
  <c r="E436" i="22"/>
  <c r="D436" i="22"/>
  <c r="E434" i="22"/>
  <c r="D434" i="22"/>
  <c r="C434" i="22"/>
  <c r="H433" i="22"/>
  <c r="G433" i="22"/>
  <c r="L432" i="22"/>
  <c r="J432" i="22"/>
  <c r="H432" i="22"/>
  <c r="E432" i="22"/>
  <c r="D432" i="22"/>
  <c r="L431" i="22"/>
  <c r="J431" i="22"/>
  <c r="H431" i="22"/>
  <c r="E431" i="22"/>
  <c r="D431" i="22"/>
  <c r="L430" i="22"/>
  <c r="J430" i="22"/>
  <c r="H430" i="22"/>
  <c r="E430" i="22"/>
  <c r="D430" i="22"/>
  <c r="L429" i="22"/>
  <c r="J429" i="22"/>
  <c r="H429" i="22"/>
  <c r="E429" i="22"/>
  <c r="D429" i="22"/>
  <c r="L428" i="22"/>
  <c r="J428" i="22"/>
  <c r="H428" i="22"/>
  <c r="E428" i="22"/>
  <c r="D428" i="22"/>
  <c r="L427" i="22"/>
  <c r="J427" i="22"/>
  <c r="H427" i="22"/>
  <c r="E427" i="22"/>
  <c r="D427" i="22"/>
  <c r="L426" i="22"/>
  <c r="J426" i="22"/>
  <c r="H426" i="22"/>
  <c r="E426" i="22"/>
  <c r="D426" i="22"/>
  <c r="L425" i="22"/>
  <c r="J425" i="22"/>
  <c r="H425" i="22"/>
  <c r="E425" i="22"/>
  <c r="D425" i="22"/>
  <c r="L423" i="22"/>
  <c r="J423" i="22"/>
  <c r="H423" i="22"/>
  <c r="E423" i="22"/>
  <c r="D423" i="22"/>
  <c r="L422" i="22"/>
  <c r="J422" i="22"/>
  <c r="H422" i="22"/>
  <c r="E422" i="22"/>
  <c r="D422" i="22"/>
  <c r="H420" i="22"/>
  <c r="G420" i="22"/>
  <c r="L419" i="22"/>
  <c r="J419" i="22"/>
  <c r="H419" i="22"/>
  <c r="E419" i="22"/>
  <c r="D419" i="22"/>
  <c r="L418" i="22"/>
  <c r="J418" i="22"/>
  <c r="H418" i="22"/>
  <c r="E418" i="22"/>
  <c r="D418" i="22"/>
  <c r="L417" i="22"/>
  <c r="J417" i="22"/>
  <c r="H417" i="22"/>
  <c r="E417" i="22"/>
  <c r="D417" i="22"/>
  <c r="E415" i="22"/>
  <c r="D415" i="22"/>
  <c r="C415" i="22"/>
  <c r="H414" i="22"/>
  <c r="L413" i="22"/>
  <c r="J413" i="22"/>
  <c r="H413" i="22"/>
  <c r="E413" i="22"/>
  <c r="D413" i="22"/>
  <c r="L412" i="22"/>
  <c r="J412" i="22"/>
  <c r="H412" i="22"/>
  <c r="E412" i="22"/>
  <c r="D412" i="22"/>
  <c r="L411" i="22"/>
  <c r="J411" i="22"/>
  <c r="H411" i="22"/>
  <c r="E411" i="22"/>
  <c r="D411" i="22"/>
  <c r="L409" i="22"/>
  <c r="J409" i="22"/>
  <c r="H409" i="22"/>
  <c r="E409" i="22"/>
  <c r="D409" i="22"/>
  <c r="L407" i="22"/>
  <c r="J407" i="22"/>
  <c r="H407" i="22"/>
  <c r="E407" i="22"/>
  <c r="D407" i="22"/>
  <c r="L406" i="22"/>
  <c r="J406" i="22"/>
  <c r="H406" i="22"/>
  <c r="E406" i="22"/>
  <c r="D406" i="22"/>
  <c r="L405" i="22"/>
  <c r="J405" i="22"/>
  <c r="H405" i="22"/>
  <c r="E405" i="22"/>
  <c r="D405" i="22"/>
  <c r="L404" i="22"/>
  <c r="J404" i="22"/>
  <c r="H404" i="22"/>
  <c r="E404" i="22"/>
  <c r="D404" i="22"/>
  <c r="E402" i="22"/>
  <c r="D402" i="22"/>
  <c r="C402" i="22"/>
  <c r="H401" i="22"/>
  <c r="G401" i="22"/>
  <c r="L400" i="22"/>
  <c r="J400" i="22"/>
  <c r="H400" i="22"/>
  <c r="E400" i="22"/>
  <c r="D400" i="22"/>
  <c r="L399" i="22"/>
  <c r="J399" i="22"/>
  <c r="H399" i="22"/>
  <c r="E399" i="22"/>
  <c r="D399" i="22"/>
  <c r="L397" i="22"/>
  <c r="J397" i="22"/>
  <c r="H397" i="22"/>
  <c r="E397" i="22"/>
  <c r="D397" i="22"/>
  <c r="L395" i="22"/>
  <c r="J395" i="22"/>
  <c r="H395" i="22"/>
  <c r="E395" i="22"/>
  <c r="D395" i="22"/>
  <c r="E393" i="22"/>
  <c r="D393" i="22"/>
  <c r="C393" i="22"/>
  <c r="H392" i="22"/>
  <c r="G392" i="22"/>
  <c r="G392" i="32" s="1"/>
  <c r="L391" i="22"/>
  <c r="J391" i="22"/>
  <c r="H391" i="22"/>
  <c r="E391" i="22"/>
  <c r="D391" i="22"/>
  <c r="L390" i="22"/>
  <c r="J390" i="22"/>
  <c r="H390" i="22"/>
  <c r="E390" i="22"/>
  <c r="D390" i="22"/>
  <c r="L389" i="22"/>
  <c r="J389" i="22"/>
  <c r="H389" i="22"/>
  <c r="E389" i="22"/>
  <c r="D389" i="22"/>
  <c r="L388" i="22"/>
  <c r="J388" i="22"/>
  <c r="H388" i="22"/>
  <c r="E388" i="22"/>
  <c r="D388" i="22"/>
  <c r="L387" i="22"/>
  <c r="J387" i="22"/>
  <c r="H387" i="22"/>
  <c r="E387" i="22"/>
  <c r="D387" i="22"/>
  <c r="L386" i="22"/>
  <c r="J386" i="22"/>
  <c r="H386" i="22"/>
  <c r="E386" i="22"/>
  <c r="D386" i="22"/>
  <c r="L385" i="22"/>
  <c r="J385" i="22"/>
  <c r="H385" i="22"/>
  <c r="E385" i="22"/>
  <c r="D385" i="22"/>
  <c r="L384" i="22"/>
  <c r="J384" i="22"/>
  <c r="H384" i="22"/>
  <c r="E384" i="22"/>
  <c r="D384" i="22"/>
  <c r="L382" i="22"/>
  <c r="J382" i="22"/>
  <c r="H382" i="22"/>
  <c r="E382" i="22"/>
  <c r="D382" i="22"/>
  <c r="L381" i="22"/>
  <c r="J381" i="22"/>
  <c r="H381" i="22"/>
  <c r="E381" i="22"/>
  <c r="D381" i="22"/>
  <c r="H379" i="22"/>
  <c r="G379" i="22"/>
  <c r="G379" i="32" s="1"/>
  <c r="L378" i="22"/>
  <c r="J378" i="22"/>
  <c r="H378" i="22"/>
  <c r="E378" i="22"/>
  <c r="D378" i="22"/>
  <c r="L377" i="22"/>
  <c r="J377" i="22"/>
  <c r="H377" i="22"/>
  <c r="E377" i="22"/>
  <c r="D377" i="22"/>
  <c r="L376" i="22"/>
  <c r="J376" i="22"/>
  <c r="H376" i="22"/>
  <c r="E376" i="22"/>
  <c r="D376" i="22"/>
  <c r="E374" i="22"/>
  <c r="D374" i="22"/>
  <c r="C374" i="22"/>
  <c r="H373" i="22"/>
  <c r="G373" i="22"/>
  <c r="G373" i="32" s="1"/>
  <c r="L372" i="22"/>
  <c r="J372" i="22"/>
  <c r="H372" i="22"/>
  <c r="E372" i="22"/>
  <c r="D372" i="22"/>
  <c r="L371" i="22"/>
  <c r="J371" i="22"/>
  <c r="H371" i="22"/>
  <c r="E371" i="22"/>
  <c r="D371" i="22"/>
  <c r="L370" i="22"/>
  <c r="J370" i="22"/>
  <c r="H370" i="22"/>
  <c r="E370" i="22"/>
  <c r="D370" i="22"/>
  <c r="L369" i="22"/>
  <c r="J369" i="22"/>
  <c r="H369" i="22"/>
  <c r="E369" i="22"/>
  <c r="D369" i="22"/>
  <c r="L368" i="22"/>
  <c r="J368" i="22"/>
  <c r="H368" i="22"/>
  <c r="E368" i="22"/>
  <c r="D368" i="22"/>
  <c r="L366" i="22"/>
  <c r="J366" i="22"/>
  <c r="H366" i="22"/>
  <c r="E366" i="22"/>
  <c r="D366" i="22"/>
  <c r="L364" i="22"/>
  <c r="J364" i="22"/>
  <c r="H364" i="22"/>
  <c r="E364" i="22"/>
  <c r="D364" i="22"/>
  <c r="E362" i="22"/>
  <c r="D362" i="22"/>
  <c r="C362" i="22"/>
  <c r="L361" i="22"/>
  <c r="J361" i="22"/>
  <c r="H361" i="22"/>
  <c r="E361" i="22"/>
  <c r="D361" i="22"/>
  <c r="L360" i="22"/>
  <c r="J360" i="22"/>
  <c r="H360" i="22"/>
  <c r="E360" i="22"/>
  <c r="D360" i="22"/>
  <c r="L358" i="22"/>
  <c r="J358" i="22"/>
  <c r="H358" i="22"/>
  <c r="E358" i="22"/>
  <c r="D358" i="22"/>
  <c r="E356" i="22"/>
  <c r="D356" i="22"/>
  <c r="C356" i="22"/>
  <c r="H355" i="22"/>
  <c r="G355" i="22"/>
  <c r="G355" i="32" s="1"/>
  <c r="L354" i="22"/>
  <c r="J354" i="22"/>
  <c r="H354" i="22"/>
  <c r="E354" i="22"/>
  <c r="D354" i="22"/>
  <c r="L353" i="22"/>
  <c r="J353" i="22"/>
  <c r="H353" i="22"/>
  <c r="E353" i="22"/>
  <c r="D353" i="22"/>
  <c r="L352" i="22"/>
  <c r="J352" i="22"/>
  <c r="H352" i="22"/>
  <c r="E352" i="22"/>
  <c r="D352" i="22"/>
  <c r="L351" i="22"/>
  <c r="J351" i="22"/>
  <c r="H351" i="22"/>
  <c r="E351" i="22"/>
  <c r="D351" i="22"/>
  <c r="L350" i="22"/>
  <c r="J350" i="22"/>
  <c r="H350" i="22"/>
  <c r="E350" i="22"/>
  <c r="D350" i="22"/>
  <c r="L348" i="22"/>
  <c r="J348" i="22"/>
  <c r="H348" i="22"/>
  <c r="E348" i="22"/>
  <c r="D348" i="22"/>
  <c r="L346" i="22"/>
  <c r="J346" i="22"/>
  <c r="H346" i="22"/>
  <c r="E346" i="22"/>
  <c r="D346" i="22"/>
  <c r="E344" i="22"/>
  <c r="D344" i="22"/>
  <c r="C344" i="22"/>
  <c r="Q343" i="22"/>
  <c r="M343" i="22"/>
  <c r="K343" i="22"/>
  <c r="H342" i="22"/>
  <c r="Q342" i="22" s="1"/>
  <c r="H341" i="22"/>
  <c r="G341" i="22"/>
  <c r="G729" i="18" s="1"/>
  <c r="L340" i="22"/>
  <c r="J340" i="22"/>
  <c r="H340" i="22"/>
  <c r="E340" i="22"/>
  <c r="D340" i="22"/>
  <c r="L339" i="22"/>
  <c r="J339" i="22"/>
  <c r="H339" i="22"/>
  <c r="E339" i="22"/>
  <c r="D339" i="22"/>
  <c r="L337" i="22"/>
  <c r="J337" i="22"/>
  <c r="H337" i="22"/>
  <c r="E337" i="22"/>
  <c r="D337" i="22"/>
  <c r="E335" i="22"/>
  <c r="D335" i="22"/>
  <c r="C335" i="22"/>
  <c r="H334" i="22"/>
  <c r="G334" i="22"/>
  <c r="G712" i="18" s="1"/>
  <c r="L333" i="22"/>
  <c r="J333" i="22"/>
  <c r="H333" i="22"/>
  <c r="E333" i="22"/>
  <c r="D333" i="22"/>
  <c r="L332" i="22"/>
  <c r="J332" i="22"/>
  <c r="H332" i="22"/>
  <c r="E332" i="22"/>
  <c r="D332" i="22"/>
  <c r="L331" i="22"/>
  <c r="J331" i="22"/>
  <c r="H331" i="22"/>
  <c r="E331" i="22"/>
  <c r="D331" i="22"/>
  <c r="L330" i="22"/>
  <c r="J330" i="22"/>
  <c r="H330" i="22"/>
  <c r="E330" i="22"/>
  <c r="D330" i="22"/>
  <c r="L329" i="22"/>
  <c r="J329" i="22"/>
  <c r="H329" i="22"/>
  <c r="E329" i="22"/>
  <c r="D329" i="22"/>
  <c r="L327" i="22"/>
  <c r="J327" i="22"/>
  <c r="H327" i="22"/>
  <c r="E327" i="22"/>
  <c r="D327" i="22"/>
  <c r="L325" i="22"/>
  <c r="J325" i="22"/>
  <c r="H325" i="22"/>
  <c r="E325" i="22"/>
  <c r="D325" i="22"/>
  <c r="E323" i="22"/>
  <c r="D323" i="22"/>
  <c r="C323" i="22"/>
  <c r="L322" i="22"/>
  <c r="J322" i="22"/>
  <c r="H322" i="22"/>
  <c r="E322" i="22"/>
  <c r="D322" i="22"/>
  <c r="L320" i="22"/>
  <c r="J320" i="22"/>
  <c r="H320" i="22"/>
  <c r="E320" i="22"/>
  <c r="D320" i="22"/>
  <c r="E318" i="22"/>
  <c r="D318" i="22"/>
  <c r="C318" i="22"/>
  <c r="H317" i="22"/>
  <c r="L316" i="22"/>
  <c r="J316" i="22"/>
  <c r="H316" i="22"/>
  <c r="E316" i="22"/>
  <c r="D316" i="22"/>
  <c r="L315" i="22"/>
  <c r="J315" i="22"/>
  <c r="H315" i="22"/>
  <c r="E315" i="22"/>
  <c r="D315" i="22"/>
  <c r="L313" i="22"/>
  <c r="J313" i="22"/>
  <c r="H313" i="22"/>
  <c r="E313" i="22"/>
  <c r="D313" i="22"/>
  <c r="E311" i="22"/>
  <c r="D311" i="22"/>
  <c r="C311" i="22"/>
  <c r="L310" i="22"/>
  <c r="J310" i="22"/>
  <c r="H310" i="22"/>
  <c r="E310" i="22"/>
  <c r="D310" i="22"/>
  <c r="L309" i="22"/>
  <c r="J309" i="22"/>
  <c r="H309" i="22"/>
  <c r="E309" i="22"/>
  <c r="D309" i="22"/>
  <c r="L307" i="22"/>
  <c r="J307" i="22"/>
  <c r="H307" i="22"/>
  <c r="E307" i="22"/>
  <c r="D307" i="22"/>
  <c r="E305" i="22"/>
  <c r="D305" i="22"/>
  <c r="C305" i="22"/>
  <c r="L304" i="22"/>
  <c r="J304" i="22"/>
  <c r="H304" i="22"/>
  <c r="E304" i="22"/>
  <c r="D304" i="22"/>
  <c r="L303" i="22"/>
  <c r="J303" i="22"/>
  <c r="H303" i="22"/>
  <c r="E303" i="22"/>
  <c r="D303" i="22"/>
  <c r="L301" i="22"/>
  <c r="J301" i="22"/>
  <c r="H301" i="22"/>
  <c r="E301" i="22"/>
  <c r="D301" i="22"/>
  <c r="E299" i="22"/>
  <c r="D299" i="22"/>
  <c r="C299" i="22"/>
  <c r="L298" i="22"/>
  <c r="J298" i="22"/>
  <c r="H298" i="22"/>
  <c r="E298" i="22"/>
  <c r="D298" i="22"/>
  <c r="L297" i="22"/>
  <c r="J297" i="22"/>
  <c r="H297" i="22"/>
  <c r="E297" i="22"/>
  <c r="D297" i="22"/>
  <c r="L295" i="22"/>
  <c r="J295" i="22"/>
  <c r="H295" i="22"/>
  <c r="E295" i="22"/>
  <c r="D295" i="22"/>
  <c r="E293" i="22"/>
  <c r="D293" i="22"/>
  <c r="C293" i="22"/>
  <c r="L292" i="22"/>
  <c r="J292" i="22"/>
  <c r="H292" i="22"/>
  <c r="E292" i="22"/>
  <c r="D292" i="22"/>
  <c r="L291" i="22"/>
  <c r="J291" i="22"/>
  <c r="H291" i="22"/>
  <c r="E291" i="22"/>
  <c r="D291" i="22"/>
  <c r="L289" i="22"/>
  <c r="J289" i="22"/>
  <c r="H289" i="22"/>
  <c r="E289" i="22"/>
  <c r="D289" i="22"/>
  <c r="E287" i="22"/>
  <c r="D287" i="22"/>
  <c r="C287" i="22"/>
  <c r="L286" i="22"/>
  <c r="J286" i="22"/>
  <c r="H286" i="22"/>
  <c r="E286" i="22"/>
  <c r="D286" i="22"/>
  <c r="L285" i="22"/>
  <c r="J285" i="22"/>
  <c r="H285" i="22"/>
  <c r="E285" i="22"/>
  <c r="D285" i="22"/>
  <c r="L283" i="22"/>
  <c r="J283" i="22"/>
  <c r="H283" i="22"/>
  <c r="E283" i="22"/>
  <c r="D283" i="22"/>
  <c r="E281" i="22"/>
  <c r="D281" i="22"/>
  <c r="C281" i="22"/>
  <c r="L280" i="22"/>
  <c r="J280" i="22"/>
  <c r="H280" i="22"/>
  <c r="E280" i="22"/>
  <c r="D280" i="22"/>
  <c r="L279" i="22"/>
  <c r="J279" i="22"/>
  <c r="H279" i="22"/>
  <c r="E279" i="22"/>
  <c r="D279" i="22"/>
  <c r="L277" i="22"/>
  <c r="J277" i="22"/>
  <c r="H277" i="22"/>
  <c r="E277" i="22"/>
  <c r="D277" i="22"/>
  <c r="E275" i="22"/>
  <c r="D275" i="22"/>
  <c r="C275" i="22"/>
  <c r="L274" i="22"/>
  <c r="J274" i="22"/>
  <c r="H274" i="22"/>
  <c r="E274" i="22"/>
  <c r="D274" i="22"/>
  <c r="L273" i="22"/>
  <c r="J273" i="22"/>
  <c r="H273" i="22"/>
  <c r="E273" i="22"/>
  <c r="D273" i="22"/>
  <c r="L271" i="22"/>
  <c r="J271" i="22"/>
  <c r="H271" i="22"/>
  <c r="E271" i="22"/>
  <c r="D271" i="22"/>
  <c r="E269" i="22"/>
  <c r="D269" i="22"/>
  <c r="C269" i="22"/>
  <c r="L268" i="22"/>
  <c r="J268" i="22"/>
  <c r="H268" i="22"/>
  <c r="E268" i="22"/>
  <c r="D268" i="22"/>
  <c r="L267" i="22"/>
  <c r="J267" i="22"/>
  <c r="H267" i="22"/>
  <c r="E267" i="22"/>
  <c r="D267" i="22"/>
  <c r="L265" i="22"/>
  <c r="J265" i="22"/>
  <c r="H265" i="22"/>
  <c r="E265" i="22"/>
  <c r="D265" i="22"/>
  <c r="E263" i="22"/>
  <c r="D263" i="22"/>
  <c r="C263" i="22"/>
  <c r="Q262" i="22"/>
  <c r="M262" i="22"/>
  <c r="K262" i="22"/>
  <c r="H261" i="22"/>
  <c r="Q261" i="22" s="1"/>
  <c r="H260" i="22"/>
  <c r="G260" i="22"/>
  <c r="G529" i="18" s="1"/>
  <c r="L259" i="22"/>
  <c r="L260" i="22" s="1"/>
  <c r="M237" i="12" s="1"/>
  <c r="R237" i="12" s="1"/>
  <c r="J259" i="22"/>
  <c r="J260" i="22" s="1"/>
  <c r="H259" i="22"/>
  <c r="E259" i="22"/>
  <c r="D259" i="22"/>
  <c r="L257" i="22"/>
  <c r="J257" i="22"/>
  <c r="H257" i="22"/>
  <c r="E257" i="22"/>
  <c r="D257" i="22"/>
  <c r="H255" i="22"/>
  <c r="G255" i="22"/>
  <c r="G255" i="32" s="1"/>
  <c r="L254" i="22"/>
  <c r="L255" i="22" s="1"/>
  <c r="M208" i="3" s="1"/>
  <c r="R208" i="3" s="1"/>
  <c r="J254" i="22"/>
  <c r="J255" i="22" s="1"/>
  <c r="K208" i="3" s="1"/>
  <c r="H254" i="22"/>
  <c r="E254" i="22"/>
  <c r="D254" i="22"/>
  <c r="E252" i="22"/>
  <c r="D252" i="22"/>
  <c r="C252" i="22"/>
  <c r="H251" i="22"/>
  <c r="G251" i="22"/>
  <c r="G511" i="18" s="1"/>
  <c r="L250" i="22"/>
  <c r="J250" i="22"/>
  <c r="H250" i="22"/>
  <c r="E250" i="22"/>
  <c r="D250" i="22"/>
  <c r="L249" i="22"/>
  <c r="J249" i="22"/>
  <c r="H249" i="22"/>
  <c r="E249" i="22"/>
  <c r="D249" i="22"/>
  <c r="L247" i="22"/>
  <c r="J247" i="22"/>
  <c r="H247" i="22"/>
  <c r="E247" i="22"/>
  <c r="D247" i="22"/>
  <c r="H245" i="22"/>
  <c r="G245" i="22"/>
  <c r="G245" i="32" s="1"/>
  <c r="L244" i="22"/>
  <c r="J244" i="22"/>
  <c r="H244" i="22"/>
  <c r="E244" i="22"/>
  <c r="D244" i="22"/>
  <c r="L243" i="22"/>
  <c r="J243" i="22"/>
  <c r="H243" i="22"/>
  <c r="E243" i="22"/>
  <c r="D243" i="22"/>
  <c r="F241" i="22"/>
  <c r="E241" i="22"/>
  <c r="D241" i="22"/>
  <c r="C241" i="22"/>
  <c r="H240" i="22"/>
  <c r="G240" i="22"/>
  <c r="G491" i="18" s="1"/>
  <c r="L239" i="22"/>
  <c r="J239" i="22"/>
  <c r="H239" i="22"/>
  <c r="E239" i="22"/>
  <c r="D239" i="22"/>
  <c r="L238" i="22"/>
  <c r="J238" i="22"/>
  <c r="H238" i="22"/>
  <c r="E238" i="22"/>
  <c r="D238" i="22"/>
  <c r="L236" i="22"/>
  <c r="J236" i="22"/>
  <c r="H236" i="22"/>
  <c r="E236" i="22"/>
  <c r="D236" i="22"/>
  <c r="H234" i="22"/>
  <c r="G234" i="22"/>
  <c r="L233" i="22"/>
  <c r="J233" i="22"/>
  <c r="H233" i="22"/>
  <c r="E233" i="22"/>
  <c r="D233" i="22"/>
  <c r="L232" i="22"/>
  <c r="J232" i="22"/>
  <c r="H232" i="22"/>
  <c r="E232" i="22"/>
  <c r="D232" i="22"/>
  <c r="L231" i="22"/>
  <c r="J231" i="22"/>
  <c r="H231" i="22"/>
  <c r="E231" i="22"/>
  <c r="D231" i="22"/>
  <c r="L230" i="22"/>
  <c r="J230" i="22"/>
  <c r="H230" i="22"/>
  <c r="E230" i="22"/>
  <c r="D230" i="22"/>
  <c r="L229" i="22"/>
  <c r="J229" i="22"/>
  <c r="H229" i="22"/>
  <c r="E229" i="22"/>
  <c r="D229" i="22"/>
  <c r="L228" i="22"/>
  <c r="J228" i="22"/>
  <c r="H228" i="22"/>
  <c r="E228" i="22"/>
  <c r="D228" i="22"/>
  <c r="F226" i="22"/>
  <c r="E226" i="22"/>
  <c r="D226" i="22"/>
  <c r="C226" i="22"/>
  <c r="H225" i="22"/>
  <c r="G225" i="22"/>
  <c r="G225" i="32" s="1"/>
  <c r="L224" i="22"/>
  <c r="J224" i="22"/>
  <c r="H224" i="22"/>
  <c r="E224" i="22"/>
  <c r="D224" i="22"/>
  <c r="L223" i="22"/>
  <c r="J223" i="22"/>
  <c r="H223" i="22"/>
  <c r="E223" i="22"/>
  <c r="D223" i="22"/>
  <c r="L221" i="22"/>
  <c r="J221" i="22"/>
  <c r="H221" i="22"/>
  <c r="E221" i="22"/>
  <c r="D221" i="22"/>
  <c r="H219" i="22"/>
  <c r="G219" i="22"/>
  <c r="L218" i="22"/>
  <c r="J218" i="22"/>
  <c r="H218" i="22"/>
  <c r="E218" i="22"/>
  <c r="D218" i="22"/>
  <c r="L217" i="22"/>
  <c r="J217" i="22"/>
  <c r="H217" i="22"/>
  <c r="E217" i="22"/>
  <c r="D217" i="22"/>
  <c r="L216" i="22"/>
  <c r="J216" i="22"/>
  <c r="H216" i="22"/>
  <c r="E216" i="22"/>
  <c r="D216" i="22"/>
  <c r="F214" i="22"/>
  <c r="E214" i="22"/>
  <c r="D214" i="22"/>
  <c r="C214" i="22"/>
  <c r="H213" i="22"/>
  <c r="G213" i="22"/>
  <c r="G213" i="32" s="1"/>
  <c r="L212" i="22"/>
  <c r="L213" i="22" s="1"/>
  <c r="M243" i="12" s="1"/>
  <c r="R243" i="12" s="1"/>
  <c r="J212" i="22"/>
  <c r="J213" i="22" s="1"/>
  <c r="K243" i="12" s="1"/>
  <c r="H212" i="22"/>
  <c r="E212" i="22"/>
  <c r="D212" i="22"/>
  <c r="L210" i="22"/>
  <c r="J210" i="22"/>
  <c r="H210" i="22"/>
  <c r="E210" i="22"/>
  <c r="D210" i="22"/>
  <c r="H208" i="22"/>
  <c r="G208" i="22"/>
  <c r="G208" i="32" s="1"/>
  <c r="L207" i="22"/>
  <c r="J207" i="22"/>
  <c r="H207" i="22"/>
  <c r="E207" i="22"/>
  <c r="D207" i="22"/>
  <c r="L206" i="22"/>
  <c r="J206" i="22"/>
  <c r="H206" i="22"/>
  <c r="E206" i="22"/>
  <c r="D206" i="22"/>
  <c r="E204" i="22"/>
  <c r="D204" i="22"/>
  <c r="C204" i="22"/>
  <c r="H203" i="22"/>
  <c r="G203" i="22"/>
  <c r="G203" i="32" s="1"/>
  <c r="L202" i="22"/>
  <c r="J202" i="22"/>
  <c r="H202" i="22"/>
  <c r="E202" i="22"/>
  <c r="D202" i="22"/>
  <c r="L201" i="22"/>
  <c r="J201" i="22"/>
  <c r="H201" i="22"/>
  <c r="E201" i="22"/>
  <c r="D201" i="22"/>
  <c r="L200" i="22"/>
  <c r="J200" i="22"/>
  <c r="H200" i="22"/>
  <c r="E200" i="22"/>
  <c r="D200" i="22"/>
  <c r="L199" i="22"/>
  <c r="J199" i="22"/>
  <c r="H199" i="22"/>
  <c r="E199" i="22"/>
  <c r="D199" i="22"/>
  <c r="L198" i="22"/>
  <c r="J198" i="22"/>
  <c r="H198" i="22"/>
  <c r="E198" i="22"/>
  <c r="D198" i="22"/>
  <c r="L196" i="22"/>
  <c r="J196" i="22"/>
  <c r="H196" i="22"/>
  <c r="E196" i="22"/>
  <c r="D196" i="22"/>
  <c r="L194" i="22"/>
  <c r="J194" i="22"/>
  <c r="H194" i="22"/>
  <c r="E194" i="22"/>
  <c r="D194" i="22"/>
  <c r="E192" i="22"/>
  <c r="D192" i="22"/>
  <c r="C192" i="22"/>
  <c r="L191" i="22"/>
  <c r="J191" i="22"/>
  <c r="H191" i="22"/>
  <c r="E191" i="22"/>
  <c r="D191" i="22"/>
  <c r="H189" i="22"/>
  <c r="G189" i="22"/>
  <c r="G189" i="32" s="1"/>
  <c r="L188" i="22"/>
  <c r="L189" i="22" s="1"/>
  <c r="M214" i="3" s="1"/>
  <c r="R214" i="3" s="1"/>
  <c r="J188" i="22"/>
  <c r="J189" i="22" s="1"/>
  <c r="K214" i="3" s="1"/>
  <c r="H188" i="22"/>
  <c r="E188" i="22"/>
  <c r="D188" i="22"/>
  <c r="E186" i="22"/>
  <c r="D186" i="22"/>
  <c r="C186" i="22"/>
  <c r="H185" i="22"/>
  <c r="G185" i="22"/>
  <c r="G390" i="18" s="1"/>
  <c r="L184" i="22"/>
  <c r="J184" i="22"/>
  <c r="H184" i="22"/>
  <c r="E184" i="22"/>
  <c r="D184" i="22"/>
  <c r="L183" i="22"/>
  <c r="J183" i="22"/>
  <c r="H183" i="22"/>
  <c r="E183" i="22"/>
  <c r="D183" i="22"/>
  <c r="L182" i="22"/>
  <c r="J182" i="22"/>
  <c r="H182" i="22"/>
  <c r="E182" i="22"/>
  <c r="D182" i="22"/>
  <c r="L180" i="22"/>
  <c r="J180" i="22"/>
  <c r="H180" i="22"/>
  <c r="E180" i="22"/>
  <c r="D180" i="22"/>
  <c r="H178" i="22"/>
  <c r="G178" i="22"/>
  <c r="G178" i="32" s="1"/>
  <c r="L177" i="22"/>
  <c r="J177" i="22"/>
  <c r="H177" i="22"/>
  <c r="E177" i="22"/>
  <c r="D177" i="22"/>
  <c r="L176" i="22"/>
  <c r="J176" i="22"/>
  <c r="H176" i="22"/>
  <c r="E176" i="22"/>
  <c r="D176" i="22"/>
  <c r="L175" i="22"/>
  <c r="J175" i="22"/>
  <c r="H175" i="22"/>
  <c r="E175" i="22"/>
  <c r="D175" i="22"/>
  <c r="L174" i="22"/>
  <c r="J174" i="22"/>
  <c r="H174" i="22"/>
  <c r="E174" i="22"/>
  <c r="D174" i="22"/>
  <c r="L173" i="22"/>
  <c r="J173" i="22"/>
  <c r="H173" i="22"/>
  <c r="E173" i="22"/>
  <c r="D173" i="22"/>
  <c r="L172" i="22"/>
  <c r="J172" i="22"/>
  <c r="H172" i="22"/>
  <c r="E172" i="22"/>
  <c r="D172" i="22"/>
  <c r="E170" i="22"/>
  <c r="D170" i="22"/>
  <c r="C170" i="22"/>
  <c r="H169" i="22"/>
  <c r="M169" i="22" s="1"/>
  <c r="H168" i="22"/>
  <c r="G168" i="22"/>
  <c r="G168" i="32" s="1"/>
  <c r="L167" i="22"/>
  <c r="L168" i="22" s="1"/>
  <c r="M242" i="12" s="1"/>
  <c r="R242" i="12" s="1"/>
  <c r="J167" i="22"/>
  <c r="J168" i="22" s="1"/>
  <c r="K242" i="12" s="1"/>
  <c r="H167" i="22"/>
  <c r="E167" i="22"/>
  <c r="D167" i="22"/>
  <c r="L165" i="22"/>
  <c r="J165" i="22"/>
  <c r="H165" i="22"/>
  <c r="E165" i="22"/>
  <c r="D165" i="22"/>
  <c r="H163" i="22"/>
  <c r="G163" i="22"/>
  <c r="G359" i="18" s="1"/>
  <c r="L162" i="22"/>
  <c r="J162" i="22"/>
  <c r="H162" i="22"/>
  <c r="E162" i="22"/>
  <c r="D162" i="22"/>
  <c r="L161" i="22"/>
  <c r="J161" i="22"/>
  <c r="H161" i="22"/>
  <c r="E161" i="22"/>
  <c r="D161" i="22"/>
  <c r="E159" i="22"/>
  <c r="D159" i="22"/>
  <c r="C159" i="22"/>
  <c r="H158" i="22"/>
  <c r="G158" i="22"/>
  <c r="G158" i="32" s="1"/>
  <c r="L157" i="22"/>
  <c r="J157" i="22"/>
  <c r="H157" i="22"/>
  <c r="E157" i="22"/>
  <c r="D157" i="22"/>
  <c r="L156" i="22"/>
  <c r="J156" i="22"/>
  <c r="H156" i="22"/>
  <c r="E156" i="22"/>
  <c r="D156" i="22"/>
  <c r="L155" i="22"/>
  <c r="J155" i="22"/>
  <c r="H155" i="22"/>
  <c r="E155" i="22"/>
  <c r="D155" i="22"/>
  <c r="L154" i="22"/>
  <c r="J154" i="22"/>
  <c r="H154" i="22"/>
  <c r="E154" i="22"/>
  <c r="D154" i="22"/>
  <c r="L153" i="22"/>
  <c r="J153" i="22"/>
  <c r="H153" i="22"/>
  <c r="E153" i="22"/>
  <c r="D153" i="22"/>
  <c r="L151" i="22"/>
  <c r="J151" i="22"/>
  <c r="H151" i="22"/>
  <c r="E151" i="22"/>
  <c r="D151" i="22"/>
  <c r="L149" i="22"/>
  <c r="J149" i="22"/>
  <c r="H149" i="22"/>
  <c r="E149" i="22"/>
  <c r="D149" i="22"/>
  <c r="E147" i="22"/>
  <c r="D147" i="22"/>
  <c r="C147" i="22"/>
  <c r="H146" i="22"/>
  <c r="G146" i="22"/>
  <c r="L145" i="22"/>
  <c r="J145" i="22"/>
  <c r="H145" i="22"/>
  <c r="E145" i="22"/>
  <c r="D145" i="22"/>
  <c r="L144" i="22"/>
  <c r="J144" i="22"/>
  <c r="H144" i="22"/>
  <c r="E144" i="22"/>
  <c r="D144" i="22"/>
  <c r="L143" i="22"/>
  <c r="J143" i="22"/>
  <c r="H143" i="22"/>
  <c r="E143" i="22"/>
  <c r="D143" i="22"/>
  <c r="L142" i="22"/>
  <c r="J142" i="22"/>
  <c r="H142" i="22"/>
  <c r="E142" i="22"/>
  <c r="D142" i="22"/>
  <c r="L141" i="22"/>
  <c r="J141" i="22"/>
  <c r="H141" i="22"/>
  <c r="E141" i="22"/>
  <c r="D141" i="22"/>
  <c r="L139" i="22"/>
  <c r="J139" i="22"/>
  <c r="H139" i="22"/>
  <c r="E139" i="22"/>
  <c r="D139" i="22"/>
  <c r="L137" i="22"/>
  <c r="J137" i="22"/>
  <c r="H137" i="22"/>
  <c r="E137" i="22"/>
  <c r="D137" i="22"/>
  <c r="E135" i="22"/>
  <c r="D135" i="22"/>
  <c r="C135" i="22"/>
  <c r="L134" i="22"/>
  <c r="J134" i="22"/>
  <c r="H134" i="22"/>
  <c r="E134" i="22"/>
  <c r="D134" i="22"/>
  <c r="H132" i="22"/>
  <c r="G132" i="22"/>
  <c r="G132" i="32" s="1"/>
  <c r="L131" i="22"/>
  <c r="L132" i="22" s="1"/>
  <c r="M213" i="3" s="1"/>
  <c r="R213" i="3" s="1"/>
  <c r="J131" i="22"/>
  <c r="J132" i="22" s="1"/>
  <c r="K213" i="3" s="1"/>
  <c r="H131" i="22"/>
  <c r="E131" i="22"/>
  <c r="D131" i="22"/>
  <c r="E129" i="22"/>
  <c r="D129" i="22"/>
  <c r="C129" i="22"/>
  <c r="H128" i="22"/>
  <c r="G128" i="22"/>
  <c r="G128" i="32" s="1"/>
  <c r="L127" i="22"/>
  <c r="J127" i="22"/>
  <c r="H127" i="22"/>
  <c r="E127" i="22"/>
  <c r="D127" i="22"/>
  <c r="L126" i="22"/>
  <c r="J126" i="22"/>
  <c r="H126" i="22"/>
  <c r="E126" i="22"/>
  <c r="D126" i="22"/>
  <c r="L125" i="22"/>
  <c r="J125" i="22"/>
  <c r="H125" i="22"/>
  <c r="E125" i="22"/>
  <c r="D125" i="22"/>
  <c r="L123" i="22"/>
  <c r="J123" i="22"/>
  <c r="H123" i="22"/>
  <c r="E123" i="22"/>
  <c r="D123" i="22"/>
  <c r="H121" i="22"/>
  <c r="G121" i="22"/>
  <c r="G121" i="32" s="1"/>
  <c r="L120" i="22"/>
  <c r="J120" i="22"/>
  <c r="H120" i="22"/>
  <c r="E120" i="22"/>
  <c r="D120" i="22"/>
  <c r="L119" i="22"/>
  <c r="J119" i="22"/>
  <c r="H119" i="22"/>
  <c r="E119" i="22"/>
  <c r="D119" i="22"/>
  <c r="L118" i="22"/>
  <c r="J118" i="22"/>
  <c r="H118" i="22"/>
  <c r="E118" i="22"/>
  <c r="D118" i="22"/>
  <c r="L117" i="22"/>
  <c r="J117" i="22"/>
  <c r="H117" i="22"/>
  <c r="E117" i="22"/>
  <c r="D117" i="22"/>
  <c r="L116" i="22"/>
  <c r="J116" i="22"/>
  <c r="H116" i="22"/>
  <c r="E116" i="22"/>
  <c r="D116" i="22"/>
  <c r="L115" i="22"/>
  <c r="J115" i="22"/>
  <c r="H115" i="22"/>
  <c r="E115" i="22"/>
  <c r="D115" i="22"/>
  <c r="E113" i="22"/>
  <c r="D113" i="22"/>
  <c r="C113" i="22"/>
  <c r="H112" i="22"/>
  <c r="L111" i="22"/>
  <c r="J111" i="22"/>
  <c r="H111" i="22"/>
  <c r="E111" i="22"/>
  <c r="D111" i="22"/>
  <c r="L110" i="22"/>
  <c r="J110" i="22"/>
  <c r="H110" i="22"/>
  <c r="E110" i="22"/>
  <c r="D110" i="22"/>
  <c r="L108" i="22"/>
  <c r="J108" i="22"/>
  <c r="H108" i="22"/>
  <c r="E108" i="22"/>
  <c r="D108" i="22"/>
  <c r="E106" i="22"/>
  <c r="D106" i="22"/>
  <c r="C106" i="22"/>
  <c r="L105" i="22"/>
  <c r="J105" i="22"/>
  <c r="H105" i="22"/>
  <c r="E105" i="22"/>
  <c r="D105" i="22"/>
  <c r="L104" i="22"/>
  <c r="J104" i="22"/>
  <c r="H104" i="22"/>
  <c r="E104" i="22"/>
  <c r="D104" i="22"/>
  <c r="L102" i="22"/>
  <c r="J102" i="22"/>
  <c r="H102" i="22"/>
  <c r="E102" i="22"/>
  <c r="D102" i="22"/>
  <c r="F100" i="22"/>
  <c r="E100" i="22"/>
  <c r="D100" i="22"/>
  <c r="C100" i="22"/>
  <c r="Q99" i="22"/>
  <c r="M99" i="22"/>
  <c r="K99" i="22"/>
  <c r="H98" i="22"/>
  <c r="H97" i="22"/>
  <c r="G97" i="22"/>
  <c r="G97" i="32" s="1"/>
  <c r="L96" i="22"/>
  <c r="J96" i="22"/>
  <c r="H96" i="22"/>
  <c r="E96" i="22"/>
  <c r="D96" i="22"/>
  <c r="L95" i="22"/>
  <c r="J95" i="22"/>
  <c r="H95" i="22"/>
  <c r="E95" i="22"/>
  <c r="D95" i="22"/>
  <c r="L93" i="22"/>
  <c r="J93" i="22"/>
  <c r="H93" i="22"/>
  <c r="E93" i="22"/>
  <c r="D93" i="22"/>
  <c r="E91" i="22"/>
  <c r="D91" i="22"/>
  <c r="C91" i="22"/>
  <c r="H90" i="22"/>
  <c r="G90" i="22"/>
  <c r="G210" i="18" s="1"/>
  <c r="L89" i="22"/>
  <c r="J89" i="22"/>
  <c r="H89" i="22"/>
  <c r="E89" i="22"/>
  <c r="D89" i="22"/>
  <c r="L88" i="22"/>
  <c r="J88" i="22"/>
  <c r="H88" i="22"/>
  <c r="E88" i="22"/>
  <c r="D88" i="22"/>
  <c r="L87" i="22"/>
  <c r="J87" i="22"/>
  <c r="H87" i="22"/>
  <c r="E87" i="22"/>
  <c r="D87" i="22"/>
  <c r="L86" i="22"/>
  <c r="J86" i="22"/>
  <c r="H86" i="22"/>
  <c r="E86" i="22"/>
  <c r="D86" i="22"/>
  <c r="L85" i="22"/>
  <c r="J85" i="22"/>
  <c r="H85" i="22"/>
  <c r="E85" i="22"/>
  <c r="D85" i="22"/>
  <c r="L83" i="22"/>
  <c r="J83" i="22"/>
  <c r="H83" i="22"/>
  <c r="E83" i="22"/>
  <c r="D83" i="22"/>
  <c r="L81" i="22"/>
  <c r="J81" i="22"/>
  <c r="H81" i="22"/>
  <c r="E81" i="22"/>
  <c r="D81" i="22"/>
  <c r="E79" i="22"/>
  <c r="D79" i="22"/>
  <c r="C79" i="22"/>
  <c r="L78" i="22"/>
  <c r="J78" i="22"/>
  <c r="H78" i="22"/>
  <c r="E78" i="22"/>
  <c r="D78" i="22"/>
  <c r="L76" i="22"/>
  <c r="J76" i="22"/>
  <c r="H76" i="22"/>
  <c r="E76" i="22"/>
  <c r="D76" i="22"/>
  <c r="E74" i="22"/>
  <c r="D74" i="22"/>
  <c r="C74" i="22"/>
  <c r="H73" i="22"/>
  <c r="Q73" i="22" s="1"/>
  <c r="L72" i="22"/>
  <c r="J72" i="22"/>
  <c r="H72" i="22"/>
  <c r="E72" i="22"/>
  <c r="D72" i="22"/>
  <c r="L71" i="22"/>
  <c r="J71" i="22"/>
  <c r="H71" i="22"/>
  <c r="E71" i="22"/>
  <c r="D71" i="22"/>
  <c r="L69" i="22"/>
  <c r="J69" i="22"/>
  <c r="H69" i="22"/>
  <c r="E69" i="22"/>
  <c r="D69" i="22"/>
  <c r="E67" i="22"/>
  <c r="D67" i="22"/>
  <c r="C67" i="22"/>
  <c r="L66" i="22"/>
  <c r="J66" i="22"/>
  <c r="H66" i="22"/>
  <c r="E66" i="22"/>
  <c r="D66" i="22"/>
  <c r="L65" i="22"/>
  <c r="J65" i="22"/>
  <c r="H65" i="22"/>
  <c r="E65" i="22"/>
  <c r="D65" i="22"/>
  <c r="L63" i="22"/>
  <c r="J63" i="22"/>
  <c r="H63" i="22"/>
  <c r="E63" i="22"/>
  <c r="D63" i="22"/>
  <c r="E61" i="22"/>
  <c r="D61" i="22"/>
  <c r="C61" i="22"/>
  <c r="L60" i="22"/>
  <c r="J60" i="22"/>
  <c r="H60" i="22"/>
  <c r="E60" i="22"/>
  <c r="D60" i="22"/>
  <c r="L58" i="22"/>
  <c r="J58" i="22"/>
  <c r="H58" i="22"/>
  <c r="E58" i="22"/>
  <c r="D58" i="22"/>
  <c r="F56" i="22"/>
  <c r="E56" i="22"/>
  <c r="D56" i="22"/>
  <c r="C56" i="22"/>
  <c r="L55" i="22"/>
  <c r="J55" i="22"/>
  <c r="H55" i="22"/>
  <c r="E55" i="22"/>
  <c r="D55" i="22"/>
  <c r="L54" i="22"/>
  <c r="J54" i="22"/>
  <c r="H54" i="22"/>
  <c r="E54" i="22"/>
  <c r="D54" i="22"/>
  <c r="L52" i="22"/>
  <c r="J52" i="22"/>
  <c r="H52" i="22"/>
  <c r="E52" i="22"/>
  <c r="D52" i="22"/>
  <c r="E50" i="22"/>
  <c r="D50" i="22"/>
  <c r="C50" i="22"/>
  <c r="L49" i="22"/>
  <c r="J49" i="22"/>
  <c r="H49" i="22"/>
  <c r="E49" i="22"/>
  <c r="D49" i="22"/>
  <c r="L48" i="22"/>
  <c r="J48" i="22"/>
  <c r="H48" i="22"/>
  <c r="E48" i="22"/>
  <c r="D48" i="22"/>
  <c r="L46" i="22"/>
  <c r="J46" i="22"/>
  <c r="H46" i="22"/>
  <c r="E46" i="22"/>
  <c r="D46" i="22"/>
  <c r="E44" i="22"/>
  <c r="D44" i="22"/>
  <c r="C44" i="22"/>
  <c r="L43" i="22"/>
  <c r="J43" i="22"/>
  <c r="H43" i="22"/>
  <c r="E43" i="22"/>
  <c r="D43" i="22"/>
  <c r="L42" i="22"/>
  <c r="J42" i="22"/>
  <c r="H42" i="22"/>
  <c r="E42" i="22"/>
  <c r="D42" i="22"/>
  <c r="L40" i="22"/>
  <c r="J40" i="22"/>
  <c r="H40" i="22"/>
  <c r="E40" i="22"/>
  <c r="D40" i="22"/>
  <c r="E38" i="22"/>
  <c r="D38" i="22"/>
  <c r="C38" i="22"/>
  <c r="L37" i="22"/>
  <c r="J37" i="22"/>
  <c r="H37" i="22"/>
  <c r="E37" i="22"/>
  <c r="D37" i="22"/>
  <c r="L36" i="22"/>
  <c r="J36" i="22"/>
  <c r="H36" i="22"/>
  <c r="E36" i="22"/>
  <c r="D36" i="22"/>
  <c r="L34" i="22"/>
  <c r="J34" i="22"/>
  <c r="H34" i="22"/>
  <c r="E34" i="22"/>
  <c r="D34" i="22"/>
  <c r="F32" i="22"/>
  <c r="E32" i="22"/>
  <c r="D32" i="22"/>
  <c r="C32" i="22"/>
  <c r="L31" i="22"/>
  <c r="J31" i="22"/>
  <c r="H31" i="22"/>
  <c r="E31" i="22"/>
  <c r="D31" i="22"/>
  <c r="L30" i="22"/>
  <c r="J30" i="22"/>
  <c r="H30" i="22"/>
  <c r="E30" i="22"/>
  <c r="D30" i="22"/>
  <c r="L28" i="22"/>
  <c r="J28" i="22"/>
  <c r="H28" i="22"/>
  <c r="E28" i="22"/>
  <c r="D28" i="22"/>
  <c r="F26" i="22"/>
  <c r="E26" i="22"/>
  <c r="D26" i="22"/>
  <c r="C26" i="22"/>
  <c r="L25" i="22"/>
  <c r="J25" i="22"/>
  <c r="H25" i="22"/>
  <c r="E25" i="22"/>
  <c r="D25" i="22"/>
  <c r="L24" i="22"/>
  <c r="J24" i="22"/>
  <c r="H24" i="22"/>
  <c r="E24" i="22"/>
  <c r="D24" i="22"/>
  <c r="L22" i="22"/>
  <c r="J22" i="22"/>
  <c r="H22" i="22"/>
  <c r="E22" i="22"/>
  <c r="D22" i="22"/>
  <c r="E20" i="22"/>
  <c r="D20" i="22"/>
  <c r="C20" i="22"/>
  <c r="L19" i="22"/>
  <c r="J19" i="22"/>
  <c r="H19" i="22"/>
  <c r="E19" i="22"/>
  <c r="D19" i="22"/>
  <c r="L18" i="22"/>
  <c r="J18" i="22"/>
  <c r="H18" i="22"/>
  <c r="E18" i="22"/>
  <c r="D18" i="22"/>
  <c r="L16" i="22"/>
  <c r="J16" i="22"/>
  <c r="H16" i="22"/>
  <c r="E16" i="22"/>
  <c r="D16" i="22"/>
  <c r="E14" i="22"/>
  <c r="D14" i="22"/>
  <c r="C14" i="22"/>
  <c r="L13" i="22"/>
  <c r="J13" i="22"/>
  <c r="H13" i="22"/>
  <c r="E13" i="22"/>
  <c r="D13" i="22"/>
  <c r="L12" i="22"/>
  <c r="J12" i="22"/>
  <c r="H12" i="22"/>
  <c r="E12" i="22"/>
  <c r="D12" i="22"/>
  <c r="L10" i="22"/>
  <c r="J10" i="22"/>
  <c r="H10" i="22"/>
  <c r="E10" i="22"/>
  <c r="D10" i="22"/>
  <c r="E8" i="22"/>
  <c r="D8" i="22"/>
  <c r="C8" i="22"/>
  <c r="Q7" i="22"/>
  <c r="M7" i="22"/>
  <c r="K7" i="22"/>
  <c r="Q6" i="22"/>
  <c r="M6" i="22"/>
  <c r="K6" i="22"/>
  <c r="J62" i="20"/>
  <c r="J54" i="20"/>
  <c r="J6" i="20"/>
  <c r="E133" i="19"/>
  <c r="D133" i="19"/>
  <c r="C133" i="19"/>
  <c r="E132" i="19"/>
  <c r="D132" i="19"/>
  <c r="C132" i="19"/>
  <c r="E130" i="19"/>
  <c r="D130" i="19"/>
  <c r="C130" i="19"/>
  <c r="E129" i="19"/>
  <c r="D129" i="19"/>
  <c r="C129" i="19"/>
  <c r="E128" i="19"/>
  <c r="D128" i="19"/>
  <c r="C128" i="19"/>
  <c r="E127" i="19"/>
  <c r="D127" i="19"/>
  <c r="C127" i="19"/>
  <c r="E126" i="19"/>
  <c r="D126" i="19"/>
  <c r="C126" i="19"/>
  <c r="E125" i="19"/>
  <c r="D125" i="19"/>
  <c r="C125" i="19"/>
  <c r="E124" i="19"/>
  <c r="D124" i="19"/>
  <c r="C124" i="19"/>
  <c r="E123" i="19"/>
  <c r="D123" i="19"/>
  <c r="C123" i="19"/>
  <c r="E122" i="19"/>
  <c r="D122" i="19"/>
  <c r="C122" i="19"/>
  <c r="E121" i="19"/>
  <c r="D121" i="19"/>
  <c r="C121" i="19"/>
  <c r="E120" i="19"/>
  <c r="D120" i="19"/>
  <c r="C120" i="19"/>
  <c r="E119" i="19"/>
  <c r="D119" i="19"/>
  <c r="C119" i="19"/>
  <c r="E117" i="19"/>
  <c r="D117" i="19"/>
  <c r="C117" i="19"/>
  <c r="E116" i="19"/>
  <c r="D116" i="19"/>
  <c r="C116" i="19"/>
  <c r="E115" i="19"/>
  <c r="D115" i="19"/>
  <c r="C115" i="19"/>
  <c r="E114" i="19"/>
  <c r="D114" i="19"/>
  <c r="C114" i="19"/>
  <c r="E113" i="19"/>
  <c r="D113" i="19"/>
  <c r="C113" i="19"/>
  <c r="E112" i="19"/>
  <c r="D112" i="19"/>
  <c r="C112" i="19"/>
  <c r="E111" i="19"/>
  <c r="D111" i="19"/>
  <c r="C111" i="19"/>
  <c r="E110" i="19"/>
  <c r="D110" i="19"/>
  <c r="C110" i="19"/>
  <c r="E109" i="19"/>
  <c r="D109" i="19"/>
  <c r="C109" i="19"/>
  <c r="E108" i="19"/>
  <c r="D108" i="19"/>
  <c r="C108" i="19"/>
  <c r="E107" i="19"/>
  <c r="D107" i="19"/>
  <c r="C107" i="19"/>
  <c r="E106" i="19"/>
  <c r="D106" i="19"/>
  <c r="C106" i="19"/>
  <c r="E104" i="19"/>
  <c r="D104" i="19"/>
  <c r="C104" i="19"/>
  <c r="E103" i="19"/>
  <c r="D103" i="19"/>
  <c r="C103" i="19"/>
  <c r="E102" i="19"/>
  <c r="D102" i="19"/>
  <c r="C102" i="19"/>
  <c r="E101" i="19"/>
  <c r="D101" i="19"/>
  <c r="C101" i="19"/>
  <c r="H99" i="19"/>
  <c r="E98" i="19"/>
  <c r="D98" i="19"/>
  <c r="C98" i="19"/>
  <c r="E96" i="19"/>
  <c r="D96" i="19"/>
  <c r="C96" i="19"/>
  <c r="E95" i="19"/>
  <c r="D95" i="19"/>
  <c r="C95" i="19"/>
  <c r="E93" i="19"/>
  <c r="D93" i="19"/>
  <c r="C93" i="19"/>
  <c r="E92" i="19"/>
  <c r="D92" i="19"/>
  <c r="C92" i="19"/>
  <c r="E91" i="19"/>
  <c r="D91" i="19"/>
  <c r="C91" i="19"/>
  <c r="E90" i="19"/>
  <c r="D90" i="19"/>
  <c r="C90" i="19"/>
  <c r="E88" i="19"/>
  <c r="D88" i="19"/>
  <c r="C88" i="19"/>
  <c r="E87" i="19"/>
  <c r="D87" i="19"/>
  <c r="C87" i="19"/>
  <c r="E86" i="19"/>
  <c r="D86" i="19"/>
  <c r="C86" i="19"/>
  <c r="E85" i="19"/>
  <c r="D85" i="19"/>
  <c r="C85" i="19"/>
  <c r="F83" i="19"/>
  <c r="E83" i="19"/>
  <c r="D83" i="19"/>
  <c r="C83" i="19"/>
  <c r="F82" i="19"/>
  <c r="E82" i="19"/>
  <c r="D82" i="19"/>
  <c r="C82" i="19"/>
  <c r="F81" i="19"/>
  <c r="E81" i="19"/>
  <c r="D81" i="19"/>
  <c r="C81" i="19"/>
  <c r="F80" i="19"/>
  <c r="E80" i="19"/>
  <c r="D80" i="19"/>
  <c r="C80" i="19"/>
  <c r="F79" i="19"/>
  <c r="E79" i="19"/>
  <c r="D79" i="19"/>
  <c r="C79" i="19"/>
  <c r="F78" i="19"/>
  <c r="E78" i="19"/>
  <c r="D78" i="19"/>
  <c r="C78" i="19"/>
  <c r="F77" i="19"/>
  <c r="E77" i="19"/>
  <c r="D77" i="19"/>
  <c r="C77" i="19"/>
  <c r="F76" i="19"/>
  <c r="E76" i="19"/>
  <c r="D76" i="19"/>
  <c r="C76" i="19"/>
  <c r="F75" i="19"/>
  <c r="E75" i="19"/>
  <c r="D75" i="19"/>
  <c r="C75" i="19"/>
  <c r="F74" i="19"/>
  <c r="E74" i="19"/>
  <c r="D74" i="19"/>
  <c r="C74" i="19"/>
  <c r="F73" i="19"/>
  <c r="E73" i="19"/>
  <c r="D73" i="19"/>
  <c r="C73" i="19"/>
  <c r="E70" i="19"/>
  <c r="D70" i="19"/>
  <c r="C70" i="19"/>
  <c r="E69" i="19"/>
  <c r="D69" i="19"/>
  <c r="C69" i="19"/>
  <c r="E68" i="19"/>
  <c r="D68" i="19"/>
  <c r="C68" i="19"/>
  <c r="F66" i="19"/>
  <c r="E66" i="19"/>
  <c r="D66" i="19"/>
  <c r="C66" i="19"/>
  <c r="F65" i="19"/>
  <c r="E65" i="19"/>
  <c r="D65" i="19"/>
  <c r="C65" i="19"/>
  <c r="F64" i="19"/>
  <c r="E64" i="19"/>
  <c r="D64" i="19"/>
  <c r="C64" i="19"/>
  <c r="F63" i="19"/>
  <c r="E63" i="19"/>
  <c r="D63" i="19"/>
  <c r="C63" i="19"/>
  <c r="F62" i="19"/>
  <c r="E62" i="19"/>
  <c r="D62" i="19"/>
  <c r="C62" i="19"/>
  <c r="F61" i="19"/>
  <c r="E61" i="19"/>
  <c r="D61" i="19"/>
  <c r="C61" i="19"/>
  <c r="F58" i="19"/>
  <c r="E58" i="19"/>
  <c r="D58" i="19"/>
  <c r="C58" i="19"/>
  <c r="F57" i="19"/>
  <c r="E57" i="19"/>
  <c r="D57" i="19"/>
  <c r="C57" i="19"/>
  <c r="E56" i="19"/>
  <c r="D56" i="19"/>
  <c r="C56" i="19"/>
  <c r="F54" i="19"/>
  <c r="E54" i="19"/>
  <c r="D54" i="19"/>
  <c r="C54" i="19"/>
  <c r="F53" i="19"/>
  <c r="E53" i="19"/>
  <c r="D53" i="19"/>
  <c r="C53" i="19"/>
  <c r="E52" i="19"/>
  <c r="D52" i="19"/>
  <c r="C52" i="19"/>
  <c r="F51" i="19"/>
  <c r="E51" i="19"/>
  <c r="D51" i="19"/>
  <c r="C51" i="19"/>
  <c r="F50" i="19"/>
  <c r="E50" i="19"/>
  <c r="D50" i="19"/>
  <c r="C50" i="19"/>
  <c r="F49" i="19"/>
  <c r="E49" i="19"/>
  <c r="D49" i="19"/>
  <c r="C49" i="19"/>
  <c r="E48" i="19"/>
  <c r="D48" i="19"/>
  <c r="C48" i="19"/>
  <c r="F47" i="19"/>
  <c r="E47" i="19"/>
  <c r="D47" i="19"/>
  <c r="C47" i="19"/>
  <c r="F46" i="19"/>
  <c r="E46" i="19"/>
  <c r="D46" i="19"/>
  <c r="C46" i="19"/>
  <c r="E42" i="19"/>
  <c r="D42" i="19"/>
  <c r="C42" i="19"/>
  <c r="F41" i="19"/>
  <c r="E41" i="19"/>
  <c r="D41" i="19"/>
  <c r="C41" i="19"/>
  <c r="F40" i="19"/>
  <c r="E40" i="19"/>
  <c r="D40" i="19"/>
  <c r="C40" i="19"/>
  <c r="F39" i="19"/>
  <c r="E39" i="19"/>
  <c r="D39" i="19"/>
  <c r="C39" i="19"/>
  <c r="E38" i="19"/>
  <c r="D38" i="19"/>
  <c r="C38" i="19"/>
  <c r="E37" i="19"/>
  <c r="D37" i="19"/>
  <c r="C37" i="19"/>
  <c r="E36" i="19"/>
  <c r="D36" i="19"/>
  <c r="C36" i="19"/>
  <c r="E35" i="19"/>
  <c r="D35" i="19"/>
  <c r="C35" i="19"/>
  <c r="F33" i="19"/>
  <c r="E33" i="19"/>
  <c r="D33" i="19"/>
  <c r="C33" i="19"/>
  <c r="F32" i="19"/>
  <c r="E32" i="19"/>
  <c r="D32" i="19"/>
  <c r="C32" i="19"/>
  <c r="F31" i="19"/>
  <c r="E31" i="19"/>
  <c r="D31" i="19"/>
  <c r="C31" i="19"/>
  <c r="F30" i="19"/>
  <c r="E30" i="19"/>
  <c r="D30" i="19"/>
  <c r="C30" i="19"/>
  <c r="F29" i="19"/>
  <c r="E29" i="19"/>
  <c r="D29" i="19"/>
  <c r="C29" i="19"/>
  <c r="F27" i="19"/>
  <c r="E27" i="19"/>
  <c r="D27" i="19"/>
  <c r="C27" i="19"/>
  <c r="F26" i="19"/>
  <c r="E26" i="19"/>
  <c r="D26" i="19"/>
  <c r="C26" i="19"/>
  <c r="E23" i="19"/>
  <c r="D23" i="19"/>
  <c r="C23" i="19"/>
  <c r="E22" i="19"/>
  <c r="D22" i="19"/>
  <c r="C22" i="19"/>
  <c r="E21" i="19"/>
  <c r="D21" i="19"/>
  <c r="C21" i="19"/>
  <c r="E19" i="19"/>
  <c r="D19" i="19"/>
  <c r="C19" i="19"/>
  <c r="E18" i="19"/>
  <c r="D18" i="19"/>
  <c r="C18" i="19"/>
  <c r="F17" i="19"/>
  <c r="E17" i="19"/>
  <c r="D17" i="19"/>
  <c r="C17" i="19"/>
  <c r="F16" i="19"/>
  <c r="E16" i="19"/>
  <c r="D16" i="19"/>
  <c r="C16" i="19"/>
  <c r="F15" i="19"/>
  <c r="E15" i="19"/>
  <c r="D15" i="19"/>
  <c r="C15" i="19"/>
  <c r="E14" i="19"/>
  <c r="D14" i="19"/>
  <c r="C14" i="19"/>
  <c r="F13" i="19"/>
  <c r="E13" i="19"/>
  <c r="D13" i="19"/>
  <c r="C13" i="19"/>
  <c r="F12" i="19"/>
  <c r="E12" i="19"/>
  <c r="D12" i="19"/>
  <c r="C12" i="19"/>
  <c r="F11" i="19"/>
  <c r="E11" i="19"/>
  <c r="D11" i="19"/>
  <c r="C11" i="19"/>
  <c r="F10" i="19"/>
  <c r="E10" i="19"/>
  <c r="D10" i="19"/>
  <c r="C10" i="19"/>
  <c r="F9" i="19"/>
  <c r="E9" i="19"/>
  <c r="D9" i="19"/>
  <c r="C9" i="19"/>
  <c r="I53" i="16"/>
  <c r="I52" i="16"/>
  <c r="I51" i="16"/>
  <c r="N50" i="16"/>
  <c r="I49" i="16"/>
  <c r="I48" i="16"/>
  <c r="N47" i="16"/>
  <c r="I46" i="16"/>
  <c r="I45" i="16" s="1"/>
  <c r="M45" i="16" s="1"/>
  <c r="N45" i="16"/>
  <c r="I44" i="16"/>
  <c r="I43" i="16" s="1"/>
  <c r="N43" i="16"/>
  <c r="I42" i="16"/>
  <c r="I41" i="16"/>
  <c r="N40" i="16"/>
  <c r="I39" i="16"/>
  <c r="I38" i="16"/>
  <c r="I37" i="16"/>
  <c r="N36" i="16"/>
  <c r="I35" i="16"/>
  <c r="I34" i="16"/>
  <c r="I33" i="16"/>
  <c r="I32" i="16"/>
  <c r="I31" i="16"/>
  <c r="I30" i="16"/>
  <c r="I29" i="16"/>
  <c r="I28" i="16"/>
  <c r="I27" i="16"/>
  <c r="I26" i="16"/>
  <c r="I25" i="16"/>
  <c r="I24" i="16"/>
  <c r="I23" i="16"/>
  <c r="I22" i="16"/>
  <c r="I21" i="16"/>
  <c r="I20" i="16"/>
  <c r="I19" i="16"/>
  <c r="I18" i="16"/>
  <c r="I17" i="16"/>
  <c r="N16" i="16"/>
  <c r="I15" i="16"/>
  <c r="I14" i="16"/>
  <c r="I13" i="16"/>
  <c r="I12" i="16"/>
  <c r="I11" i="16"/>
  <c r="I10" i="16"/>
  <c r="I9" i="16"/>
  <c r="I8" i="16"/>
  <c r="I7" i="16"/>
  <c r="N6" i="16"/>
  <c r="I42" i="15"/>
  <c r="I41" i="15"/>
  <c r="N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N13" i="15"/>
  <c r="I12" i="15"/>
  <c r="I11" i="15"/>
  <c r="I10" i="15"/>
  <c r="I9" i="15"/>
  <c r="I8" i="15"/>
  <c r="I7" i="15"/>
  <c r="N6" i="15"/>
  <c r="G324" i="14"/>
  <c r="J324" i="14" s="1"/>
  <c r="J323" i="14" s="1"/>
  <c r="G322" i="14"/>
  <c r="J322" i="14" s="1"/>
  <c r="J321" i="14" s="1"/>
  <c r="J320" i="14"/>
  <c r="J319" i="14"/>
  <c r="J318" i="14"/>
  <c r="G315" i="14"/>
  <c r="J315" i="14" s="1"/>
  <c r="J314" i="14" s="1"/>
  <c r="G313" i="14"/>
  <c r="J313" i="14" s="1"/>
  <c r="G312" i="14"/>
  <c r="J312" i="14" s="1"/>
  <c r="J310" i="14"/>
  <c r="J309" i="14"/>
  <c r="J308" i="14"/>
  <c r="G305" i="14"/>
  <c r="J305" i="14" s="1"/>
  <c r="J304" i="14" s="1"/>
  <c r="G303" i="14"/>
  <c r="J303" i="14" s="1"/>
  <c r="J302" i="14" s="1"/>
  <c r="J301" i="14"/>
  <c r="J300" i="14"/>
  <c r="J299" i="14"/>
  <c r="G296" i="14"/>
  <c r="J296" i="14" s="1"/>
  <c r="J295" i="14" s="1"/>
  <c r="G294" i="14"/>
  <c r="J294" i="14" s="1"/>
  <c r="J293" i="14" s="1"/>
  <c r="J292" i="14"/>
  <c r="J291" i="14"/>
  <c r="J290" i="14"/>
  <c r="G287" i="14"/>
  <c r="J287" i="14" s="1"/>
  <c r="J286" i="14" s="1"/>
  <c r="G285" i="14"/>
  <c r="J285" i="14" s="1"/>
  <c r="J284" i="14" s="1"/>
  <c r="J283" i="14"/>
  <c r="J282" i="14"/>
  <c r="J281" i="14"/>
  <c r="G278" i="14"/>
  <c r="J278" i="14" s="1"/>
  <c r="J277" i="14" s="1"/>
  <c r="G276" i="14"/>
  <c r="J276" i="14" s="1"/>
  <c r="J275" i="14" s="1"/>
  <c r="J274" i="14"/>
  <c r="J273" i="14"/>
  <c r="J272" i="14"/>
  <c r="G269" i="14"/>
  <c r="J269" i="14" s="1"/>
  <c r="J268" i="14" s="1"/>
  <c r="G267" i="14"/>
  <c r="J267" i="14" s="1"/>
  <c r="J266" i="14" s="1"/>
  <c r="J265" i="14"/>
  <c r="J264" i="14"/>
  <c r="J263" i="14"/>
  <c r="G260" i="14"/>
  <c r="J260" i="14" s="1"/>
  <c r="J259" i="14" s="1"/>
  <c r="G258" i="14"/>
  <c r="J258" i="14" s="1"/>
  <c r="J257" i="14" s="1"/>
  <c r="J256" i="14"/>
  <c r="J255" i="14"/>
  <c r="J254" i="14"/>
  <c r="G251" i="14"/>
  <c r="J251" i="14" s="1"/>
  <c r="J250" i="14" s="1"/>
  <c r="G249" i="14"/>
  <c r="J249" i="14" s="1"/>
  <c r="G248" i="14"/>
  <c r="J248" i="14" s="1"/>
  <c r="J246" i="14"/>
  <c r="J245" i="14"/>
  <c r="J244" i="14"/>
  <c r="G241" i="14"/>
  <c r="J241" i="14" s="1"/>
  <c r="J240" i="14" s="1"/>
  <c r="G239" i="14"/>
  <c r="J239" i="14" s="1"/>
  <c r="J238" i="14" s="1"/>
  <c r="J237" i="14"/>
  <c r="J236" i="14"/>
  <c r="J235" i="14"/>
  <c r="G232" i="14"/>
  <c r="J232" i="14" s="1"/>
  <c r="J231" i="14" s="1"/>
  <c r="G230" i="14"/>
  <c r="J230" i="14" s="1"/>
  <c r="J229" i="14" s="1"/>
  <c r="J228" i="14"/>
  <c r="J227" i="14"/>
  <c r="J226" i="14"/>
  <c r="G223" i="14"/>
  <c r="J223" i="14" s="1"/>
  <c r="J222" i="14" s="1"/>
  <c r="G221" i="14"/>
  <c r="J221" i="14" s="1"/>
  <c r="J220" i="14" s="1"/>
  <c r="J219" i="14"/>
  <c r="J218" i="14"/>
  <c r="J217" i="14"/>
  <c r="G214" i="14"/>
  <c r="J214" i="14" s="1"/>
  <c r="J213" i="14" s="1"/>
  <c r="G212" i="14"/>
  <c r="J212" i="14" s="1"/>
  <c r="J211" i="14" s="1"/>
  <c r="J210" i="14"/>
  <c r="J209" i="14"/>
  <c r="J208" i="14"/>
  <c r="G205" i="14"/>
  <c r="J205" i="14" s="1"/>
  <c r="J204" i="14" s="1"/>
  <c r="G203" i="14"/>
  <c r="J203" i="14" s="1"/>
  <c r="J202" i="14" s="1"/>
  <c r="J201" i="14"/>
  <c r="J200" i="14"/>
  <c r="J199" i="14"/>
  <c r="G196" i="14"/>
  <c r="J196" i="14" s="1"/>
  <c r="J195" i="14" s="1"/>
  <c r="G194" i="14"/>
  <c r="J194" i="14" s="1"/>
  <c r="J193" i="14" s="1"/>
  <c r="J192" i="14"/>
  <c r="J191" i="14"/>
  <c r="J190" i="14"/>
  <c r="G187" i="14"/>
  <c r="J187" i="14" s="1"/>
  <c r="J186" i="14" s="1"/>
  <c r="G185" i="14"/>
  <c r="J185" i="14" s="1"/>
  <c r="J184" i="14" s="1"/>
  <c r="J183" i="14"/>
  <c r="J182" i="14"/>
  <c r="J181" i="14"/>
  <c r="G178" i="14"/>
  <c r="J178" i="14" s="1"/>
  <c r="J177" i="14" s="1"/>
  <c r="G176" i="14"/>
  <c r="J176" i="14" s="1"/>
  <c r="J175" i="14" s="1"/>
  <c r="J174" i="14"/>
  <c r="J173" i="14"/>
  <c r="J172" i="14"/>
  <c r="G169" i="14"/>
  <c r="J169" i="14" s="1"/>
  <c r="J168" i="14" s="1"/>
  <c r="G167" i="14"/>
  <c r="J167" i="14" s="1"/>
  <c r="G166" i="14"/>
  <c r="J166" i="14" s="1"/>
  <c r="J164" i="14"/>
  <c r="J163" i="14"/>
  <c r="J162" i="14"/>
  <c r="G159" i="14"/>
  <c r="J159" i="14" s="1"/>
  <c r="J158" i="14" s="1"/>
  <c r="G157" i="14"/>
  <c r="J157" i="14" s="1"/>
  <c r="G156" i="14"/>
  <c r="J156" i="14" s="1"/>
  <c r="J154" i="14"/>
  <c r="J153" i="14"/>
  <c r="J152" i="14"/>
  <c r="G149" i="14"/>
  <c r="J149" i="14" s="1"/>
  <c r="J148" i="14" s="1"/>
  <c r="G147" i="14"/>
  <c r="J147" i="14" s="1"/>
  <c r="J146" i="14" s="1"/>
  <c r="J145" i="14"/>
  <c r="J144" i="14"/>
  <c r="J143" i="14"/>
  <c r="G140" i="14"/>
  <c r="J140" i="14" s="1"/>
  <c r="J139" i="14" s="1"/>
  <c r="G138" i="14"/>
  <c r="J138" i="14" s="1"/>
  <c r="J137" i="14" s="1"/>
  <c r="J136" i="14"/>
  <c r="J135" i="14"/>
  <c r="J134" i="14"/>
  <c r="G131" i="14"/>
  <c r="J131" i="14" s="1"/>
  <c r="J130" i="14" s="1"/>
  <c r="G129" i="14"/>
  <c r="J129" i="14" s="1"/>
  <c r="J128" i="14" s="1"/>
  <c r="J127" i="14"/>
  <c r="J126" i="14"/>
  <c r="J125" i="14"/>
  <c r="G122" i="14"/>
  <c r="J122" i="14" s="1"/>
  <c r="J121" i="14" s="1"/>
  <c r="G120" i="14"/>
  <c r="J120" i="14" s="1"/>
  <c r="J119" i="14" s="1"/>
  <c r="J118" i="14"/>
  <c r="J117" i="14"/>
  <c r="J116" i="14"/>
  <c r="G113" i="14"/>
  <c r="J113" i="14" s="1"/>
  <c r="J112" i="14" s="1"/>
  <c r="G111" i="14"/>
  <c r="J111" i="14" s="1"/>
  <c r="J110" i="14" s="1"/>
  <c r="J109" i="14"/>
  <c r="J108" i="14"/>
  <c r="J107" i="14"/>
  <c r="G104" i="14"/>
  <c r="J104" i="14" s="1"/>
  <c r="J103" i="14" s="1"/>
  <c r="G102" i="14"/>
  <c r="J102" i="14" s="1"/>
  <c r="J101" i="14" s="1"/>
  <c r="J100" i="14"/>
  <c r="J99" i="14"/>
  <c r="J98" i="14"/>
  <c r="G95" i="14"/>
  <c r="J95" i="14" s="1"/>
  <c r="J94" i="14" s="1"/>
  <c r="G93" i="14"/>
  <c r="J93" i="14" s="1"/>
  <c r="J92" i="14" s="1"/>
  <c r="J91" i="14"/>
  <c r="J90" i="14"/>
  <c r="J89" i="14"/>
  <c r="G86" i="14"/>
  <c r="J86" i="14" s="1"/>
  <c r="J85" i="14" s="1"/>
  <c r="G84" i="14"/>
  <c r="J84" i="14" s="1"/>
  <c r="J83" i="14" s="1"/>
  <c r="J82" i="14"/>
  <c r="J81" i="14"/>
  <c r="J80" i="14"/>
  <c r="G77" i="14"/>
  <c r="J77" i="14" s="1"/>
  <c r="J76" i="14" s="1"/>
  <c r="G75" i="14"/>
  <c r="J75" i="14" s="1"/>
  <c r="J74" i="14" s="1"/>
  <c r="J73" i="14"/>
  <c r="J72" i="14"/>
  <c r="J71" i="14"/>
  <c r="G68" i="14"/>
  <c r="J68" i="14" s="1"/>
  <c r="J67" i="14" s="1"/>
  <c r="G66" i="14"/>
  <c r="J66" i="14" s="1"/>
  <c r="J65" i="14" s="1"/>
  <c r="J64" i="14"/>
  <c r="J63" i="14"/>
  <c r="J62" i="14"/>
  <c r="G59" i="14"/>
  <c r="J59" i="14" s="1"/>
  <c r="J58" i="14" s="1"/>
  <c r="G57" i="14"/>
  <c r="J57" i="14" s="1"/>
  <c r="J56" i="14" s="1"/>
  <c r="J55" i="14"/>
  <c r="J54" i="14"/>
  <c r="J53" i="14"/>
  <c r="G50" i="14"/>
  <c r="J50" i="14" s="1"/>
  <c r="J49" i="14" s="1"/>
  <c r="G48" i="14"/>
  <c r="J48" i="14" s="1"/>
  <c r="J47" i="14" s="1"/>
  <c r="J46" i="14"/>
  <c r="J45" i="14"/>
  <c r="J44" i="14"/>
  <c r="G41" i="14"/>
  <c r="J41" i="14" s="1"/>
  <c r="J40" i="14" s="1"/>
  <c r="G39" i="14"/>
  <c r="J39" i="14" s="1"/>
  <c r="J38" i="14" s="1"/>
  <c r="J37" i="14"/>
  <c r="J36" i="14"/>
  <c r="J35" i="14"/>
  <c r="G32" i="14"/>
  <c r="J32" i="14" s="1"/>
  <c r="J31" i="14" s="1"/>
  <c r="G30" i="14"/>
  <c r="J30" i="14" s="1"/>
  <c r="G29" i="14"/>
  <c r="J29" i="14" s="1"/>
  <c r="J27" i="14"/>
  <c r="J26" i="14"/>
  <c r="J25" i="14"/>
  <c r="G22" i="14"/>
  <c r="J22" i="14" s="1"/>
  <c r="J21" i="14" s="1"/>
  <c r="G20" i="14"/>
  <c r="J20" i="14" s="1"/>
  <c r="G19" i="14"/>
  <c r="J19" i="14" s="1"/>
  <c r="J17" i="14"/>
  <c r="J16" i="14"/>
  <c r="J15" i="14"/>
  <c r="J10" i="14"/>
  <c r="J9" i="14"/>
  <c r="J8" i="14"/>
  <c r="U261" i="12"/>
  <c r="I260" i="12"/>
  <c r="F260" i="12"/>
  <c r="E260" i="12"/>
  <c r="C260" i="12"/>
  <c r="I259" i="12"/>
  <c r="F259" i="12"/>
  <c r="E259" i="12"/>
  <c r="C259" i="12"/>
  <c r="I258" i="12"/>
  <c r="F258" i="12"/>
  <c r="E258" i="12"/>
  <c r="C258" i="12"/>
  <c r="I257" i="12"/>
  <c r="F257" i="12"/>
  <c r="E257" i="12"/>
  <c r="C257" i="12"/>
  <c r="I256" i="12"/>
  <c r="F256" i="12"/>
  <c r="E256" i="12"/>
  <c r="C256" i="12"/>
  <c r="I255" i="12"/>
  <c r="F255" i="12"/>
  <c r="E255" i="12"/>
  <c r="C255" i="12"/>
  <c r="I254" i="12"/>
  <c r="F254" i="12"/>
  <c r="E254" i="12"/>
  <c r="C254" i="12"/>
  <c r="I253" i="12"/>
  <c r="F253" i="12"/>
  <c r="E253" i="12"/>
  <c r="C253" i="12"/>
  <c r="I252" i="12"/>
  <c r="F252" i="12"/>
  <c r="E252" i="12"/>
  <c r="C252" i="12"/>
  <c r="I251" i="12"/>
  <c r="F251" i="12"/>
  <c r="E251" i="12"/>
  <c r="C251" i="12"/>
  <c r="I250" i="12"/>
  <c r="F250" i="12"/>
  <c r="E250" i="12"/>
  <c r="C250" i="12"/>
  <c r="I249" i="12"/>
  <c r="F249" i="12"/>
  <c r="E249" i="12"/>
  <c r="C249" i="12"/>
  <c r="I248" i="12"/>
  <c r="F248" i="12"/>
  <c r="E248" i="12"/>
  <c r="C248" i="12"/>
  <c r="I247" i="12"/>
  <c r="F247" i="12"/>
  <c r="E247" i="12"/>
  <c r="C247" i="12"/>
  <c r="I246" i="12"/>
  <c r="F246" i="12"/>
  <c r="E246" i="12"/>
  <c r="C246" i="12"/>
  <c r="I245" i="12"/>
  <c r="F245" i="12"/>
  <c r="E245" i="12"/>
  <c r="C245" i="12"/>
  <c r="I244" i="12"/>
  <c r="F244" i="12"/>
  <c r="E244" i="12"/>
  <c r="C244" i="12"/>
  <c r="I243" i="12"/>
  <c r="F243" i="12"/>
  <c r="E243" i="12"/>
  <c r="C243" i="12"/>
  <c r="I242" i="12"/>
  <c r="F242" i="12"/>
  <c r="E242" i="12"/>
  <c r="C242" i="12"/>
  <c r="I241" i="12"/>
  <c r="G241" i="12"/>
  <c r="F241" i="12"/>
  <c r="E241" i="12"/>
  <c r="C241" i="12"/>
  <c r="I240" i="12"/>
  <c r="G240" i="12"/>
  <c r="F240" i="12"/>
  <c r="E240" i="12"/>
  <c r="C240" i="12"/>
  <c r="I239" i="12"/>
  <c r="F239" i="12"/>
  <c r="E239" i="12"/>
  <c r="C239" i="12"/>
  <c r="I238" i="12"/>
  <c r="H238" i="12"/>
  <c r="F238" i="12"/>
  <c r="E238" i="12"/>
  <c r="C238" i="12"/>
  <c r="I237" i="12"/>
  <c r="F237" i="12"/>
  <c r="E237" i="12"/>
  <c r="C237" i="12"/>
  <c r="I236" i="12"/>
  <c r="G236" i="12"/>
  <c r="F236" i="12"/>
  <c r="E236" i="12"/>
  <c r="C236" i="12"/>
  <c r="I235" i="12"/>
  <c r="G235" i="12"/>
  <c r="F235" i="12"/>
  <c r="E235" i="12"/>
  <c r="C235" i="12"/>
  <c r="I234" i="12"/>
  <c r="G234" i="12"/>
  <c r="F234" i="12"/>
  <c r="E234" i="12"/>
  <c r="C234" i="12"/>
  <c r="I233" i="12"/>
  <c r="F233" i="12"/>
  <c r="E233" i="12"/>
  <c r="C233" i="12"/>
  <c r="I232" i="12"/>
  <c r="F232" i="12"/>
  <c r="E232" i="12"/>
  <c r="C232" i="12"/>
  <c r="I231" i="12"/>
  <c r="G231" i="12"/>
  <c r="F231" i="12"/>
  <c r="E231" i="12"/>
  <c r="C231" i="12"/>
  <c r="I230" i="12"/>
  <c r="G230" i="12"/>
  <c r="F230" i="12"/>
  <c r="E230" i="12"/>
  <c r="C230" i="12"/>
  <c r="I229" i="12"/>
  <c r="G229" i="12"/>
  <c r="F229" i="12"/>
  <c r="E229" i="12"/>
  <c r="C229" i="12"/>
  <c r="I228" i="12"/>
  <c r="G228" i="12"/>
  <c r="F228" i="12"/>
  <c r="E228" i="12"/>
  <c r="C228" i="12"/>
  <c r="I227" i="12"/>
  <c r="G227" i="12"/>
  <c r="F227" i="12"/>
  <c r="E227" i="12"/>
  <c r="C227" i="12"/>
  <c r="I226" i="12"/>
  <c r="G226" i="12"/>
  <c r="F226" i="12"/>
  <c r="E226" i="12"/>
  <c r="C226" i="12"/>
  <c r="I224" i="12"/>
  <c r="H224" i="12"/>
  <c r="F224" i="12"/>
  <c r="E224" i="12"/>
  <c r="C224" i="12"/>
  <c r="I223" i="12"/>
  <c r="H223" i="12"/>
  <c r="F223" i="12"/>
  <c r="E223" i="12"/>
  <c r="C223" i="12"/>
  <c r="M222" i="12"/>
  <c r="R222" i="12" s="1"/>
  <c r="K222" i="12"/>
  <c r="E222" i="12"/>
  <c r="D222" i="12"/>
  <c r="I221" i="12"/>
  <c r="H221" i="12"/>
  <c r="F221" i="12"/>
  <c r="E221" i="12"/>
  <c r="C221" i="12"/>
  <c r="I220" i="12"/>
  <c r="H220" i="12"/>
  <c r="F220" i="12"/>
  <c r="E220" i="12"/>
  <c r="C220" i="12"/>
  <c r="M219" i="12"/>
  <c r="R219" i="12" s="1"/>
  <c r="K219" i="12"/>
  <c r="E219" i="12"/>
  <c r="D219" i="12"/>
  <c r="I218" i="12"/>
  <c r="H218" i="12"/>
  <c r="F218" i="12"/>
  <c r="E218" i="12"/>
  <c r="C218" i="12"/>
  <c r="M217" i="12"/>
  <c r="R217" i="12" s="1"/>
  <c r="K217" i="12"/>
  <c r="E217" i="12"/>
  <c r="D217" i="12"/>
  <c r="I216" i="12"/>
  <c r="H216" i="12"/>
  <c r="F216" i="12"/>
  <c r="E216" i="12"/>
  <c r="C216" i="12"/>
  <c r="I215" i="12"/>
  <c r="H215" i="12"/>
  <c r="F215" i="12"/>
  <c r="E215" i="12"/>
  <c r="C215" i="12"/>
  <c r="M214" i="12"/>
  <c r="R214" i="12" s="1"/>
  <c r="K214" i="12"/>
  <c r="E214" i="12"/>
  <c r="D214" i="12"/>
  <c r="I213" i="12"/>
  <c r="H213" i="12"/>
  <c r="F213" i="12"/>
  <c r="E213" i="12"/>
  <c r="C213" i="12"/>
  <c r="I212" i="12"/>
  <c r="H212" i="12"/>
  <c r="F212" i="12"/>
  <c r="E212" i="12"/>
  <c r="C212" i="12"/>
  <c r="M211" i="12"/>
  <c r="R211" i="12" s="1"/>
  <c r="K211" i="12"/>
  <c r="E211" i="12"/>
  <c r="D211" i="12"/>
  <c r="I210" i="12"/>
  <c r="H210" i="12"/>
  <c r="F210" i="12"/>
  <c r="E210" i="12"/>
  <c r="C210" i="12"/>
  <c r="I209" i="12"/>
  <c r="H209" i="12"/>
  <c r="F209" i="12"/>
  <c r="E209" i="12"/>
  <c r="C209" i="12"/>
  <c r="M208" i="12"/>
  <c r="R208" i="12" s="1"/>
  <c r="K208" i="12"/>
  <c r="E208" i="12"/>
  <c r="D208" i="12"/>
  <c r="I207" i="12"/>
  <c r="H207" i="12"/>
  <c r="F207" i="12"/>
  <c r="E207" i="12"/>
  <c r="C207" i="12"/>
  <c r="I206" i="12"/>
  <c r="H206" i="12"/>
  <c r="F206" i="12"/>
  <c r="E206" i="12"/>
  <c r="C206" i="12"/>
  <c r="I205" i="12"/>
  <c r="H205" i="12"/>
  <c r="F205" i="12"/>
  <c r="E205" i="12"/>
  <c r="C205" i="12"/>
  <c r="I204" i="12"/>
  <c r="H204" i="12"/>
  <c r="F204" i="12"/>
  <c r="E204" i="12"/>
  <c r="C204" i="12"/>
  <c r="I203" i="12"/>
  <c r="H203" i="12"/>
  <c r="F203" i="12"/>
  <c r="E203" i="12"/>
  <c r="C203" i="12"/>
  <c r="I202" i="12"/>
  <c r="H202" i="12"/>
  <c r="F202" i="12"/>
  <c r="E202" i="12"/>
  <c r="C202" i="12"/>
  <c r="I201" i="12"/>
  <c r="H201" i="12"/>
  <c r="F201" i="12"/>
  <c r="E201" i="12"/>
  <c r="C201" i="12"/>
  <c r="I200" i="12"/>
  <c r="H200" i="12"/>
  <c r="F200" i="12"/>
  <c r="E200" i="12"/>
  <c r="C200" i="12"/>
  <c r="M199" i="12"/>
  <c r="R199" i="12" s="1"/>
  <c r="K199" i="12"/>
  <c r="E199" i="12"/>
  <c r="D199" i="12"/>
  <c r="I198" i="12"/>
  <c r="H198" i="12"/>
  <c r="F198" i="12"/>
  <c r="E198" i="12"/>
  <c r="C198" i="12"/>
  <c r="M197" i="12"/>
  <c r="R197" i="12" s="1"/>
  <c r="K197" i="12"/>
  <c r="E197" i="12"/>
  <c r="D197" i="12"/>
  <c r="I196" i="12"/>
  <c r="H196" i="12"/>
  <c r="F196" i="12"/>
  <c r="E196" i="12"/>
  <c r="C196" i="12"/>
  <c r="I195" i="12"/>
  <c r="H195" i="12"/>
  <c r="F195" i="12"/>
  <c r="E195" i="12"/>
  <c r="C195" i="12"/>
  <c r="M194" i="12"/>
  <c r="R194" i="12" s="1"/>
  <c r="K194" i="12"/>
  <c r="E194" i="12"/>
  <c r="D194" i="12"/>
  <c r="I193" i="12"/>
  <c r="H193" i="12"/>
  <c r="F193" i="12"/>
  <c r="E193" i="12"/>
  <c r="C193" i="12"/>
  <c r="I192" i="12"/>
  <c r="H192" i="12"/>
  <c r="F192" i="12"/>
  <c r="E192" i="12"/>
  <c r="C192" i="12"/>
  <c r="M191" i="12"/>
  <c r="R191" i="12" s="1"/>
  <c r="K191" i="12"/>
  <c r="E191" i="12"/>
  <c r="D191" i="12"/>
  <c r="I190" i="12"/>
  <c r="H190" i="12"/>
  <c r="F190" i="12"/>
  <c r="E190" i="12"/>
  <c r="C190" i="12"/>
  <c r="I189" i="12"/>
  <c r="H189" i="12"/>
  <c r="F189" i="12"/>
  <c r="E189" i="12"/>
  <c r="C189" i="12"/>
  <c r="I188" i="12"/>
  <c r="H188" i="12"/>
  <c r="F188" i="12"/>
  <c r="E188" i="12"/>
  <c r="C188" i="12"/>
  <c r="I187" i="12"/>
  <c r="H187" i="12"/>
  <c r="F187" i="12"/>
  <c r="E187" i="12"/>
  <c r="C187" i="12"/>
  <c r="I186" i="12"/>
  <c r="H186" i="12"/>
  <c r="F186" i="12"/>
  <c r="E186" i="12"/>
  <c r="C186" i="12"/>
  <c r="I185" i="12"/>
  <c r="H185" i="12"/>
  <c r="F185" i="12"/>
  <c r="E185" i="12"/>
  <c r="C185" i="12"/>
  <c r="M184" i="12"/>
  <c r="R184" i="12" s="1"/>
  <c r="K184" i="12"/>
  <c r="E184" i="12"/>
  <c r="D184" i="12"/>
  <c r="I183" i="12"/>
  <c r="H183" i="12"/>
  <c r="F183" i="12"/>
  <c r="E183" i="12"/>
  <c r="C183" i="12"/>
  <c r="M182" i="12"/>
  <c r="R182" i="12" s="1"/>
  <c r="K182" i="12"/>
  <c r="E182" i="12"/>
  <c r="D182" i="12"/>
  <c r="I181" i="12"/>
  <c r="H181" i="12"/>
  <c r="F181" i="12"/>
  <c r="E181" i="12"/>
  <c r="C181" i="12"/>
  <c r="I180" i="12"/>
  <c r="H180" i="12"/>
  <c r="F180" i="12"/>
  <c r="E180" i="12"/>
  <c r="C180" i="12"/>
  <c r="M179" i="12"/>
  <c r="R179" i="12" s="1"/>
  <c r="K179" i="12"/>
  <c r="E179" i="12"/>
  <c r="D179" i="12"/>
  <c r="I178" i="12"/>
  <c r="H178" i="12"/>
  <c r="F178" i="12"/>
  <c r="E178" i="12"/>
  <c r="C178" i="12"/>
  <c r="I177" i="12"/>
  <c r="H177" i="12"/>
  <c r="F177" i="12"/>
  <c r="E177" i="12"/>
  <c r="C177" i="12"/>
  <c r="M176" i="12"/>
  <c r="R176" i="12" s="1"/>
  <c r="K176" i="12"/>
  <c r="E176" i="12"/>
  <c r="D176" i="12"/>
  <c r="I175" i="12"/>
  <c r="H175" i="12"/>
  <c r="F175" i="12"/>
  <c r="E175" i="12"/>
  <c r="C175" i="12"/>
  <c r="I174" i="12"/>
  <c r="H174" i="12"/>
  <c r="F174" i="12"/>
  <c r="E174" i="12"/>
  <c r="C174" i="12"/>
  <c r="M173" i="12"/>
  <c r="R173" i="12" s="1"/>
  <c r="K173" i="12"/>
  <c r="E173" i="12"/>
  <c r="D173" i="12"/>
  <c r="I172" i="12"/>
  <c r="H172" i="12"/>
  <c r="F172" i="12"/>
  <c r="E172" i="12"/>
  <c r="C172" i="12"/>
  <c r="I171" i="12"/>
  <c r="H171" i="12"/>
  <c r="F171" i="12"/>
  <c r="E171" i="12"/>
  <c r="C171" i="12"/>
  <c r="I170" i="12"/>
  <c r="H170" i="12"/>
  <c r="F170" i="12"/>
  <c r="E170" i="12"/>
  <c r="C170" i="12"/>
  <c r="I169" i="12"/>
  <c r="H169" i="12"/>
  <c r="F169" i="12"/>
  <c r="E169" i="12"/>
  <c r="C169" i="12"/>
  <c r="I168" i="12"/>
  <c r="H168" i="12"/>
  <c r="F168" i="12"/>
  <c r="E168" i="12"/>
  <c r="C168" i="12"/>
  <c r="I167" i="12"/>
  <c r="H167" i="12"/>
  <c r="F167" i="12"/>
  <c r="E167" i="12"/>
  <c r="C167" i="12"/>
  <c r="I166" i="12"/>
  <c r="H166" i="12"/>
  <c r="F166" i="12"/>
  <c r="E166" i="12"/>
  <c r="C166" i="12"/>
  <c r="I165" i="12"/>
  <c r="H165" i="12"/>
  <c r="F165" i="12"/>
  <c r="E165" i="12"/>
  <c r="C165" i="12"/>
  <c r="I164" i="12"/>
  <c r="H164" i="12"/>
  <c r="F164" i="12"/>
  <c r="E164" i="12"/>
  <c r="C164" i="12"/>
  <c r="I163" i="12"/>
  <c r="H163" i="12"/>
  <c r="F163" i="12"/>
  <c r="E163" i="12"/>
  <c r="C163" i="12"/>
  <c r="I162" i="12"/>
  <c r="H162" i="12"/>
  <c r="F162" i="12"/>
  <c r="E162" i="12"/>
  <c r="C162" i="12"/>
  <c r="I161" i="12"/>
  <c r="H161" i="12"/>
  <c r="F161" i="12"/>
  <c r="E161" i="12"/>
  <c r="C161" i="12"/>
  <c r="I160" i="12"/>
  <c r="H160" i="12"/>
  <c r="F160" i="12"/>
  <c r="E160" i="12"/>
  <c r="C160" i="12"/>
  <c r="I159" i="12"/>
  <c r="H159" i="12"/>
  <c r="G159" i="12"/>
  <c r="F159" i="12"/>
  <c r="E159" i="12"/>
  <c r="C159" i="12"/>
  <c r="I158" i="12"/>
  <c r="H158" i="12"/>
  <c r="F158" i="12"/>
  <c r="E158" i="12"/>
  <c r="C158" i="12"/>
  <c r="I157" i="12"/>
  <c r="H157" i="12"/>
  <c r="F157" i="12"/>
  <c r="E157" i="12"/>
  <c r="C157" i="12"/>
  <c r="I156" i="12"/>
  <c r="H156" i="12"/>
  <c r="F156" i="12"/>
  <c r="E156" i="12"/>
  <c r="C156" i="12"/>
  <c r="I155" i="12"/>
  <c r="H155" i="12"/>
  <c r="F155" i="12"/>
  <c r="E155" i="12"/>
  <c r="C155" i="12"/>
  <c r="I154" i="12"/>
  <c r="H154" i="12"/>
  <c r="F154" i="12"/>
  <c r="E154" i="12"/>
  <c r="C154" i="12"/>
  <c r="I153" i="12"/>
  <c r="H153" i="12"/>
  <c r="F153" i="12"/>
  <c r="E153" i="12"/>
  <c r="C153" i="12"/>
  <c r="I152" i="12"/>
  <c r="H152" i="12"/>
  <c r="G152" i="12"/>
  <c r="F152" i="12"/>
  <c r="E152" i="12"/>
  <c r="C152" i="12"/>
  <c r="I151" i="12"/>
  <c r="H151" i="12"/>
  <c r="G151" i="12"/>
  <c r="F151" i="12"/>
  <c r="E151" i="12"/>
  <c r="C151" i="12"/>
  <c r="I150" i="12"/>
  <c r="H150" i="12"/>
  <c r="F150" i="12"/>
  <c r="E150" i="12"/>
  <c r="C150" i="12"/>
  <c r="I149" i="12"/>
  <c r="H149" i="12"/>
  <c r="F149" i="12"/>
  <c r="E149" i="12"/>
  <c r="C149" i="12"/>
  <c r="I148" i="12"/>
  <c r="H148" i="12"/>
  <c r="F148" i="12"/>
  <c r="E148" i="12"/>
  <c r="C148" i="12"/>
  <c r="M147" i="12"/>
  <c r="R147" i="12" s="1"/>
  <c r="K147" i="12"/>
  <c r="E147" i="12"/>
  <c r="D147" i="12"/>
  <c r="I146" i="12"/>
  <c r="H146" i="12"/>
  <c r="G146" i="12"/>
  <c r="F146" i="12"/>
  <c r="E146" i="12"/>
  <c r="C146" i="12"/>
  <c r="I145" i="12"/>
  <c r="H145" i="12"/>
  <c r="G145" i="12"/>
  <c r="F145" i="12"/>
  <c r="E145" i="12"/>
  <c r="C145" i="12"/>
  <c r="I144" i="12"/>
  <c r="H144" i="12"/>
  <c r="G144" i="12"/>
  <c r="F144" i="12"/>
  <c r="E144" i="12"/>
  <c r="C144" i="12"/>
  <c r="I143" i="12"/>
  <c r="H143" i="12"/>
  <c r="G143" i="12"/>
  <c r="F143" i="12"/>
  <c r="E143" i="12"/>
  <c r="C143" i="12"/>
  <c r="M142" i="12"/>
  <c r="R142" i="12" s="1"/>
  <c r="K142" i="12"/>
  <c r="E142" i="12"/>
  <c r="D142" i="12"/>
  <c r="I141" i="12"/>
  <c r="H141" i="12"/>
  <c r="G141" i="12"/>
  <c r="F141" i="12"/>
  <c r="E141" i="12"/>
  <c r="C141" i="12"/>
  <c r="I140" i="12"/>
  <c r="H140" i="12"/>
  <c r="G140" i="12"/>
  <c r="F140" i="12"/>
  <c r="E140" i="12"/>
  <c r="C140" i="12"/>
  <c r="I139" i="12"/>
  <c r="H139" i="12"/>
  <c r="G139" i="12"/>
  <c r="F139" i="12"/>
  <c r="E139" i="12"/>
  <c r="C139" i="12"/>
  <c r="I138" i="12"/>
  <c r="H138" i="12"/>
  <c r="G138" i="12"/>
  <c r="F138" i="12"/>
  <c r="E138" i="12"/>
  <c r="C138" i="12"/>
  <c r="I137" i="12"/>
  <c r="H137" i="12"/>
  <c r="G137" i="12"/>
  <c r="F137" i="12"/>
  <c r="E137" i="12"/>
  <c r="C137" i="12"/>
  <c r="I136" i="12"/>
  <c r="H136" i="12"/>
  <c r="F136" i="12"/>
  <c r="E136" i="12"/>
  <c r="C136" i="12"/>
  <c r="I135" i="12"/>
  <c r="H135" i="12"/>
  <c r="G135" i="12"/>
  <c r="F135" i="12"/>
  <c r="E135" i="12"/>
  <c r="C135" i="12"/>
  <c r="I134" i="12"/>
  <c r="H134" i="12"/>
  <c r="G134" i="12"/>
  <c r="F134" i="12"/>
  <c r="E134" i="12"/>
  <c r="C134" i="12"/>
  <c r="I133" i="12"/>
  <c r="H133" i="12"/>
  <c r="G133" i="12"/>
  <c r="F133" i="12"/>
  <c r="E133" i="12"/>
  <c r="C133" i="12"/>
  <c r="I132" i="12"/>
  <c r="H132" i="12"/>
  <c r="F132" i="12"/>
  <c r="E132" i="12"/>
  <c r="C132" i="12"/>
  <c r="I131" i="12"/>
  <c r="H131" i="12"/>
  <c r="F131" i="12"/>
  <c r="E131" i="12"/>
  <c r="C131" i="12"/>
  <c r="M130" i="12"/>
  <c r="R130" i="12" s="1"/>
  <c r="K130" i="12"/>
  <c r="E130" i="12"/>
  <c r="D130" i="12"/>
  <c r="I129" i="12"/>
  <c r="H129" i="12"/>
  <c r="F129" i="12"/>
  <c r="E129" i="12"/>
  <c r="C129" i="12"/>
  <c r="I128" i="12"/>
  <c r="H128" i="12"/>
  <c r="F128" i="12"/>
  <c r="E128" i="12"/>
  <c r="C128" i="12"/>
  <c r="M127" i="12"/>
  <c r="R127" i="12" s="1"/>
  <c r="K127" i="12"/>
  <c r="E127" i="12"/>
  <c r="D127" i="12"/>
  <c r="I126" i="12"/>
  <c r="H126" i="12"/>
  <c r="F126" i="12"/>
  <c r="E126" i="12"/>
  <c r="C126" i="12"/>
  <c r="I125" i="12"/>
  <c r="H125" i="12"/>
  <c r="F125" i="12"/>
  <c r="E125" i="12"/>
  <c r="C125" i="12"/>
  <c r="I124" i="12"/>
  <c r="H124" i="12"/>
  <c r="F124" i="12"/>
  <c r="E124" i="12"/>
  <c r="C124" i="12"/>
  <c r="I123" i="12"/>
  <c r="H123" i="12"/>
  <c r="F123" i="12"/>
  <c r="E123" i="12"/>
  <c r="C123" i="12"/>
  <c r="I122" i="12"/>
  <c r="H122" i="12"/>
  <c r="F122" i="12"/>
  <c r="E122" i="12"/>
  <c r="C122" i="12"/>
  <c r="I121" i="12"/>
  <c r="H121" i="12"/>
  <c r="F121" i="12"/>
  <c r="E121" i="12"/>
  <c r="C121" i="12"/>
  <c r="M120" i="12"/>
  <c r="R120" i="12" s="1"/>
  <c r="K120" i="12"/>
  <c r="E120" i="12"/>
  <c r="D120" i="12"/>
  <c r="I119" i="12"/>
  <c r="H119" i="12"/>
  <c r="F119" i="12"/>
  <c r="E119" i="12"/>
  <c r="C119" i="12"/>
  <c r="M118" i="12"/>
  <c r="R118" i="12" s="1"/>
  <c r="K118" i="12"/>
  <c r="E118" i="12"/>
  <c r="D118" i="12"/>
  <c r="I117" i="12"/>
  <c r="H117" i="12"/>
  <c r="F117" i="12"/>
  <c r="E117" i="12"/>
  <c r="C117" i="12"/>
  <c r="I116" i="12"/>
  <c r="H116" i="12"/>
  <c r="F116" i="12"/>
  <c r="E116" i="12"/>
  <c r="C116" i="12"/>
  <c r="I115" i="12"/>
  <c r="H115" i="12"/>
  <c r="F115" i="12"/>
  <c r="E115" i="12"/>
  <c r="C115" i="12"/>
  <c r="I114" i="12"/>
  <c r="H114" i="12"/>
  <c r="F114" i="12"/>
  <c r="E114" i="12"/>
  <c r="C114" i="12"/>
  <c r="M113" i="12"/>
  <c r="R113" i="12" s="1"/>
  <c r="K113" i="12"/>
  <c r="E113" i="12"/>
  <c r="D113" i="12"/>
  <c r="I112" i="12"/>
  <c r="H112" i="12"/>
  <c r="F112" i="12"/>
  <c r="E112" i="12"/>
  <c r="C112" i="12"/>
  <c r="I111" i="12"/>
  <c r="H111" i="12"/>
  <c r="F111" i="12"/>
  <c r="E111" i="12"/>
  <c r="C111" i="12"/>
  <c r="I110" i="12"/>
  <c r="H110" i="12"/>
  <c r="G110" i="12"/>
  <c r="F110" i="12"/>
  <c r="E110" i="12"/>
  <c r="C110" i="12"/>
  <c r="I109" i="12"/>
  <c r="H109" i="12"/>
  <c r="G109" i="12"/>
  <c r="F109" i="12"/>
  <c r="E109" i="12"/>
  <c r="C109" i="12"/>
  <c r="I108" i="12"/>
  <c r="H108" i="12"/>
  <c r="G108" i="12"/>
  <c r="F108" i="12"/>
  <c r="E108" i="12"/>
  <c r="C108" i="12"/>
  <c r="M107" i="12"/>
  <c r="R107" i="12" s="1"/>
  <c r="K107" i="12"/>
  <c r="E107" i="12"/>
  <c r="D107" i="12"/>
  <c r="I106" i="12"/>
  <c r="H106" i="12"/>
  <c r="G106" i="12"/>
  <c r="F106" i="12"/>
  <c r="E106" i="12"/>
  <c r="C106" i="12"/>
  <c r="I105" i="12"/>
  <c r="H105" i="12"/>
  <c r="F105" i="12"/>
  <c r="E105" i="12"/>
  <c r="C105" i="12"/>
  <c r="M104" i="12"/>
  <c r="R104" i="12" s="1"/>
  <c r="K104" i="12"/>
  <c r="E104" i="12"/>
  <c r="D104" i="12"/>
  <c r="I103" i="12"/>
  <c r="H103" i="12"/>
  <c r="F103" i="12"/>
  <c r="E103" i="12"/>
  <c r="C103" i="12"/>
  <c r="I102" i="12"/>
  <c r="H102" i="12"/>
  <c r="F102" i="12"/>
  <c r="E102" i="12"/>
  <c r="C102" i="12"/>
  <c r="I101" i="12"/>
  <c r="H101" i="12"/>
  <c r="F101" i="12"/>
  <c r="E101" i="12"/>
  <c r="C101" i="12"/>
  <c r="I100" i="12"/>
  <c r="H100" i="12"/>
  <c r="F100" i="12"/>
  <c r="E100" i="12"/>
  <c r="C100" i="12"/>
  <c r="I99" i="12"/>
  <c r="H99" i="12"/>
  <c r="F99" i="12"/>
  <c r="E99" i="12"/>
  <c r="C99" i="12"/>
  <c r="I98" i="12"/>
  <c r="H98" i="12"/>
  <c r="F98" i="12"/>
  <c r="E98" i="12"/>
  <c r="C98" i="12"/>
  <c r="M97" i="12"/>
  <c r="R97" i="12" s="1"/>
  <c r="K97" i="12"/>
  <c r="E97" i="12"/>
  <c r="D97" i="12"/>
  <c r="I96" i="12"/>
  <c r="H96" i="12"/>
  <c r="F96" i="12"/>
  <c r="E96" i="12"/>
  <c r="C96" i="12"/>
  <c r="M95" i="12"/>
  <c r="R95" i="12" s="1"/>
  <c r="K95" i="12"/>
  <c r="E95" i="12"/>
  <c r="D95" i="12"/>
  <c r="I94" i="12"/>
  <c r="H94" i="12"/>
  <c r="F94" i="12"/>
  <c r="E94" i="12"/>
  <c r="C94" i="12"/>
  <c r="I93" i="12"/>
  <c r="H93" i="12"/>
  <c r="F93" i="12"/>
  <c r="E93" i="12"/>
  <c r="C93" i="12"/>
  <c r="I92" i="12"/>
  <c r="H92" i="12"/>
  <c r="F92" i="12"/>
  <c r="E92" i="12"/>
  <c r="C92" i="12"/>
  <c r="I91" i="12"/>
  <c r="H91" i="12"/>
  <c r="F91" i="12"/>
  <c r="E91" i="12"/>
  <c r="C91" i="12"/>
  <c r="I90" i="12"/>
  <c r="H90" i="12"/>
  <c r="F90" i="12"/>
  <c r="E90" i="12"/>
  <c r="C90" i="12"/>
  <c r="I89" i="12"/>
  <c r="H89" i="12"/>
  <c r="F89" i="12"/>
  <c r="E89" i="12"/>
  <c r="C89" i="12"/>
  <c r="I88" i="12"/>
  <c r="H88" i="12"/>
  <c r="F88" i="12"/>
  <c r="E88" i="12"/>
  <c r="C88" i="12"/>
  <c r="I87" i="12"/>
  <c r="H87" i="12"/>
  <c r="F87" i="12"/>
  <c r="E87" i="12"/>
  <c r="C87" i="12"/>
  <c r="M86" i="12"/>
  <c r="R86" i="12" s="1"/>
  <c r="K86" i="12"/>
  <c r="E86" i="12"/>
  <c r="D86" i="12"/>
  <c r="I85" i="12"/>
  <c r="H85" i="12"/>
  <c r="F85" i="12"/>
  <c r="E85" i="12"/>
  <c r="C85" i="12"/>
  <c r="M84" i="12"/>
  <c r="R84" i="12" s="1"/>
  <c r="K84" i="12"/>
  <c r="E84" i="12"/>
  <c r="D84" i="12"/>
  <c r="I83" i="12"/>
  <c r="H83" i="12"/>
  <c r="F83" i="12"/>
  <c r="E83" i="12"/>
  <c r="C83" i="12"/>
  <c r="I82" i="12"/>
  <c r="H82" i="12"/>
  <c r="F82" i="12"/>
  <c r="E82" i="12"/>
  <c r="C82" i="12"/>
  <c r="I81" i="12"/>
  <c r="H81" i="12"/>
  <c r="F81" i="12"/>
  <c r="E81" i="12"/>
  <c r="C81" i="12"/>
  <c r="I80" i="12"/>
  <c r="H80" i="12"/>
  <c r="F80" i="12"/>
  <c r="E80" i="12"/>
  <c r="C80" i="12"/>
  <c r="I79" i="12"/>
  <c r="H79" i="12"/>
  <c r="F79" i="12"/>
  <c r="E79" i="12"/>
  <c r="C79" i="12"/>
  <c r="I78" i="12"/>
  <c r="H78" i="12"/>
  <c r="F78" i="12"/>
  <c r="E78" i="12"/>
  <c r="C78" i="12"/>
  <c r="I77" i="12"/>
  <c r="H77" i="12"/>
  <c r="F77" i="12"/>
  <c r="E77" i="12"/>
  <c r="C77" i="12"/>
  <c r="M76" i="12"/>
  <c r="R76" i="12" s="1"/>
  <c r="K76" i="12"/>
  <c r="E76" i="12"/>
  <c r="D76" i="12"/>
  <c r="I75" i="12"/>
  <c r="H75" i="12"/>
  <c r="G75" i="12"/>
  <c r="F75" i="12"/>
  <c r="E75" i="12"/>
  <c r="C75" i="12"/>
  <c r="I74" i="12"/>
  <c r="H74" i="12"/>
  <c r="G74" i="12"/>
  <c r="F74" i="12"/>
  <c r="E74" i="12"/>
  <c r="C74" i="12"/>
  <c r="M73" i="12"/>
  <c r="R73" i="12" s="1"/>
  <c r="K73" i="12"/>
  <c r="E73" i="12"/>
  <c r="D73" i="12"/>
  <c r="I72" i="12"/>
  <c r="H72" i="12"/>
  <c r="F72" i="12"/>
  <c r="E72" i="12"/>
  <c r="C72" i="12"/>
  <c r="I71" i="12"/>
  <c r="H71" i="12"/>
  <c r="F71" i="12"/>
  <c r="E71" i="12"/>
  <c r="C71" i="12"/>
  <c r="I70" i="12"/>
  <c r="H70" i="12"/>
  <c r="F70" i="12"/>
  <c r="E70" i="12"/>
  <c r="C70" i="12"/>
  <c r="I69" i="12"/>
  <c r="H69" i="12"/>
  <c r="F69" i="12"/>
  <c r="E69" i="12"/>
  <c r="C69" i="12"/>
  <c r="I68" i="12"/>
  <c r="H68" i="12"/>
  <c r="F68" i="12"/>
  <c r="E68" i="12"/>
  <c r="C68" i="12"/>
  <c r="I67" i="12"/>
  <c r="H67" i="12"/>
  <c r="F67" i="12"/>
  <c r="E67" i="12"/>
  <c r="C67" i="12"/>
  <c r="I66" i="12"/>
  <c r="H66" i="12"/>
  <c r="F66" i="12"/>
  <c r="E66" i="12"/>
  <c r="C66" i="12"/>
  <c r="I65" i="12"/>
  <c r="H65" i="12"/>
  <c r="F65" i="12"/>
  <c r="E65" i="12"/>
  <c r="C65" i="12"/>
  <c r="I64" i="12"/>
  <c r="H64" i="12"/>
  <c r="F64" i="12"/>
  <c r="E64" i="12"/>
  <c r="C64" i="12"/>
  <c r="I63" i="12"/>
  <c r="H63" i="12"/>
  <c r="F63" i="12"/>
  <c r="E63" i="12"/>
  <c r="C63" i="12"/>
  <c r="I62" i="12"/>
  <c r="H62" i="12"/>
  <c r="F62" i="12"/>
  <c r="E62" i="12"/>
  <c r="C62" i="12"/>
  <c r="I61" i="12"/>
  <c r="H61" i="12"/>
  <c r="F61" i="12"/>
  <c r="E61" i="12"/>
  <c r="C61" i="12"/>
  <c r="I60" i="12"/>
  <c r="H60" i="12"/>
  <c r="G60" i="12"/>
  <c r="F60" i="12"/>
  <c r="E60" i="12"/>
  <c r="C60" i="12"/>
  <c r="I59" i="12"/>
  <c r="H59" i="12"/>
  <c r="F59" i="12"/>
  <c r="E59" i="12"/>
  <c r="C59" i="12"/>
  <c r="I58" i="12"/>
  <c r="H58" i="12"/>
  <c r="F58" i="12"/>
  <c r="E58" i="12"/>
  <c r="C58" i="12"/>
  <c r="I57" i="12"/>
  <c r="H57" i="12"/>
  <c r="F57" i="12"/>
  <c r="E57" i="12"/>
  <c r="C57" i="12"/>
  <c r="I56" i="12"/>
  <c r="H56" i="12"/>
  <c r="F56" i="12"/>
  <c r="E56" i="12"/>
  <c r="C56" i="12"/>
  <c r="I55" i="12"/>
  <c r="H55" i="12"/>
  <c r="F55" i="12"/>
  <c r="E55" i="12"/>
  <c r="C55" i="12"/>
  <c r="I54" i="12"/>
  <c r="H54" i="12"/>
  <c r="G54" i="12"/>
  <c r="F54" i="12"/>
  <c r="E54" i="12"/>
  <c r="C54" i="12"/>
  <c r="I53" i="12"/>
  <c r="H53" i="12"/>
  <c r="F53" i="12"/>
  <c r="E53" i="12"/>
  <c r="C53" i="12"/>
  <c r="I52" i="12"/>
  <c r="H52" i="12"/>
  <c r="F52" i="12"/>
  <c r="E52" i="12"/>
  <c r="C52" i="12"/>
  <c r="I51" i="12"/>
  <c r="H51" i="12"/>
  <c r="F51" i="12"/>
  <c r="E51" i="12"/>
  <c r="C51" i="12"/>
  <c r="M50" i="12"/>
  <c r="R50" i="12" s="1"/>
  <c r="K50" i="12"/>
  <c r="E50" i="12"/>
  <c r="D50" i="12"/>
  <c r="I49" i="12"/>
  <c r="H49" i="12"/>
  <c r="F49" i="12"/>
  <c r="E49" i="12"/>
  <c r="C49" i="12"/>
  <c r="I48" i="12"/>
  <c r="H48" i="12"/>
  <c r="F48" i="12"/>
  <c r="E48" i="12"/>
  <c r="C48" i="12"/>
  <c r="I47" i="12"/>
  <c r="H47" i="12"/>
  <c r="F47" i="12"/>
  <c r="E47" i="12"/>
  <c r="C47" i="12"/>
  <c r="M46" i="12"/>
  <c r="R46" i="12" s="1"/>
  <c r="K46" i="12"/>
  <c r="E46" i="12"/>
  <c r="D46" i="12"/>
  <c r="I45" i="12"/>
  <c r="H45" i="12"/>
  <c r="G45" i="12"/>
  <c r="F45" i="12"/>
  <c r="E45" i="12"/>
  <c r="C45" i="12"/>
  <c r="I44" i="12"/>
  <c r="H44" i="12"/>
  <c r="G44" i="12"/>
  <c r="F44" i="12"/>
  <c r="E44" i="12"/>
  <c r="C44" i="12"/>
  <c r="I43" i="12"/>
  <c r="H43" i="12"/>
  <c r="G43" i="12"/>
  <c r="F43" i="12"/>
  <c r="E43" i="12"/>
  <c r="C43" i="12"/>
  <c r="I42" i="12"/>
  <c r="H42" i="12"/>
  <c r="G42" i="12"/>
  <c r="F42" i="12"/>
  <c r="E42" i="12"/>
  <c r="C42" i="12"/>
  <c r="I41" i="12"/>
  <c r="H41" i="12"/>
  <c r="F41" i="12"/>
  <c r="E41" i="12"/>
  <c r="C41" i="12"/>
  <c r="I40" i="12"/>
  <c r="H40" i="12"/>
  <c r="G40" i="12"/>
  <c r="F40" i="12"/>
  <c r="E40" i="12"/>
  <c r="C40" i="12"/>
  <c r="I39" i="12"/>
  <c r="H39" i="12"/>
  <c r="G39" i="12"/>
  <c r="F39" i="12"/>
  <c r="E39" i="12"/>
  <c r="C39" i="12"/>
  <c r="I38" i="12"/>
  <c r="H38" i="12"/>
  <c r="F38" i="12"/>
  <c r="E38" i="12"/>
  <c r="C38" i="12"/>
  <c r="I37" i="12"/>
  <c r="H37" i="12"/>
  <c r="F37" i="12"/>
  <c r="E37" i="12"/>
  <c r="C37" i="12"/>
  <c r="M36" i="12"/>
  <c r="R36" i="12" s="1"/>
  <c r="K36" i="12"/>
  <c r="E36" i="12"/>
  <c r="D36" i="12"/>
  <c r="I35" i="12"/>
  <c r="H35" i="12"/>
  <c r="F35" i="12"/>
  <c r="E35" i="12"/>
  <c r="C35" i="12"/>
  <c r="M34" i="12"/>
  <c r="R34" i="12" s="1"/>
  <c r="K34" i="12"/>
  <c r="E34" i="12"/>
  <c r="D34" i="12"/>
  <c r="I33" i="12"/>
  <c r="H33" i="12"/>
  <c r="F33" i="12"/>
  <c r="E33" i="12"/>
  <c r="C33" i="12"/>
  <c r="I32" i="12"/>
  <c r="H32" i="12"/>
  <c r="F32" i="12"/>
  <c r="E32" i="12"/>
  <c r="C32" i="12"/>
  <c r="M31" i="12"/>
  <c r="R31" i="12" s="1"/>
  <c r="K31" i="12"/>
  <c r="E31" i="12"/>
  <c r="D31" i="12"/>
  <c r="I30" i="12"/>
  <c r="H30" i="12"/>
  <c r="F30" i="12"/>
  <c r="E30" i="12"/>
  <c r="C30" i="12"/>
  <c r="I29" i="12"/>
  <c r="H29" i="12"/>
  <c r="F29" i="12"/>
  <c r="E29" i="12"/>
  <c r="C29" i="12"/>
  <c r="I28" i="12"/>
  <c r="H28" i="12"/>
  <c r="F28" i="12"/>
  <c r="E28" i="12"/>
  <c r="C28" i="12"/>
  <c r="I27" i="12"/>
  <c r="H27" i="12"/>
  <c r="G27" i="12"/>
  <c r="F27" i="12"/>
  <c r="E27" i="12"/>
  <c r="C27" i="12"/>
  <c r="I26" i="12"/>
  <c r="H26" i="12"/>
  <c r="G26" i="12"/>
  <c r="F26" i="12"/>
  <c r="E26" i="12"/>
  <c r="C26" i="12"/>
  <c r="I25" i="12"/>
  <c r="H25" i="12"/>
  <c r="G25" i="12"/>
  <c r="F25" i="12"/>
  <c r="E25" i="12"/>
  <c r="C25" i="12"/>
  <c r="M24" i="12"/>
  <c r="R24" i="12" s="1"/>
  <c r="K24" i="12"/>
  <c r="E24" i="12"/>
  <c r="D24" i="12"/>
  <c r="I23" i="12"/>
  <c r="H23" i="12"/>
  <c r="F23" i="12"/>
  <c r="E23" i="12"/>
  <c r="C23" i="12"/>
  <c r="M22" i="12"/>
  <c r="R22" i="12" s="1"/>
  <c r="K22" i="12"/>
  <c r="E22" i="12"/>
  <c r="D22" i="12"/>
  <c r="I21" i="12"/>
  <c r="H21" i="12"/>
  <c r="G21" i="12"/>
  <c r="F21" i="12"/>
  <c r="E21" i="12"/>
  <c r="C21" i="12"/>
  <c r="I20" i="12"/>
  <c r="H20" i="12"/>
  <c r="G20" i="12"/>
  <c r="F20" i="12"/>
  <c r="E20" i="12"/>
  <c r="C20" i="12"/>
  <c r="M19" i="12"/>
  <c r="R19" i="12" s="1"/>
  <c r="K19" i="12"/>
  <c r="E19" i="12"/>
  <c r="D19" i="12"/>
  <c r="I18" i="12"/>
  <c r="H18" i="12"/>
  <c r="G18" i="12"/>
  <c r="F18" i="12"/>
  <c r="E18" i="12"/>
  <c r="C18" i="12"/>
  <c r="I17" i="12"/>
  <c r="H17" i="12"/>
  <c r="G17" i="12"/>
  <c r="F17" i="12"/>
  <c r="E17" i="12"/>
  <c r="C17" i="12"/>
  <c r="I16" i="12"/>
  <c r="H16" i="12"/>
  <c r="G16" i="12"/>
  <c r="F16" i="12"/>
  <c r="E16" i="12"/>
  <c r="C16" i="12"/>
  <c r="I15" i="12"/>
  <c r="H15" i="12"/>
  <c r="G15" i="12"/>
  <c r="F15" i="12"/>
  <c r="E15" i="12"/>
  <c r="C15" i="12"/>
  <c r="I14" i="12"/>
  <c r="H14" i="12"/>
  <c r="G14" i="12"/>
  <c r="F14" i="12"/>
  <c r="E14" i="12"/>
  <c r="C14" i="12"/>
  <c r="I13" i="12"/>
  <c r="H13" i="12"/>
  <c r="G13" i="12"/>
  <c r="F13" i="12"/>
  <c r="E13" i="12"/>
  <c r="C13" i="12"/>
  <c r="I12" i="12"/>
  <c r="H12" i="12"/>
  <c r="G12" i="12"/>
  <c r="F12" i="12"/>
  <c r="E12" i="12"/>
  <c r="C12" i="12"/>
  <c r="I11" i="12"/>
  <c r="H11" i="12"/>
  <c r="G11" i="12"/>
  <c r="F11" i="12"/>
  <c r="E11" i="12"/>
  <c r="C11" i="12"/>
  <c r="I10" i="12"/>
  <c r="H10" i="12"/>
  <c r="F10" i="12"/>
  <c r="E10" i="12"/>
  <c r="C10" i="12"/>
  <c r="M9" i="12"/>
  <c r="R9" i="12" s="1"/>
  <c r="K9" i="12"/>
  <c r="E9" i="12"/>
  <c r="D9" i="12"/>
  <c r="I8" i="12"/>
  <c r="H8" i="12"/>
  <c r="G8" i="12"/>
  <c r="F8" i="12"/>
  <c r="E8" i="12"/>
  <c r="C8" i="12"/>
  <c r="I7" i="12"/>
  <c r="H7" i="12"/>
  <c r="F7" i="12"/>
  <c r="E7" i="12"/>
  <c r="C7" i="12"/>
  <c r="M6" i="12"/>
  <c r="R6" i="12" s="1"/>
  <c r="K6" i="12"/>
  <c r="E6" i="12"/>
  <c r="D6" i="12"/>
  <c r="N44" i="11"/>
  <c r="V222" i="12" s="1"/>
  <c r="J44" i="11"/>
  <c r="N43" i="11"/>
  <c r="V219" i="12" s="1"/>
  <c r="J43" i="11"/>
  <c r="N42" i="11"/>
  <c r="V217" i="12" s="1"/>
  <c r="J42" i="11"/>
  <c r="N41" i="11"/>
  <c r="V214" i="12" s="1"/>
  <c r="J41" i="11"/>
  <c r="N40" i="11"/>
  <c r="V211" i="12" s="1"/>
  <c r="J40" i="11"/>
  <c r="N39" i="11"/>
  <c r="V208" i="12" s="1"/>
  <c r="J39" i="11"/>
  <c r="N38" i="11"/>
  <c r="J38" i="11"/>
  <c r="N37" i="11"/>
  <c r="J37" i="11"/>
  <c r="N36" i="11"/>
  <c r="V194" i="12" s="1"/>
  <c r="J36" i="11"/>
  <c r="N35" i="11"/>
  <c r="V191" i="12" s="1"/>
  <c r="J35" i="11"/>
  <c r="N34" i="11"/>
  <c r="V184" i="12" s="1"/>
  <c r="J34" i="11"/>
  <c r="N33" i="11"/>
  <c r="V182" i="12" s="1"/>
  <c r="J33" i="11"/>
  <c r="N32" i="11"/>
  <c r="V179" i="12" s="1"/>
  <c r="J32" i="11"/>
  <c r="N31" i="11"/>
  <c r="V176" i="12" s="1"/>
  <c r="J31" i="11"/>
  <c r="N30" i="11"/>
  <c r="V173" i="12" s="1"/>
  <c r="J30" i="11"/>
  <c r="N29" i="11"/>
  <c r="V147" i="12" s="1"/>
  <c r="J29" i="11"/>
  <c r="N28" i="11"/>
  <c r="V142" i="12" s="1"/>
  <c r="J28" i="11"/>
  <c r="N27" i="11"/>
  <c r="V130" i="12" s="1"/>
  <c r="J27" i="11"/>
  <c r="N26" i="11"/>
  <c r="V127" i="12" s="1"/>
  <c r="J26" i="11"/>
  <c r="N25" i="11"/>
  <c r="V120" i="12" s="1"/>
  <c r="J25" i="11"/>
  <c r="N24" i="11"/>
  <c r="V118" i="12" s="1"/>
  <c r="J24" i="11"/>
  <c r="N23" i="11"/>
  <c r="V113" i="12" s="1"/>
  <c r="J23" i="11"/>
  <c r="N22" i="11"/>
  <c r="V107" i="12" s="1"/>
  <c r="J22" i="11"/>
  <c r="N21" i="11"/>
  <c r="V104" i="12" s="1"/>
  <c r="J21" i="11"/>
  <c r="N20" i="11"/>
  <c r="V97" i="12" s="1"/>
  <c r="J20" i="11"/>
  <c r="N19" i="11"/>
  <c r="V95" i="12" s="1"/>
  <c r="J19" i="11"/>
  <c r="N18" i="11"/>
  <c r="V86" i="12" s="1"/>
  <c r="J18" i="11"/>
  <c r="N17" i="11"/>
  <c r="V84" i="12" s="1"/>
  <c r="J17" i="11"/>
  <c r="N16" i="11"/>
  <c r="V76" i="12" s="1"/>
  <c r="J16" i="11"/>
  <c r="N15" i="11"/>
  <c r="V73" i="12" s="1"/>
  <c r="J15" i="11"/>
  <c r="N14" i="11"/>
  <c r="V50" i="12" s="1"/>
  <c r="J14" i="11"/>
  <c r="N13" i="11"/>
  <c r="V46" i="12" s="1"/>
  <c r="J13" i="11"/>
  <c r="N12" i="11"/>
  <c r="V36" i="12" s="1"/>
  <c r="J12" i="11"/>
  <c r="N11" i="11"/>
  <c r="V34" i="12" s="1"/>
  <c r="J11" i="11"/>
  <c r="N10" i="11"/>
  <c r="V31" i="12" s="1"/>
  <c r="J10" i="11"/>
  <c r="N9" i="11"/>
  <c r="V24" i="12" s="1"/>
  <c r="J9" i="11"/>
  <c r="N8" i="11"/>
  <c r="V22" i="12" s="1"/>
  <c r="J8" i="11"/>
  <c r="N7" i="11"/>
  <c r="V19" i="12" s="1"/>
  <c r="J7" i="11"/>
  <c r="N6" i="11"/>
  <c r="V9" i="12" s="1"/>
  <c r="J6" i="11"/>
  <c r="N5" i="11"/>
  <c r="V6" i="12" s="1"/>
  <c r="J5" i="11"/>
  <c r="K13" i="10"/>
  <c r="J13" i="10"/>
  <c r="I13" i="10"/>
  <c r="H13" i="10"/>
  <c r="G13" i="10"/>
  <c r="O13" i="10" s="1"/>
  <c r="K12" i="10"/>
  <c r="J12" i="10"/>
  <c r="I12" i="10"/>
  <c r="H12" i="10"/>
  <c r="G12" i="10"/>
  <c r="K11" i="10"/>
  <c r="J11" i="10"/>
  <c r="I11" i="10"/>
  <c r="H11" i="10"/>
  <c r="G11" i="10"/>
  <c r="O11" i="10" s="1"/>
  <c r="K10" i="10"/>
  <c r="J10" i="10"/>
  <c r="I10" i="10"/>
  <c r="H10" i="10"/>
  <c r="G10" i="10"/>
  <c r="O10" i="10" s="1"/>
  <c r="K9" i="10"/>
  <c r="J9" i="10"/>
  <c r="I9" i="10"/>
  <c r="H9" i="10"/>
  <c r="G9" i="10"/>
  <c r="L9" i="10" s="1"/>
  <c r="I112" i="9"/>
  <c r="H112" i="9"/>
  <c r="F112" i="9"/>
  <c r="E112" i="9"/>
  <c r="C112" i="9"/>
  <c r="A112" i="9"/>
  <c r="I111" i="9"/>
  <c r="H111" i="9"/>
  <c r="F111" i="9"/>
  <c r="E111" i="9"/>
  <c r="C111" i="9"/>
  <c r="A111" i="9"/>
  <c r="I110" i="9"/>
  <c r="H110" i="9"/>
  <c r="G110" i="9"/>
  <c r="F110" i="9"/>
  <c r="E110" i="9"/>
  <c r="C110" i="9"/>
  <c r="A110" i="9"/>
  <c r="I109" i="9"/>
  <c r="H109" i="9"/>
  <c r="F109" i="9"/>
  <c r="E109" i="9"/>
  <c r="C109" i="9"/>
  <c r="A109" i="9"/>
  <c r="I108" i="9"/>
  <c r="H108" i="9"/>
  <c r="F108" i="9"/>
  <c r="E108" i="9"/>
  <c r="C108" i="9"/>
  <c r="A108" i="9"/>
  <c r="I107" i="9"/>
  <c r="H107" i="9"/>
  <c r="F107" i="9"/>
  <c r="E107" i="9"/>
  <c r="C107" i="9"/>
  <c r="A107" i="9"/>
  <c r="I106" i="9"/>
  <c r="H106" i="9"/>
  <c r="F106" i="9"/>
  <c r="E106" i="9"/>
  <c r="C106" i="9"/>
  <c r="A106" i="9"/>
  <c r="I105" i="9"/>
  <c r="H105" i="9"/>
  <c r="G105" i="9"/>
  <c r="F105" i="9"/>
  <c r="E105" i="9"/>
  <c r="C105" i="9"/>
  <c r="A105" i="9"/>
  <c r="I104" i="9"/>
  <c r="H104" i="9"/>
  <c r="F104" i="9"/>
  <c r="E104" i="9"/>
  <c r="C104" i="9"/>
  <c r="A104" i="9"/>
  <c r="I103" i="9"/>
  <c r="H103" i="9"/>
  <c r="F103" i="9"/>
  <c r="E103" i="9"/>
  <c r="C103" i="9"/>
  <c r="A103" i="9"/>
  <c r="I102" i="9"/>
  <c r="H102" i="9"/>
  <c r="F102" i="9"/>
  <c r="E102" i="9"/>
  <c r="C102" i="9"/>
  <c r="A102" i="9"/>
  <c r="I101" i="9"/>
  <c r="H101" i="9"/>
  <c r="F101" i="9"/>
  <c r="E101" i="9"/>
  <c r="C101" i="9"/>
  <c r="A101" i="9"/>
  <c r="M100" i="9"/>
  <c r="R100" i="9" s="1"/>
  <c r="K100" i="9"/>
  <c r="E100" i="9"/>
  <c r="D100" i="9"/>
  <c r="I99" i="9"/>
  <c r="H99" i="9"/>
  <c r="G99" i="9"/>
  <c r="F99" i="9"/>
  <c r="E99" i="9"/>
  <c r="C99" i="9"/>
  <c r="A99" i="9"/>
  <c r="I98" i="9"/>
  <c r="H98" i="9"/>
  <c r="F98" i="9"/>
  <c r="E98" i="9"/>
  <c r="C98" i="9"/>
  <c r="A98" i="9"/>
  <c r="I97" i="9"/>
  <c r="H97" i="9"/>
  <c r="G97" i="9"/>
  <c r="F97" i="9"/>
  <c r="E97" i="9"/>
  <c r="C97" i="9"/>
  <c r="A97" i="9"/>
  <c r="I96" i="9"/>
  <c r="H96" i="9"/>
  <c r="G96" i="9"/>
  <c r="F96" i="9"/>
  <c r="E96" i="9"/>
  <c r="C96" i="9"/>
  <c r="A96" i="9"/>
  <c r="I95" i="9"/>
  <c r="H95" i="9"/>
  <c r="G95" i="9"/>
  <c r="F95" i="9"/>
  <c r="E95" i="9"/>
  <c r="C95" i="9"/>
  <c r="A95" i="9"/>
  <c r="I94" i="9"/>
  <c r="H94" i="9"/>
  <c r="F94" i="9"/>
  <c r="E94" i="9"/>
  <c r="C94" i="9"/>
  <c r="A94" i="9"/>
  <c r="I93" i="9"/>
  <c r="H93" i="9"/>
  <c r="G93" i="9"/>
  <c r="F93" i="9"/>
  <c r="E93" i="9"/>
  <c r="C93" i="9"/>
  <c r="A93" i="9"/>
  <c r="I92" i="9"/>
  <c r="H92" i="9"/>
  <c r="G92" i="9"/>
  <c r="F92" i="9"/>
  <c r="E92" i="9"/>
  <c r="C92" i="9"/>
  <c r="A92" i="9"/>
  <c r="I91" i="9"/>
  <c r="H91" i="9"/>
  <c r="G91" i="9"/>
  <c r="F91" i="9"/>
  <c r="E91" i="9"/>
  <c r="C91" i="9"/>
  <c r="A91" i="9"/>
  <c r="I90" i="9"/>
  <c r="H90" i="9"/>
  <c r="G90" i="9"/>
  <c r="F90" i="9"/>
  <c r="E90" i="9"/>
  <c r="C90" i="9"/>
  <c r="A90" i="9"/>
  <c r="I89" i="9"/>
  <c r="H89" i="9"/>
  <c r="G89" i="9"/>
  <c r="F89" i="9"/>
  <c r="E89" i="9"/>
  <c r="C89" i="9"/>
  <c r="A89" i="9"/>
  <c r="I88" i="9"/>
  <c r="H88" i="9"/>
  <c r="G88" i="9"/>
  <c r="F88" i="9"/>
  <c r="E88" i="9"/>
  <c r="C88" i="9"/>
  <c r="A88" i="9"/>
  <c r="I87" i="9"/>
  <c r="H87" i="9"/>
  <c r="G87" i="9"/>
  <c r="F87" i="9"/>
  <c r="E87" i="9"/>
  <c r="C87" i="9"/>
  <c r="A87" i="9"/>
  <c r="I86" i="9"/>
  <c r="H86" i="9"/>
  <c r="G86" i="9"/>
  <c r="F86" i="9"/>
  <c r="E86" i="9"/>
  <c r="C86" i="9"/>
  <c r="A86" i="9"/>
  <c r="I85" i="9"/>
  <c r="H85" i="9"/>
  <c r="G85" i="9"/>
  <c r="F85" i="9"/>
  <c r="E85" i="9"/>
  <c r="C85" i="9"/>
  <c r="A85" i="9"/>
  <c r="I84" i="9"/>
  <c r="H84" i="9"/>
  <c r="G84" i="9"/>
  <c r="F84" i="9"/>
  <c r="E84" i="9"/>
  <c r="C84" i="9"/>
  <c r="A84" i="9"/>
  <c r="I83" i="9"/>
  <c r="H83" i="9"/>
  <c r="F83" i="9"/>
  <c r="E83" i="9"/>
  <c r="C83" i="9"/>
  <c r="A83" i="9"/>
  <c r="I82" i="9"/>
  <c r="H82" i="9"/>
  <c r="F82" i="9"/>
  <c r="E82" i="9"/>
  <c r="C82" i="9"/>
  <c r="A82" i="9"/>
  <c r="I81" i="9"/>
  <c r="H81" i="9"/>
  <c r="G81" i="9"/>
  <c r="F81" i="9"/>
  <c r="E81" i="9"/>
  <c r="C81" i="9"/>
  <c r="A81" i="9"/>
  <c r="I80" i="9"/>
  <c r="H80" i="9"/>
  <c r="G80" i="9"/>
  <c r="F80" i="9"/>
  <c r="E80" i="9"/>
  <c r="C80" i="9"/>
  <c r="A80" i="9"/>
  <c r="I79" i="9"/>
  <c r="H79" i="9"/>
  <c r="G79" i="9"/>
  <c r="F79" i="9"/>
  <c r="E79" i="9"/>
  <c r="C79" i="9"/>
  <c r="A79" i="9"/>
  <c r="I78" i="9"/>
  <c r="H78" i="9"/>
  <c r="F78" i="9"/>
  <c r="E78" i="9"/>
  <c r="C78" i="9"/>
  <c r="A78" i="9"/>
  <c r="I77" i="9"/>
  <c r="H77" i="9"/>
  <c r="F77" i="9"/>
  <c r="E77" i="9"/>
  <c r="C77" i="9"/>
  <c r="A77" i="9"/>
  <c r="I76" i="9"/>
  <c r="H76" i="9"/>
  <c r="G76" i="9"/>
  <c r="F76" i="9"/>
  <c r="E76" i="9"/>
  <c r="C76" i="9"/>
  <c r="A76" i="9"/>
  <c r="I75" i="9"/>
  <c r="H75" i="9"/>
  <c r="G75" i="9"/>
  <c r="F75" i="9"/>
  <c r="E75" i="9"/>
  <c r="C75" i="9"/>
  <c r="A75" i="9"/>
  <c r="I74" i="9"/>
  <c r="H74" i="9"/>
  <c r="G74" i="9"/>
  <c r="F74" i="9"/>
  <c r="E74" i="9"/>
  <c r="C74" i="9"/>
  <c r="A74" i="9"/>
  <c r="I73" i="9"/>
  <c r="H73" i="9"/>
  <c r="F73" i="9"/>
  <c r="E73" i="9"/>
  <c r="C73" i="9"/>
  <c r="A73" i="9"/>
  <c r="I72" i="9"/>
  <c r="H72" i="9"/>
  <c r="F72" i="9"/>
  <c r="E72" i="9"/>
  <c r="C72" i="9"/>
  <c r="A72" i="9"/>
  <c r="I71" i="9"/>
  <c r="H71" i="9"/>
  <c r="F71" i="9"/>
  <c r="E71" i="9"/>
  <c r="C71" i="9"/>
  <c r="A71" i="9"/>
  <c r="I70" i="9"/>
  <c r="H70" i="9"/>
  <c r="F70" i="9"/>
  <c r="E70" i="9"/>
  <c r="C70" i="9"/>
  <c r="A70" i="9"/>
  <c r="I69" i="9"/>
  <c r="H69" i="9"/>
  <c r="F69" i="9"/>
  <c r="E69" i="9"/>
  <c r="C69" i="9"/>
  <c r="A69" i="9"/>
  <c r="I68" i="9"/>
  <c r="H68" i="9"/>
  <c r="G68" i="9"/>
  <c r="F68" i="9"/>
  <c r="E68" i="9"/>
  <c r="C68" i="9"/>
  <c r="A68" i="9"/>
  <c r="I67" i="9"/>
  <c r="H67" i="9"/>
  <c r="G67" i="9"/>
  <c r="F67" i="9"/>
  <c r="E67" i="9"/>
  <c r="C67" i="9"/>
  <c r="A67" i="9"/>
  <c r="I66" i="9"/>
  <c r="H66" i="9"/>
  <c r="G66" i="9"/>
  <c r="F66" i="9"/>
  <c r="E66" i="9"/>
  <c r="C66" i="9"/>
  <c r="A66" i="9"/>
  <c r="I65" i="9"/>
  <c r="H65" i="9"/>
  <c r="F65" i="9"/>
  <c r="E65" i="9"/>
  <c r="C65" i="9"/>
  <c r="A65" i="9"/>
  <c r="I64" i="9"/>
  <c r="H64" i="9"/>
  <c r="F64" i="9"/>
  <c r="E64" i="9"/>
  <c r="C64" i="9"/>
  <c r="A64" i="9"/>
  <c r="I63" i="9"/>
  <c r="H63" i="9"/>
  <c r="F63" i="9"/>
  <c r="E63" i="9"/>
  <c r="C63" i="9"/>
  <c r="A63" i="9"/>
  <c r="I62" i="9"/>
  <c r="H62" i="9"/>
  <c r="F62" i="9"/>
  <c r="E62" i="9"/>
  <c r="C62" i="9"/>
  <c r="A62" i="9"/>
  <c r="M61" i="9"/>
  <c r="R61" i="9" s="1"/>
  <c r="K61" i="9"/>
  <c r="E61" i="9"/>
  <c r="D61" i="9"/>
  <c r="I60" i="9"/>
  <c r="H60" i="9"/>
  <c r="G60" i="9"/>
  <c r="F60" i="9"/>
  <c r="E60" i="9"/>
  <c r="C60" i="9"/>
  <c r="A60" i="9"/>
  <c r="I59" i="9"/>
  <c r="H59" i="9"/>
  <c r="G59" i="9"/>
  <c r="F59" i="9"/>
  <c r="E59" i="9"/>
  <c r="C59" i="9"/>
  <c r="A59" i="9"/>
  <c r="I58" i="9"/>
  <c r="H58" i="9"/>
  <c r="G58" i="9"/>
  <c r="F58" i="9"/>
  <c r="E58" i="9"/>
  <c r="C58" i="9"/>
  <c r="A58" i="9"/>
  <c r="I57" i="9"/>
  <c r="H57" i="9"/>
  <c r="G57" i="9"/>
  <c r="F57" i="9"/>
  <c r="E57" i="9"/>
  <c r="C57" i="9"/>
  <c r="A57" i="9"/>
  <c r="I56" i="9"/>
  <c r="H56" i="9"/>
  <c r="F56" i="9"/>
  <c r="E56" i="9"/>
  <c r="C56" i="9"/>
  <c r="A56" i="9"/>
  <c r="I55" i="9"/>
  <c r="H55" i="9"/>
  <c r="G55" i="9"/>
  <c r="F55" i="9"/>
  <c r="E55" i="9"/>
  <c r="C55" i="9"/>
  <c r="A55" i="9"/>
  <c r="I54" i="9"/>
  <c r="H54" i="9"/>
  <c r="G54" i="9"/>
  <c r="F54" i="9"/>
  <c r="E54" i="9"/>
  <c r="C54" i="9"/>
  <c r="A54" i="9"/>
  <c r="I53" i="9"/>
  <c r="H53" i="9"/>
  <c r="F53" i="9"/>
  <c r="E53" i="9"/>
  <c r="C53" i="9"/>
  <c r="A53" i="9"/>
  <c r="I52" i="9"/>
  <c r="H52" i="9"/>
  <c r="F52" i="9"/>
  <c r="E52" i="9"/>
  <c r="C52" i="9"/>
  <c r="A52" i="9"/>
  <c r="I51" i="9"/>
  <c r="H51" i="9"/>
  <c r="F51" i="9"/>
  <c r="E51" i="9"/>
  <c r="C51" i="9"/>
  <c r="A51" i="9"/>
  <c r="I50" i="9"/>
  <c r="H50" i="9"/>
  <c r="F50" i="9"/>
  <c r="E50" i="9"/>
  <c r="C50" i="9"/>
  <c r="A50" i="9"/>
  <c r="I49" i="9"/>
  <c r="H49" i="9"/>
  <c r="F49" i="9"/>
  <c r="E49" i="9"/>
  <c r="C49" i="9"/>
  <c r="A49" i="9"/>
  <c r="I48" i="9"/>
  <c r="H48" i="9"/>
  <c r="F48" i="9"/>
  <c r="E48" i="9"/>
  <c r="C48" i="9"/>
  <c r="A48" i="9"/>
  <c r="M47" i="9"/>
  <c r="R47" i="9" s="1"/>
  <c r="K47" i="9"/>
  <c r="E47" i="9"/>
  <c r="D47" i="9"/>
  <c r="I46" i="9"/>
  <c r="H46" i="9"/>
  <c r="F46" i="9"/>
  <c r="E46" i="9"/>
  <c r="C46" i="9"/>
  <c r="A46" i="9"/>
  <c r="M45" i="9"/>
  <c r="R45" i="9" s="1"/>
  <c r="K45" i="9"/>
  <c r="E45" i="9"/>
  <c r="D45" i="9"/>
  <c r="I44" i="9"/>
  <c r="H44" i="9"/>
  <c r="G44" i="9"/>
  <c r="F44" i="9"/>
  <c r="E44" i="9"/>
  <c r="C44" i="9"/>
  <c r="A44" i="9"/>
  <c r="I43" i="9"/>
  <c r="H43" i="9"/>
  <c r="G43" i="9"/>
  <c r="F43" i="9"/>
  <c r="E43" i="9"/>
  <c r="C43" i="9"/>
  <c r="A43" i="9"/>
  <c r="M42" i="9"/>
  <c r="R42" i="9" s="1"/>
  <c r="K42" i="9"/>
  <c r="E42" i="9"/>
  <c r="D42" i="9"/>
  <c r="I41" i="9"/>
  <c r="H41" i="9"/>
  <c r="G41" i="9"/>
  <c r="F41" i="9"/>
  <c r="E41" i="9"/>
  <c r="C41" i="9"/>
  <c r="A41" i="9"/>
  <c r="I40" i="9"/>
  <c r="H40" i="9"/>
  <c r="F40" i="9"/>
  <c r="E40" i="9"/>
  <c r="C40" i="9"/>
  <c r="A40" i="9"/>
  <c r="I39" i="9"/>
  <c r="H39" i="9"/>
  <c r="F39" i="9"/>
  <c r="E39" i="9"/>
  <c r="C39" i="9"/>
  <c r="A39" i="9"/>
  <c r="I38" i="9"/>
  <c r="H38" i="9"/>
  <c r="F38" i="9"/>
  <c r="E38" i="9"/>
  <c r="C38" i="9"/>
  <c r="A38" i="9"/>
  <c r="I37" i="9"/>
  <c r="H37" i="9"/>
  <c r="F37" i="9"/>
  <c r="E37" i="9"/>
  <c r="C37" i="9"/>
  <c r="A37" i="9"/>
  <c r="I36" i="9"/>
  <c r="H36" i="9"/>
  <c r="F36" i="9"/>
  <c r="E36" i="9"/>
  <c r="C36" i="9"/>
  <c r="A36" i="9"/>
  <c r="I35" i="9"/>
  <c r="H35" i="9"/>
  <c r="F35" i="9"/>
  <c r="E35" i="9"/>
  <c r="C35" i="9"/>
  <c r="A35" i="9"/>
  <c r="I34" i="9"/>
  <c r="H34" i="9"/>
  <c r="F34" i="9"/>
  <c r="E34" i="9"/>
  <c r="C34" i="9"/>
  <c r="A34" i="9"/>
  <c r="I33" i="9"/>
  <c r="H33" i="9"/>
  <c r="F33" i="9"/>
  <c r="E33" i="9"/>
  <c r="C33" i="9"/>
  <c r="A33" i="9"/>
  <c r="I32" i="9"/>
  <c r="H32" i="9"/>
  <c r="F32" i="9"/>
  <c r="E32" i="9"/>
  <c r="C32" i="9"/>
  <c r="A32" i="9"/>
  <c r="I31" i="9"/>
  <c r="H31" i="9"/>
  <c r="F31" i="9"/>
  <c r="E31" i="9"/>
  <c r="C31" i="9"/>
  <c r="A31" i="9"/>
  <c r="I30" i="9"/>
  <c r="H30" i="9"/>
  <c r="F30" i="9"/>
  <c r="E30" i="9"/>
  <c r="C30" i="9"/>
  <c r="A30" i="9"/>
  <c r="I29" i="9"/>
  <c r="H29" i="9"/>
  <c r="F29" i="9"/>
  <c r="E29" i="9"/>
  <c r="C29" i="9"/>
  <c r="A29" i="9"/>
  <c r="I28" i="9"/>
  <c r="H28" i="9"/>
  <c r="F28" i="9"/>
  <c r="E28" i="9"/>
  <c r="C28" i="9"/>
  <c r="A28" i="9"/>
  <c r="I27" i="9"/>
  <c r="H27" i="9"/>
  <c r="F27" i="9"/>
  <c r="E27" i="9"/>
  <c r="C27" i="9"/>
  <c r="A27" i="9"/>
  <c r="I26" i="9"/>
  <c r="H26" i="9"/>
  <c r="F26" i="9"/>
  <c r="E26" i="9"/>
  <c r="C26" i="9"/>
  <c r="A26" i="9"/>
  <c r="I25" i="9"/>
  <c r="H25" i="9"/>
  <c r="F25" i="9"/>
  <c r="E25" i="9"/>
  <c r="C25" i="9"/>
  <c r="A25" i="9"/>
  <c r="I24" i="9"/>
  <c r="H24" i="9"/>
  <c r="F24" i="9"/>
  <c r="E24" i="9"/>
  <c r="C24" i="9"/>
  <c r="A24" i="9"/>
  <c r="I23" i="9"/>
  <c r="H23" i="9"/>
  <c r="F23" i="9"/>
  <c r="E23" i="9"/>
  <c r="C23" i="9"/>
  <c r="A23" i="9"/>
  <c r="I22" i="9"/>
  <c r="H22" i="9"/>
  <c r="F22" i="9"/>
  <c r="E22" i="9"/>
  <c r="C22" i="9"/>
  <c r="A22" i="9"/>
  <c r="I21" i="9"/>
  <c r="H21" i="9"/>
  <c r="F21" i="9"/>
  <c r="E21" i="9"/>
  <c r="C21" i="9"/>
  <c r="A21" i="9"/>
  <c r="I20" i="9"/>
  <c r="H20" i="9"/>
  <c r="F20" i="9"/>
  <c r="E20" i="9"/>
  <c r="C20" i="9"/>
  <c r="A20" i="9"/>
  <c r="I19" i="9"/>
  <c r="H19" i="9"/>
  <c r="F19" i="9"/>
  <c r="E19" i="9"/>
  <c r="C19" i="9"/>
  <c r="A19" i="9"/>
  <c r="I18" i="9"/>
  <c r="H18" i="9"/>
  <c r="G18" i="9"/>
  <c r="F18" i="9"/>
  <c r="E18" i="9"/>
  <c r="C18" i="9"/>
  <c r="A18" i="9"/>
  <c r="I17" i="9"/>
  <c r="H17" i="9"/>
  <c r="F17" i="9"/>
  <c r="E17" i="9"/>
  <c r="C17" i="9"/>
  <c r="A17" i="9"/>
  <c r="I16" i="9"/>
  <c r="H16" i="9"/>
  <c r="F16" i="9"/>
  <c r="E16" i="9"/>
  <c r="C16" i="9"/>
  <c r="A16" i="9"/>
  <c r="I15" i="9"/>
  <c r="H15" i="9"/>
  <c r="F15" i="9"/>
  <c r="E15" i="9"/>
  <c r="C15" i="9"/>
  <c r="A15" i="9"/>
  <c r="I14" i="9"/>
  <c r="H14" i="9"/>
  <c r="F14" i="9"/>
  <c r="E14" i="9"/>
  <c r="C14" i="9"/>
  <c r="A14" i="9"/>
  <c r="I13" i="9"/>
  <c r="H13" i="9"/>
  <c r="F13" i="9"/>
  <c r="E13" i="9"/>
  <c r="C13" i="9"/>
  <c r="A13" i="9"/>
  <c r="I12" i="9"/>
  <c r="H12" i="9"/>
  <c r="F12" i="9"/>
  <c r="E12" i="9"/>
  <c r="C12" i="9"/>
  <c r="A12" i="9"/>
  <c r="I11" i="9"/>
  <c r="H11" i="9"/>
  <c r="F11" i="9"/>
  <c r="E11" i="9"/>
  <c r="C11" i="9"/>
  <c r="A11" i="9"/>
  <c r="I10" i="9"/>
  <c r="H10" i="9"/>
  <c r="G10" i="9"/>
  <c r="F10" i="9"/>
  <c r="E10" i="9"/>
  <c r="C10" i="9"/>
  <c r="A10" i="9"/>
  <c r="I9" i="9"/>
  <c r="H9" i="9"/>
  <c r="F9" i="9"/>
  <c r="E9" i="9"/>
  <c r="C9" i="9"/>
  <c r="A9" i="9"/>
  <c r="I8" i="9"/>
  <c r="H8" i="9"/>
  <c r="F8" i="9"/>
  <c r="E8" i="9"/>
  <c r="C8" i="9"/>
  <c r="A8" i="9"/>
  <c r="I7" i="9"/>
  <c r="H7" i="9"/>
  <c r="F7" i="9"/>
  <c r="E7" i="9"/>
  <c r="C7" i="9"/>
  <c r="A7" i="9"/>
  <c r="M6" i="9"/>
  <c r="R6" i="9" s="1"/>
  <c r="K6" i="9"/>
  <c r="E6" i="9"/>
  <c r="D6" i="9"/>
  <c r="K10" i="8"/>
  <c r="H361" i="18" s="1"/>
  <c r="J10" i="8"/>
  <c r="K9" i="8"/>
  <c r="H1040" i="18" s="1"/>
  <c r="J9" i="8"/>
  <c r="K8" i="8"/>
  <c r="H1660" i="18" s="1"/>
  <c r="J8" i="8"/>
  <c r="K7" i="8"/>
  <c r="H203" i="18" s="1"/>
  <c r="J7" i="8"/>
  <c r="K6" i="8"/>
  <c r="H59" i="18" s="1"/>
  <c r="J6" i="8"/>
  <c r="K5" i="8"/>
  <c r="X6" i="9" s="1"/>
  <c r="J5" i="8"/>
  <c r="Q12" i="7"/>
  <c r="N50" i="6"/>
  <c r="P50" i="6" s="1"/>
  <c r="O49" i="2" s="1"/>
  <c r="L50" i="6"/>
  <c r="M50" i="6" s="1"/>
  <c r="N49" i="6"/>
  <c r="P49" i="6" s="1"/>
  <c r="O48" i="2" s="1"/>
  <c r="L49" i="6"/>
  <c r="M49" i="6" s="1"/>
  <c r="N48" i="6"/>
  <c r="P48" i="6" s="1"/>
  <c r="O47" i="2" s="1"/>
  <c r="L48" i="6"/>
  <c r="M48" i="6" s="1"/>
  <c r="N47" i="6"/>
  <c r="P47" i="6" s="1"/>
  <c r="O46" i="2" s="1"/>
  <c r="L47" i="6"/>
  <c r="M47" i="6" s="1"/>
  <c r="N46" i="6"/>
  <c r="P46" i="6" s="1"/>
  <c r="O45" i="2" s="1"/>
  <c r="L46" i="6"/>
  <c r="M46" i="6" s="1"/>
  <c r="N45" i="6"/>
  <c r="P45" i="6" s="1"/>
  <c r="O44" i="2" s="1"/>
  <c r="L45" i="6"/>
  <c r="M45" i="6" s="1"/>
  <c r="N44" i="6"/>
  <c r="P44" i="6" s="1"/>
  <c r="O43" i="2" s="1"/>
  <c r="L44" i="6"/>
  <c r="M44" i="6" s="1"/>
  <c r="N43" i="6"/>
  <c r="P43" i="6" s="1"/>
  <c r="O42" i="2" s="1"/>
  <c r="L43" i="6"/>
  <c r="M43" i="6" s="1"/>
  <c r="N42" i="6"/>
  <c r="P42" i="6" s="1"/>
  <c r="O41" i="2" s="1"/>
  <c r="L42" i="6"/>
  <c r="M42" i="6" s="1"/>
  <c r="N41" i="6"/>
  <c r="P41" i="6" s="1"/>
  <c r="O40" i="2" s="1"/>
  <c r="L41" i="6"/>
  <c r="M41" i="6" s="1"/>
  <c r="N40" i="6"/>
  <c r="P40" i="6" s="1"/>
  <c r="O39" i="2" s="1"/>
  <c r="L40" i="6"/>
  <c r="M40" i="6" s="1"/>
  <c r="N39" i="6"/>
  <c r="P39" i="6" s="1"/>
  <c r="O38" i="2" s="1"/>
  <c r="L39" i="6"/>
  <c r="M39" i="6" s="1"/>
  <c r="N38" i="6"/>
  <c r="P38" i="6" s="1"/>
  <c r="O37" i="2" s="1"/>
  <c r="L38" i="6"/>
  <c r="M38" i="6" s="1"/>
  <c r="N37" i="6"/>
  <c r="P37" i="6" s="1"/>
  <c r="O36" i="2" s="1"/>
  <c r="L37" i="6"/>
  <c r="M37" i="6" s="1"/>
  <c r="N36" i="6"/>
  <c r="P36" i="6" s="1"/>
  <c r="O35" i="2" s="1"/>
  <c r="L36" i="6"/>
  <c r="M36" i="6" s="1"/>
  <c r="N35" i="6"/>
  <c r="P35" i="6" s="1"/>
  <c r="O34" i="2" s="1"/>
  <c r="L35" i="6"/>
  <c r="M35" i="6" s="1"/>
  <c r="N34" i="6"/>
  <c r="P34" i="6" s="1"/>
  <c r="O33" i="2" s="1"/>
  <c r="L34" i="6"/>
  <c r="M34" i="6" s="1"/>
  <c r="N33" i="6"/>
  <c r="P33" i="6" s="1"/>
  <c r="O32" i="2" s="1"/>
  <c r="L33" i="6"/>
  <c r="M33" i="6" s="1"/>
  <c r="N32" i="6"/>
  <c r="P32" i="6" s="1"/>
  <c r="O31" i="2" s="1"/>
  <c r="L32" i="6"/>
  <c r="M32" i="6" s="1"/>
  <c r="N31" i="6"/>
  <c r="P31" i="6" s="1"/>
  <c r="O30" i="2" s="1"/>
  <c r="L31" i="6"/>
  <c r="M31" i="6" s="1"/>
  <c r="N30" i="6"/>
  <c r="P30" i="6" s="1"/>
  <c r="O29" i="2" s="1"/>
  <c r="L30" i="6"/>
  <c r="M30" i="6" s="1"/>
  <c r="N29" i="6"/>
  <c r="P29" i="6" s="1"/>
  <c r="O28" i="2" s="1"/>
  <c r="L29" i="6"/>
  <c r="M29" i="6" s="1"/>
  <c r="N28" i="6"/>
  <c r="P28" i="6" s="1"/>
  <c r="O27" i="2" s="1"/>
  <c r="L28" i="6"/>
  <c r="M28" i="6" s="1"/>
  <c r="N27" i="6"/>
  <c r="P27" i="6" s="1"/>
  <c r="O26" i="2" s="1"/>
  <c r="L27" i="6"/>
  <c r="M27" i="6" s="1"/>
  <c r="N26" i="6"/>
  <c r="P26" i="6" s="1"/>
  <c r="O25" i="2" s="1"/>
  <c r="L26" i="6"/>
  <c r="M26" i="6" s="1"/>
  <c r="N25" i="6"/>
  <c r="P25" i="6" s="1"/>
  <c r="O24" i="2" s="1"/>
  <c r="L25" i="6"/>
  <c r="M25" i="6" s="1"/>
  <c r="N24" i="6"/>
  <c r="P24" i="6" s="1"/>
  <c r="O23" i="2" s="1"/>
  <c r="L24" i="6"/>
  <c r="M24" i="6" s="1"/>
  <c r="N23" i="6"/>
  <c r="P23" i="6" s="1"/>
  <c r="O22" i="2" s="1"/>
  <c r="L23" i="6"/>
  <c r="M23" i="6" s="1"/>
  <c r="N22" i="6"/>
  <c r="P22" i="6" s="1"/>
  <c r="O21" i="2" s="1"/>
  <c r="L22" i="6"/>
  <c r="M22" i="6" s="1"/>
  <c r="N21" i="6"/>
  <c r="P21" i="6" s="1"/>
  <c r="O20" i="2" s="1"/>
  <c r="L21" i="6"/>
  <c r="M21" i="6" s="1"/>
  <c r="N20" i="6"/>
  <c r="P20" i="6" s="1"/>
  <c r="O19" i="2" s="1"/>
  <c r="L20" i="6"/>
  <c r="M20" i="6" s="1"/>
  <c r="N19" i="6"/>
  <c r="P19" i="6" s="1"/>
  <c r="O18" i="2" s="1"/>
  <c r="L19" i="6"/>
  <c r="M19" i="6" s="1"/>
  <c r="N18" i="6"/>
  <c r="P18" i="6" s="1"/>
  <c r="O17" i="2" s="1"/>
  <c r="L18" i="6"/>
  <c r="M18" i="6" s="1"/>
  <c r="N17" i="6"/>
  <c r="P17" i="6" s="1"/>
  <c r="O16" i="2" s="1"/>
  <c r="L17" i="6"/>
  <c r="M17" i="6" s="1"/>
  <c r="N16" i="6"/>
  <c r="P16" i="6" s="1"/>
  <c r="O15" i="2" s="1"/>
  <c r="L16" i="6"/>
  <c r="M16" i="6" s="1"/>
  <c r="N15" i="6"/>
  <c r="P15" i="6" s="1"/>
  <c r="O14" i="2" s="1"/>
  <c r="L15" i="6"/>
  <c r="M15" i="6" s="1"/>
  <c r="N14" i="6"/>
  <c r="P14" i="6" s="1"/>
  <c r="O13" i="2" s="1"/>
  <c r="L14" i="6"/>
  <c r="M14" i="6" s="1"/>
  <c r="N13" i="6"/>
  <c r="P13" i="6" s="1"/>
  <c r="O12" i="2" s="1"/>
  <c r="L13" i="6"/>
  <c r="M13" i="6" s="1"/>
  <c r="N12" i="6"/>
  <c r="P12" i="6" s="1"/>
  <c r="O10" i="2" s="1"/>
  <c r="L12" i="6"/>
  <c r="M12" i="6" s="1"/>
  <c r="N11" i="6"/>
  <c r="P11" i="6" s="1"/>
  <c r="O11" i="2" s="1"/>
  <c r="L11" i="6"/>
  <c r="M11" i="6" s="1"/>
  <c r="N10" i="6"/>
  <c r="P10" i="6" s="1"/>
  <c r="O8" i="2" s="1"/>
  <c r="L10" i="6"/>
  <c r="M10" i="6" s="1"/>
  <c r="N9" i="6"/>
  <c r="P9" i="6" s="1"/>
  <c r="O9" i="2" s="1"/>
  <c r="L9" i="6"/>
  <c r="M9" i="6" s="1"/>
  <c r="N8" i="6"/>
  <c r="P8" i="6" s="1"/>
  <c r="O7" i="2" s="1"/>
  <c r="L8" i="6"/>
  <c r="M8" i="6" s="1"/>
  <c r="N7" i="6"/>
  <c r="P7" i="6" s="1"/>
  <c r="O6" i="2" s="1"/>
  <c r="L7" i="6"/>
  <c r="M7" i="6" s="1"/>
  <c r="N6" i="6"/>
  <c r="P6" i="6" s="1"/>
  <c r="O5" i="2" s="1"/>
  <c r="L6" i="6"/>
  <c r="M6" i="6" s="1"/>
  <c r="AF121" i="5"/>
  <c r="AE121" i="5"/>
  <c r="AD121" i="5"/>
  <c r="AC121" i="5"/>
  <c r="AF120" i="5"/>
  <c r="AE120" i="5"/>
  <c r="AD120" i="5"/>
  <c r="AC120" i="5"/>
  <c r="AJ119" i="5"/>
  <c r="AH119" i="5"/>
  <c r="AF119" i="5"/>
  <c r="AE119" i="5"/>
  <c r="AD119" i="5"/>
  <c r="AC119" i="5"/>
  <c r="M119" i="5"/>
  <c r="M120" i="5" s="1"/>
  <c r="K119" i="5"/>
  <c r="AF118" i="5"/>
  <c r="AE118" i="5"/>
  <c r="AD118" i="5"/>
  <c r="AC118" i="5"/>
  <c r="AJ117" i="5"/>
  <c r="AH117" i="5"/>
  <c r="AF117" i="5"/>
  <c r="AE117" i="5"/>
  <c r="AD117" i="5"/>
  <c r="AC117" i="5"/>
  <c r="M117" i="5"/>
  <c r="N117" i="5" s="1"/>
  <c r="K117" i="5"/>
  <c r="AF116" i="5"/>
  <c r="AE116" i="5"/>
  <c r="AD116" i="5"/>
  <c r="AC116" i="5"/>
  <c r="AJ115" i="5"/>
  <c r="AH115" i="5"/>
  <c r="AF115" i="5"/>
  <c r="AE115" i="5"/>
  <c r="AD115" i="5"/>
  <c r="AC115" i="5"/>
  <c r="M115" i="5"/>
  <c r="N115" i="5" s="1"/>
  <c r="N116" i="5" s="1"/>
  <c r="K115" i="5"/>
  <c r="AF114" i="5"/>
  <c r="AE114" i="5"/>
  <c r="AD114" i="5"/>
  <c r="AC114" i="5"/>
  <c r="AJ113" i="5"/>
  <c r="AH113" i="5"/>
  <c r="AF113" i="5"/>
  <c r="AE113" i="5"/>
  <c r="AD113" i="5"/>
  <c r="AC113" i="5"/>
  <c r="M113" i="5"/>
  <c r="K113" i="5"/>
  <c r="AF112" i="5"/>
  <c r="AE112" i="5"/>
  <c r="AD112" i="5"/>
  <c r="AC112" i="5"/>
  <c r="AF111" i="5"/>
  <c r="AE111" i="5"/>
  <c r="AD111" i="5"/>
  <c r="AC111" i="5"/>
  <c r="N111" i="5"/>
  <c r="N112" i="5" s="1"/>
  <c r="M111" i="5"/>
  <c r="M112" i="5" s="1"/>
  <c r="AH109" i="5"/>
  <c r="AF109" i="5"/>
  <c r="AE109" i="5"/>
  <c r="AD109" i="5"/>
  <c r="AC109" i="5"/>
  <c r="AF108" i="5"/>
  <c r="AE108" i="5"/>
  <c r="AD108" i="5"/>
  <c r="AC108" i="5"/>
  <c r="O108" i="5"/>
  <c r="P108" i="5" s="1"/>
  <c r="AF107" i="5"/>
  <c r="AE107" i="5"/>
  <c r="AD107" i="5"/>
  <c r="AC107" i="5"/>
  <c r="M106" i="5"/>
  <c r="N106" i="5" s="1"/>
  <c r="AH105" i="5"/>
  <c r="AF105" i="5"/>
  <c r="AE105" i="5"/>
  <c r="AD105" i="5"/>
  <c r="AC105" i="5"/>
  <c r="N105" i="5"/>
  <c r="M105" i="5"/>
  <c r="K105" i="5"/>
  <c r="AF104" i="5"/>
  <c r="AE104" i="5"/>
  <c r="AD104" i="5"/>
  <c r="AC104" i="5"/>
  <c r="AF103" i="5"/>
  <c r="AE103" i="5"/>
  <c r="AD103" i="5"/>
  <c r="AC103" i="5"/>
  <c r="AH102" i="5"/>
  <c r="AF102" i="5"/>
  <c r="AE102" i="5"/>
  <c r="AD102" i="5"/>
  <c r="AC102" i="5"/>
  <c r="M102" i="5"/>
  <c r="K102" i="5"/>
  <c r="AF101" i="5"/>
  <c r="AE101" i="5"/>
  <c r="AD101" i="5"/>
  <c r="AC101" i="5"/>
  <c r="AF100" i="5"/>
  <c r="AE100" i="5"/>
  <c r="AD100" i="5"/>
  <c r="AC100" i="5"/>
  <c r="AH99" i="5"/>
  <c r="AF99" i="5"/>
  <c r="AE99" i="5"/>
  <c r="AD99" i="5"/>
  <c r="AC99" i="5"/>
  <c r="M99" i="5"/>
  <c r="M100" i="5" s="1"/>
  <c r="K99" i="5"/>
  <c r="AF98" i="5"/>
  <c r="AE98" i="5"/>
  <c r="AD98" i="5"/>
  <c r="AC98" i="5"/>
  <c r="AF97" i="5"/>
  <c r="AE97" i="5"/>
  <c r="AD97" i="5"/>
  <c r="AC97" i="5"/>
  <c r="AH96" i="5"/>
  <c r="AF96" i="5"/>
  <c r="AE96" i="5"/>
  <c r="AD96" i="5"/>
  <c r="AC96" i="5"/>
  <c r="M96" i="5"/>
  <c r="M97" i="5" s="1"/>
  <c r="K96" i="5"/>
  <c r="AF95" i="5"/>
  <c r="AE95" i="5"/>
  <c r="AD95" i="5"/>
  <c r="AC95" i="5"/>
  <c r="AF94" i="5"/>
  <c r="AE94" i="5"/>
  <c r="AD94" i="5"/>
  <c r="AC94" i="5"/>
  <c r="AH93" i="5"/>
  <c r="AF93" i="5"/>
  <c r="AE93" i="5"/>
  <c r="AD93" i="5"/>
  <c r="AC93" i="5"/>
  <c r="M93" i="5"/>
  <c r="K93" i="5"/>
  <c r="AF92" i="5"/>
  <c r="AE92" i="5"/>
  <c r="AD92" i="5"/>
  <c r="AC92" i="5"/>
  <c r="AF91" i="5"/>
  <c r="AE91" i="5"/>
  <c r="AD91" i="5"/>
  <c r="AC91" i="5"/>
  <c r="AH90" i="5"/>
  <c r="AF90" i="5"/>
  <c r="AE90" i="5"/>
  <c r="AD90" i="5"/>
  <c r="AC90" i="5"/>
  <c r="M90" i="5"/>
  <c r="K90" i="5"/>
  <c r="AF89" i="5"/>
  <c r="AE89" i="5"/>
  <c r="AD89" i="5"/>
  <c r="AC89" i="5"/>
  <c r="AF88" i="5"/>
  <c r="AE88" i="5"/>
  <c r="AD88" i="5"/>
  <c r="AC88" i="5"/>
  <c r="AH87" i="5"/>
  <c r="AF87" i="5"/>
  <c r="AE87" i="5"/>
  <c r="AD87" i="5"/>
  <c r="AC87" i="5"/>
  <c r="M87" i="5"/>
  <c r="N87" i="5" s="1"/>
  <c r="N88" i="5" s="1"/>
  <c r="N89" i="5" s="1"/>
  <c r="K87" i="5"/>
  <c r="AJ86" i="5"/>
  <c r="AH86" i="5"/>
  <c r="AF86" i="5"/>
  <c r="AE86" i="5"/>
  <c r="AD86" i="5"/>
  <c r="AC86" i="5"/>
  <c r="M86" i="5"/>
  <c r="K86" i="5"/>
  <c r="AF85" i="5"/>
  <c r="AE85" i="5"/>
  <c r="AD85" i="5"/>
  <c r="AC85" i="5"/>
  <c r="AF84" i="5"/>
  <c r="AE84" i="5"/>
  <c r="AD84" i="5"/>
  <c r="AC84" i="5"/>
  <c r="AF83" i="5"/>
  <c r="AE83" i="5"/>
  <c r="AD83" i="5"/>
  <c r="AC83" i="5"/>
  <c r="AH82" i="5"/>
  <c r="AF82" i="5"/>
  <c r="AE82" i="5"/>
  <c r="AD82" i="5"/>
  <c r="AC82" i="5"/>
  <c r="O82" i="5"/>
  <c r="N82" i="5"/>
  <c r="M82" i="5"/>
  <c r="K82" i="5"/>
  <c r="AJ81" i="5"/>
  <c r="AH81" i="5"/>
  <c r="AF81" i="5"/>
  <c r="AE81" i="5"/>
  <c r="AD81" i="5"/>
  <c r="AC81" i="5"/>
  <c r="M81" i="5"/>
  <c r="K81" i="5"/>
  <c r="AJ80" i="5"/>
  <c r="AH80" i="5"/>
  <c r="AF80" i="5"/>
  <c r="AE80" i="5"/>
  <c r="AD80" i="5"/>
  <c r="AC80" i="5"/>
  <c r="M80" i="5"/>
  <c r="K80" i="5"/>
  <c r="AJ79" i="5"/>
  <c r="AH79" i="5"/>
  <c r="AF79" i="5"/>
  <c r="AE79" i="5"/>
  <c r="AD79" i="5"/>
  <c r="AC79" i="5"/>
  <c r="M79" i="5"/>
  <c r="N79" i="5" s="1"/>
  <c r="K79" i="5"/>
  <c r="AF78" i="5"/>
  <c r="AE78" i="5"/>
  <c r="AD78" i="5"/>
  <c r="AC78" i="5"/>
  <c r="AF77" i="5"/>
  <c r="AE77" i="5"/>
  <c r="AD77" i="5"/>
  <c r="AC77" i="5"/>
  <c r="AF76" i="5"/>
  <c r="AE76" i="5"/>
  <c r="AD76" i="5"/>
  <c r="AC76" i="5"/>
  <c r="AH75" i="5"/>
  <c r="AF75" i="5"/>
  <c r="AE75" i="5"/>
  <c r="AD75" i="5"/>
  <c r="AC75" i="5"/>
  <c r="N75" i="5"/>
  <c r="N76" i="5" s="1"/>
  <c r="N77" i="5" s="1"/>
  <c r="M75" i="5"/>
  <c r="K75" i="5"/>
  <c r="AF74" i="5"/>
  <c r="AE74" i="5"/>
  <c r="AD74" i="5"/>
  <c r="AC74" i="5"/>
  <c r="AF73" i="5"/>
  <c r="AE73" i="5"/>
  <c r="AD73" i="5"/>
  <c r="AC73" i="5"/>
  <c r="AF72" i="5"/>
  <c r="AE72" i="5"/>
  <c r="AD72" i="5"/>
  <c r="AC72" i="5"/>
  <c r="AH71" i="5"/>
  <c r="AF71" i="5"/>
  <c r="AE71" i="5"/>
  <c r="AD71" i="5"/>
  <c r="AC71" i="5"/>
  <c r="N71" i="5"/>
  <c r="M71" i="5"/>
  <c r="M72" i="5" s="1"/>
  <c r="K71" i="5"/>
  <c r="AJ70" i="5"/>
  <c r="AH70" i="5"/>
  <c r="AF70" i="5"/>
  <c r="AE70" i="5"/>
  <c r="AD70" i="5"/>
  <c r="AC70" i="5"/>
  <c r="M70" i="5"/>
  <c r="K70" i="5"/>
  <c r="AJ69" i="5"/>
  <c r="AH69" i="5"/>
  <c r="AF69" i="5"/>
  <c r="AE69" i="5"/>
  <c r="AD69" i="5"/>
  <c r="AC69" i="5"/>
  <c r="M69" i="5"/>
  <c r="K69" i="5"/>
  <c r="AJ68" i="5"/>
  <c r="AH68" i="5"/>
  <c r="AF68" i="5"/>
  <c r="AE68" i="5"/>
  <c r="AD68" i="5"/>
  <c r="AC68" i="5"/>
  <c r="M68" i="5"/>
  <c r="K68" i="5"/>
  <c r="AJ67" i="5"/>
  <c r="AH67" i="5"/>
  <c r="AF67" i="5"/>
  <c r="AE67" i="5"/>
  <c r="AD67" i="5"/>
  <c r="AC67" i="5"/>
  <c r="M67" i="5"/>
  <c r="N67" i="5" s="1"/>
  <c r="O67" i="5" s="1"/>
  <c r="K67" i="5"/>
  <c r="AF66" i="5"/>
  <c r="AE66" i="5"/>
  <c r="AD66" i="5"/>
  <c r="AC66" i="5"/>
  <c r="AF65" i="5"/>
  <c r="AE65" i="5"/>
  <c r="AD65" i="5"/>
  <c r="AC65" i="5"/>
  <c r="AJ64" i="5"/>
  <c r="AH64" i="5"/>
  <c r="AF64" i="5"/>
  <c r="AE64" i="5"/>
  <c r="AD64" i="5"/>
  <c r="AC64" i="5"/>
  <c r="M64" i="5"/>
  <c r="K64" i="5"/>
  <c r="AF63" i="5"/>
  <c r="AE63" i="5"/>
  <c r="AD63" i="5"/>
  <c r="AC63" i="5"/>
  <c r="AF62" i="5"/>
  <c r="AE62" i="5"/>
  <c r="AD62" i="5"/>
  <c r="AC62" i="5"/>
  <c r="AJ61" i="5"/>
  <c r="AH61" i="5"/>
  <c r="AF61" i="5"/>
  <c r="AE61" i="5"/>
  <c r="AD61" i="5"/>
  <c r="AC61" i="5"/>
  <c r="M61" i="5"/>
  <c r="M62" i="5" s="1"/>
  <c r="M63" i="5" s="1"/>
  <c r="K61" i="5"/>
  <c r="AJ60" i="5"/>
  <c r="AH60" i="5"/>
  <c r="AF60" i="5"/>
  <c r="AE60" i="5"/>
  <c r="AD60" i="5"/>
  <c r="AC60" i="5"/>
  <c r="M60" i="5"/>
  <c r="K60" i="5"/>
  <c r="AJ59" i="5"/>
  <c r="AH59" i="5"/>
  <c r="AF59" i="5"/>
  <c r="AE59" i="5"/>
  <c r="AD59" i="5"/>
  <c r="AC59" i="5"/>
  <c r="M59" i="5"/>
  <c r="K59" i="5"/>
  <c r="AF58" i="5"/>
  <c r="AE58" i="5"/>
  <c r="AD58" i="5"/>
  <c r="AC58" i="5"/>
  <c r="AJ57" i="5"/>
  <c r="AH57" i="5"/>
  <c r="AF57" i="5"/>
  <c r="AE57" i="5"/>
  <c r="AD57" i="5"/>
  <c r="AC57" i="5"/>
  <c r="M57" i="5"/>
  <c r="K57" i="5"/>
  <c r="AF56" i="5"/>
  <c r="AE56" i="5"/>
  <c r="AD56" i="5"/>
  <c r="AC56" i="5"/>
  <c r="AJ55" i="5"/>
  <c r="AH55" i="5"/>
  <c r="AF55" i="5"/>
  <c r="AE55" i="5"/>
  <c r="AD55" i="5"/>
  <c r="AC55" i="5"/>
  <c r="M55" i="5"/>
  <c r="K55" i="5"/>
  <c r="AF54" i="5"/>
  <c r="AE54" i="5"/>
  <c r="AD54" i="5"/>
  <c r="AC54" i="5"/>
  <c r="AJ53" i="5"/>
  <c r="AH53" i="5"/>
  <c r="AF53" i="5"/>
  <c r="AE53" i="5"/>
  <c r="AD53" i="5"/>
  <c r="AC53" i="5"/>
  <c r="M53" i="5"/>
  <c r="M54" i="5" s="1"/>
  <c r="K53" i="5"/>
  <c r="AF52" i="5"/>
  <c r="AE52" i="5"/>
  <c r="AD52" i="5"/>
  <c r="AC52" i="5"/>
  <c r="AJ51" i="5"/>
  <c r="AH51" i="5"/>
  <c r="AF51" i="5"/>
  <c r="AE51" i="5"/>
  <c r="AD51" i="5"/>
  <c r="AC51" i="5"/>
  <c r="M51" i="5"/>
  <c r="M52" i="5" s="1"/>
  <c r="K51" i="5"/>
  <c r="AF50" i="5"/>
  <c r="AE50" i="5"/>
  <c r="AD50" i="5"/>
  <c r="AC50" i="5"/>
  <c r="AJ49" i="5"/>
  <c r="AH49" i="5"/>
  <c r="AF49" i="5"/>
  <c r="AE49" i="5"/>
  <c r="AD49" i="5"/>
  <c r="AC49" i="5"/>
  <c r="M49" i="5"/>
  <c r="N49" i="5" s="1"/>
  <c r="N50" i="5" s="1"/>
  <c r="K49" i="5"/>
  <c r="AF48" i="5"/>
  <c r="AE48" i="5"/>
  <c r="AD48" i="5"/>
  <c r="AC48" i="5"/>
  <c r="AF47" i="5"/>
  <c r="AE47" i="5"/>
  <c r="AD47" i="5"/>
  <c r="AC47" i="5"/>
  <c r="AJ46" i="5"/>
  <c r="AH46" i="5"/>
  <c r="AF46" i="5"/>
  <c r="AE46" i="5"/>
  <c r="AD46" i="5"/>
  <c r="AC46" i="5"/>
  <c r="M46" i="5"/>
  <c r="M47" i="5" s="1"/>
  <c r="K46" i="5"/>
  <c r="AF45" i="5"/>
  <c r="AE45" i="5"/>
  <c r="AD45" i="5"/>
  <c r="AC45" i="5"/>
  <c r="AF44" i="5"/>
  <c r="AE44" i="5"/>
  <c r="AD44" i="5"/>
  <c r="AC44" i="5"/>
  <c r="AJ43" i="5"/>
  <c r="AH43" i="5"/>
  <c r="AF43" i="5"/>
  <c r="AE43" i="5"/>
  <c r="AD43" i="5"/>
  <c r="AC43" i="5"/>
  <c r="M43" i="5"/>
  <c r="K43" i="5"/>
  <c r="AF42" i="5"/>
  <c r="AE42" i="5"/>
  <c r="AD42" i="5"/>
  <c r="AC42" i="5"/>
  <c r="AF41" i="5"/>
  <c r="AE41" i="5"/>
  <c r="AD41" i="5"/>
  <c r="AC41" i="5"/>
  <c r="AJ40" i="5"/>
  <c r="AH40" i="5"/>
  <c r="AF40" i="5"/>
  <c r="AE40" i="5"/>
  <c r="AD40" i="5"/>
  <c r="AC40" i="5"/>
  <c r="M40" i="5"/>
  <c r="K40" i="5"/>
  <c r="AF39" i="5"/>
  <c r="AE39" i="5"/>
  <c r="AD39" i="5"/>
  <c r="AC39" i="5"/>
  <c r="AF38" i="5"/>
  <c r="AE38" i="5"/>
  <c r="AD38" i="5"/>
  <c r="AC38" i="5"/>
  <c r="AJ37" i="5"/>
  <c r="AH37" i="5"/>
  <c r="AF37" i="5"/>
  <c r="AE37" i="5"/>
  <c r="AD37" i="5"/>
  <c r="AC37" i="5"/>
  <c r="M37" i="5"/>
  <c r="K37" i="5"/>
  <c r="AF36" i="5"/>
  <c r="AE36" i="5"/>
  <c r="AD36" i="5"/>
  <c r="AC36" i="5"/>
  <c r="AJ35" i="5"/>
  <c r="AH35" i="5"/>
  <c r="AF35" i="5"/>
  <c r="AE35" i="5"/>
  <c r="AD35" i="5"/>
  <c r="AC35" i="5"/>
  <c r="M35" i="5"/>
  <c r="M36" i="5" s="1"/>
  <c r="K35" i="5"/>
  <c r="AJ34" i="5"/>
  <c r="AH34" i="5"/>
  <c r="AF34" i="5"/>
  <c r="AE34" i="5"/>
  <c r="AD34" i="5"/>
  <c r="AC34" i="5"/>
  <c r="M34" i="5"/>
  <c r="N34" i="5" s="1"/>
  <c r="K34" i="5"/>
  <c r="AF33" i="5"/>
  <c r="AE33" i="5"/>
  <c r="AD33" i="5"/>
  <c r="AC33" i="5"/>
  <c r="AF32" i="5"/>
  <c r="AE32" i="5"/>
  <c r="AD32" i="5"/>
  <c r="AC32" i="5"/>
  <c r="AF31" i="5"/>
  <c r="AE31" i="5"/>
  <c r="AD31" i="5"/>
  <c r="AC31" i="5"/>
  <c r="AJ30" i="5"/>
  <c r="AH30" i="5"/>
  <c r="AF30" i="5"/>
  <c r="AE30" i="5"/>
  <c r="AD30" i="5"/>
  <c r="AC30" i="5"/>
  <c r="N30" i="5"/>
  <c r="N31" i="5" s="1"/>
  <c r="M30" i="5"/>
  <c r="K30" i="5"/>
  <c r="AF29" i="5"/>
  <c r="AE29" i="5"/>
  <c r="AD29" i="5"/>
  <c r="AC29" i="5"/>
  <c r="AF28" i="5"/>
  <c r="AE28" i="5"/>
  <c r="AD28" i="5"/>
  <c r="AC28" i="5"/>
  <c r="AF27" i="5"/>
  <c r="AE27" i="5"/>
  <c r="AD27" i="5"/>
  <c r="AC27" i="5"/>
  <c r="F27" i="5"/>
  <c r="F28" i="5" s="1"/>
  <c r="F29" i="5" s="1"/>
  <c r="AJ26" i="5"/>
  <c r="AH26" i="5"/>
  <c r="AF26" i="5"/>
  <c r="AE26" i="5"/>
  <c r="AD26" i="5"/>
  <c r="AC26" i="5"/>
  <c r="N26" i="5"/>
  <c r="M26" i="5"/>
  <c r="K26" i="5"/>
  <c r="AF25" i="5"/>
  <c r="AE25" i="5"/>
  <c r="AD25" i="5"/>
  <c r="AC25" i="5"/>
  <c r="AF24" i="5"/>
  <c r="AE24" i="5"/>
  <c r="AD24" i="5"/>
  <c r="AC24" i="5"/>
  <c r="AF23" i="5"/>
  <c r="AE23" i="5"/>
  <c r="AD23" i="5"/>
  <c r="AC23" i="5"/>
  <c r="AJ22" i="5"/>
  <c r="AH22" i="5"/>
  <c r="AF22" i="5"/>
  <c r="AE22" i="5"/>
  <c r="AD22" i="5"/>
  <c r="AC22" i="5"/>
  <c r="N22" i="5"/>
  <c r="M22" i="5"/>
  <c r="K22" i="5"/>
  <c r="AF21" i="5"/>
  <c r="AE21" i="5"/>
  <c r="AD21" i="5"/>
  <c r="AC21" i="5"/>
  <c r="AF20" i="5"/>
  <c r="AE20" i="5"/>
  <c r="AD20" i="5"/>
  <c r="AC20" i="5"/>
  <c r="AF19" i="5"/>
  <c r="AE19" i="5"/>
  <c r="AD19" i="5"/>
  <c r="AC19" i="5"/>
  <c r="F19" i="5"/>
  <c r="F21" i="5" s="1"/>
  <c r="AJ18" i="5"/>
  <c r="AH18" i="5"/>
  <c r="AF18" i="5"/>
  <c r="AE18" i="5"/>
  <c r="AD18" i="5"/>
  <c r="AC18" i="5"/>
  <c r="N18" i="5"/>
  <c r="M18" i="5"/>
  <c r="M19" i="5" s="1"/>
  <c r="K18" i="5"/>
  <c r="AF17" i="5"/>
  <c r="AE17" i="5"/>
  <c r="AD17" i="5"/>
  <c r="AC17" i="5"/>
  <c r="AF16" i="5"/>
  <c r="AE16" i="5"/>
  <c r="AD16" i="5"/>
  <c r="AC16" i="5"/>
  <c r="AF15" i="5"/>
  <c r="AE15" i="5"/>
  <c r="AD15" i="5"/>
  <c r="AC15" i="5"/>
  <c r="AJ14" i="5"/>
  <c r="AH14" i="5"/>
  <c r="AF14" i="5"/>
  <c r="AE14" i="5"/>
  <c r="AD14" i="5"/>
  <c r="AC14" i="5"/>
  <c r="N14" i="5"/>
  <c r="N15" i="5" s="1"/>
  <c r="N16" i="5" s="1"/>
  <c r="M14" i="5"/>
  <c r="K14" i="5"/>
  <c r="AF13" i="5"/>
  <c r="AE13" i="5"/>
  <c r="AD13" i="5"/>
  <c r="AC13" i="5"/>
  <c r="AF12" i="5"/>
  <c r="AE12" i="5"/>
  <c r="AD12" i="5"/>
  <c r="AC12" i="5"/>
  <c r="AF11" i="5"/>
  <c r="AE11" i="5"/>
  <c r="AD11" i="5"/>
  <c r="AC11" i="5"/>
  <c r="AJ10" i="5"/>
  <c r="AH10" i="5"/>
  <c r="AF10" i="5"/>
  <c r="AE10" i="5"/>
  <c r="AD10" i="5"/>
  <c r="AC10" i="5"/>
  <c r="N10" i="5"/>
  <c r="M10" i="5"/>
  <c r="M11" i="5" s="1"/>
  <c r="K10" i="5"/>
  <c r="AF9" i="5"/>
  <c r="AE9" i="5"/>
  <c r="AD9" i="5"/>
  <c r="AC9" i="5"/>
  <c r="AF8" i="5"/>
  <c r="AE8" i="5"/>
  <c r="AD8" i="5"/>
  <c r="AC8" i="5"/>
  <c r="AF7" i="5"/>
  <c r="AE7" i="5"/>
  <c r="AD7" i="5"/>
  <c r="AC7" i="5"/>
  <c r="F7" i="5"/>
  <c r="F8" i="5" s="1"/>
  <c r="F9" i="5" s="1"/>
  <c r="AJ6" i="5"/>
  <c r="AH6" i="5"/>
  <c r="AF6" i="5"/>
  <c r="AE6" i="5"/>
  <c r="AD6" i="5"/>
  <c r="AC6" i="5"/>
  <c r="N6" i="5"/>
  <c r="M6" i="5"/>
  <c r="K6" i="5"/>
  <c r="A2" i="5"/>
  <c r="T53" i="4"/>
  <c r="P53" i="4"/>
  <c r="Q53" i="4" s="1"/>
  <c r="N53" i="4"/>
  <c r="T52" i="4"/>
  <c r="P52" i="4"/>
  <c r="Q52" i="4" s="1"/>
  <c r="N52" i="4"/>
  <c r="T51" i="4"/>
  <c r="P51" i="4"/>
  <c r="Q51" i="4" s="1"/>
  <c r="N51" i="4"/>
  <c r="T50" i="4"/>
  <c r="P50" i="4"/>
  <c r="Q50" i="4" s="1"/>
  <c r="N50" i="4"/>
  <c r="T49" i="4"/>
  <c r="P49" i="4"/>
  <c r="Q49" i="4" s="1"/>
  <c r="N49" i="4"/>
  <c r="T48" i="4"/>
  <c r="P48" i="4"/>
  <c r="Q48" i="4" s="1"/>
  <c r="N48" i="4"/>
  <c r="T47" i="4"/>
  <c r="P47" i="4"/>
  <c r="Q47" i="4" s="1"/>
  <c r="N47" i="4"/>
  <c r="T46" i="4"/>
  <c r="P46" i="4"/>
  <c r="Q46" i="4" s="1"/>
  <c r="N46" i="4"/>
  <c r="T45" i="4"/>
  <c r="P45" i="4"/>
  <c r="Q45" i="4" s="1"/>
  <c r="N45" i="4"/>
  <c r="T44" i="4"/>
  <c r="P44" i="4"/>
  <c r="Q44" i="4" s="1"/>
  <c r="N44" i="4"/>
  <c r="T43" i="4"/>
  <c r="P43" i="4"/>
  <c r="Q43" i="4" s="1"/>
  <c r="N43" i="4"/>
  <c r="T42" i="4"/>
  <c r="P42" i="4"/>
  <c r="Q42" i="4" s="1"/>
  <c r="N42" i="4"/>
  <c r="T41" i="4"/>
  <c r="P41" i="4"/>
  <c r="Q41" i="4" s="1"/>
  <c r="N41" i="4"/>
  <c r="T40" i="4"/>
  <c r="P40" i="4"/>
  <c r="Q40" i="4" s="1"/>
  <c r="N40" i="4"/>
  <c r="T39" i="4"/>
  <c r="P39" i="4"/>
  <c r="Q39" i="4" s="1"/>
  <c r="N39" i="4"/>
  <c r="T38" i="4"/>
  <c r="P38" i="4"/>
  <c r="Q38" i="4" s="1"/>
  <c r="N38" i="4"/>
  <c r="T37" i="4"/>
  <c r="P37" i="4"/>
  <c r="Q37" i="4" s="1"/>
  <c r="N37" i="4"/>
  <c r="T36" i="4"/>
  <c r="P36" i="4"/>
  <c r="Q36" i="4" s="1"/>
  <c r="N36" i="4"/>
  <c r="T35" i="4"/>
  <c r="P35" i="4"/>
  <c r="Q35" i="4" s="1"/>
  <c r="N35" i="4"/>
  <c r="T34" i="4"/>
  <c r="P34" i="4"/>
  <c r="Q34" i="4" s="1"/>
  <c r="N34" i="4"/>
  <c r="T33" i="4"/>
  <c r="P33" i="4"/>
  <c r="Q33" i="4" s="1"/>
  <c r="N33" i="4"/>
  <c r="T32" i="4"/>
  <c r="P32" i="4"/>
  <c r="Q32" i="4" s="1"/>
  <c r="N32" i="4"/>
  <c r="T31" i="4"/>
  <c r="P31" i="4"/>
  <c r="Q31" i="4" s="1"/>
  <c r="N31" i="4"/>
  <c r="T30" i="4"/>
  <c r="P30" i="4"/>
  <c r="Q30" i="4" s="1"/>
  <c r="N30" i="4"/>
  <c r="T29" i="4"/>
  <c r="P29" i="4"/>
  <c r="Q29" i="4" s="1"/>
  <c r="N29" i="4"/>
  <c r="T28" i="4"/>
  <c r="P28" i="4"/>
  <c r="Q28" i="4" s="1"/>
  <c r="N28" i="4"/>
  <c r="T27" i="4"/>
  <c r="P27" i="4"/>
  <c r="Q27" i="4" s="1"/>
  <c r="N27" i="4"/>
  <c r="T26" i="4"/>
  <c r="P26" i="4"/>
  <c r="Q26" i="4" s="1"/>
  <c r="N26" i="4"/>
  <c r="T25" i="4"/>
  <c r="P25" i="4"/>
  <c r="Q25" i="4" s="1"/>
  <c r="N25" i="4"/>
  <c r="T24" i="4"/>
  <c r="P24" i="4"/>
  <c r="Q24" i="4" s="1"/>
  <c r="N24" i="4"/>
  <c r="T23" i="4"/>
  <c r="P23" i="4"/>
  <c r="Q23" i="4" s="1"/>
  <c r="N23" i="4"/>
  <c r="T22" i="4"/>
  <c r="P22" i="4"/>
  <c r="Q22" i="4" s="1"/>
  <c r="N22" i="4"/>
  <c r="T21" i="4"/>
  <c r="P21" i="4"/>
  <c r="Q21" i="4" s="1"/>
  <c r="N21" i="4"/>
  <c r="T20" i="4"/>
  <c r="P20" i="4"/>
  <c r="Q20" i="4" s="1"/>
  <c r="N20" i="4"/>
  <c r="T19" i="4"/>
  <c r="P19" i="4"/>
  <c r="Q19" i="4" s="1"/>
  <c r="Y19" i="4" s="1"/>
  <c r="M15" i="2" s="1"/>
  <c r="N19" i="4"/>
  <c r="T18" i="4"/>
  <c r="P18" i="4"/>
  <c r="Q18" i="4" s="1"/>
  <c r="N18" i="4"/>
  <c r="T17" i="4"/>
  <c r="P17" i="4"/>
  <c r="Q17" i="4" s="1"/>
  <c r="N17" i="4"/>
  <c r="T16" i="4"/>
  <c r="P16" i="4"/>
  <c r="Q16" i="4" s="1"/>
  <c r="N16" i="4"/>
  <c r="T15" i="4"/>
  <c r="P15" i="4"/>
  <c r="Q15" i="4" s="1"/>
  <c r="N15" i="4"/>
  <c r="T14" i="4"/>
  <c r="P14" i="4"/>
  <c r="Q14" i="4" s="1"/>
  <c r="N14" i="4"/>
  <c r="T13" i="4"/>
  <c r="P13" i="4"/>
  <c r="Q13" i="4" s="1"/>
  <c r="N13" i="4"/>
  <c r="T12" i="4"/>
  <c r="P12" i="4"/>
  <c r="Q12" i="4" s="1"/>
  <c r="N12" i="4"/>
  <c r="T11" i="4"/>
  <c r="P11" i="4"/>
  <c r="Q11" i="4" s="1"/>
  <c r="N11" i="4"/>
  <c r="T10" i="4"/>
  <c r="P10" i="4"/>
  <c r="Q10" i="4" s="1"/>
  <c r="N10" i="4"/>
  <c r="T9" i="4"/>
  <c r="P9" i="4"/>
  <c r="Q9" i="4" s="1"/>
  <c r="N9" i="4"/>
  <c r="U246" i="3"/>
  <c r="I245" i="3"/>
  <c r="F245" i="3"/>
  <c r="E245" i="3"/>
  <c r="C245" i="3"/>
  <c r="I244" i="3"/>
  <c r="G244" i="3"/>
  <c r="F244" i="3"/>
  <c r="E244" i="3"/>
  <c r="C244" i="3"/>
  <c r="I243" i="3"/>
  <c r="G243" i="3"/>
  <c r="F243" i="3"/>
  <c r="E243" i="3"/>
  <c r="C243" i="3"/>
  <c r="I242" i="3"/>
  <c r="G242" i="3"/>
  <c r="F242" i="3"/>
  <c r="E242" i="3"/>
  <c r="C242" i="3"/>
  <c r="I241" i="3"/>
  <c r="G241" i="3"/>
  <c r="F241" i="3"/>
  <c r="E241" i="3"/>
  <c r="C241" i="3"/>
  <c r="I240" i="3"/>
  <c r="G240" i="3"/>
  <c r="F240" i="3"/>
  <c r="E240" i="3"/>
  <c r="C240" i="3"/>
  <c r="I239" i="3"/>
  <c r="G239" i="3"/>
  <c r="F239" i="3"/>
  <c r="E239" i="3"/>
  <c r="C239" i="3"/>
  <c r="I238" i="3"/>
  <c r="G238" i="3"/>
  <c r="F238" i="3"/>
  <c r="E238" i="3"/>
  <c r="C238" i="3"/>
  <c r="I237" i="3"/>
  <c r="F237" i="3"/>
  <c r="E237" i="3"/>
  <c r="C237" i="3"/>
  <c r="I236" i="3"/>
  <c r="H236" i="3"/>
  <c r="F236" i="3"/>
  <c r="E236" i="3"/>
  <c r="C236" i="3"/>
  <c r="I235" i="3"/>
  <c r="F235" i="3"/>
  <c r="E235" i="3"/>
  <c r="C235" i="3"/>
  <c r="I234" i="3"/>
  <c r="F234" i="3"/>
  <c r="E234" i="3"/>
  <c r="C234" i="3"/>
  <c r="I233" i="3"/>
  <c r="F233" i="3"/>
  <c r="E233" i="3"/>
  <c r="C233" i="3"/>
  <c r="I232" i="3"/>
  <c r="F232" i="3"/>
  <c r="E232" i="3"/>
  <c r="C232" i="3"/>
  <c r="I231" i="3"/>
  <c r="F231" i="3"/>
  <c r="E231" i="3"/>
  <c r="C231" i="3"/>
  <c r="I230" i="3"/>
  <c r="G230" i="3"/>
  <c r="F230" i="3"/>
  <c r="E230" i="3"/>
  <c r="C230" i="3"/>
  <c r="I229" i="3"/>
  <c r="G229" i="3"/>
  <c r="F229" i="3"/>
  <c r="E229" i="3"/>
  <c r="C229" i="3"/>
  <c r="I228" i="3"/>
  <c r="G228" i="3"/>
  <c r="F228" i="3"/>
  <c r="E228" i="3"/>
  <c r="C228" i="3"/>
  <c r="I227" i="3"/>
  <c r="G227" i="3"/>
  <c r="F227" i="3"/>
  <c r="E227" i="3"/>
  <c r="C227" i="3"/>
  <c r="I226" i="3"/>
  <c r="G226" i="3"/>
  <c r="F226" i="3"/>
  <c r="E226" i="3"/>
  <c r="C226" i="3"/>
  <c r="I225" i="3"/>
  <c r="G225" i="3"/>
  <c r="F225" i="3"/>
  <c r="E225" i="3"/>
  <c r="C225" i="3"/>
  <c r="I224" i="3"/>
  <c r="F224" i="3"/>
  <c r="E224" i="3"/>
  <c r="C224" i="3"/>
  <c r="I223" i="3"/>
  <c r="G223" i="3"/>
  <c r="F223" i="3"/>
  <c r="E223" i="3"/>
  <c r="C223" i="3"/>
  <c r="I222" i="3"/>
  <c r="G222" i="3"/>
  <c r="F222" i="3"/>
  <c r="E222" i="3"/>
  <c r="C222" i="3"/>
  <c r="I221" i="3"/>
  <c r="G221" i="3"/>
  <c r="F221" i="3"/>
  <c r="E221" i="3"/>
  <c r="C221" i="3"/>
  <c r="I220" i="3"/>
  <c r="F220" i="3"/>
  <c r="E220" i="3"/>
  <c r="C220" i="3"/>
  <c r="I219" i="3"/>
  <c r="F219" i="3"/>
  <c r="E219" i="3"/>
  <c r="C219" i="3"/>
  <c r="I218" i="3"/>
  <c r="G218" i="3"/>
  <c r="F218" i="3"/>
  <c r="E218" i="3"/>
  <c r="C218" i="3"/>
  <c r="I217" i="3"/>
  <c r="H217" i="3"/>
  <c r="F217" i="3"/>
  <c r="E217" i="3"/>
  <c r="C217" i="3"/>
  <c r="I216" i="3"/>
  <c r="F216" i="3"/>
  <c r="E216" i="3"/>
  <c r="C216" i="3"/>
  <c r="I215" i="3"/>
  <c r="F215" i="3"/>
  <c r="E215" i="3"/>
  <c r="C215" i="3"/>
  <c r="I214" i="3"/>
  <c r="F214" i="3"/>
  <c r="E214" i="3"/>
  <c r="C214" i="3"/>
  <c r="I213" i="3"/>
  <c r="F213" i="3"/>
  <c r="E213" i="3"/>
  <c r="C213" i="3"/>
  <c r="I212" i="3"/>
  <c r="G212" i="3"/>
  <c r="F212" i="3"/>
  <c r="E212" i="3"/>
  <c r="C212" i="3"/>
  <c r="I211" i="3"/>
  <c r="G211" i="3"/>
  <c r="F211" i="3"/>
  <c r="E211" i="3"/>
  <c r="C211" i="3"/>
  <c r="I210" i="3"/>
  <c r="G210" i="3"/>
  <c r="F210" i="3"/>
  <c r="E210" i="3"/>
  <c r="C210" i="3"/>
  <c r="I209" i="3"/>
  <c r="G209" i="3"/>
  <c r="F209" i="3"/>
  <c r="E209" i="3"/>
  <c r="C209" i="3"/>
  <c r="I208" i="3"/>
  <c r="F208" i="3"/>
  <c r="E208" i="3"/>
  <c r="C208" i="3"/>
  <c r="I206" i="3"/>
  <c r="H206" i="3"/>
  <c r="G206" i="3"/>
  <c r="F206" i="3"/>
  <c r="E206" i="3"/>
  <c r="C206" i="3"/>
  <c r="M205" i="3"/>
  <c r="R205" i="3" s="1"/>
  <c r="K205" i="3"/>
  <c r="F205" i="3"/>
  <c r="E205" i="3"/>
  <c r="I204" i="3"/>
  <c r="H204" i="3"/>
  <c r="F204" i="3"/>
  <c r="E204" i="3"/>
  <c r="C204" i="3"/>
  <c r="I203" i="3"/>
  <c r="H203" i="3"/>
  <c r="F203" i="3"/>
  <c r="E203" i="3"/>
  <c r="C203" i="3"/>
  <c r="M202" i="3"/>
  <c r="R202" i="3" s="1"/>
  <c r="K202" i="3"/>
  <c r="F202" i="3"/>
  <c r="E202" i="3"/>
  <c r="I201" i="3"/>
  <c r="H201" i="3"/>
  <c r="F201" i="3"/>
  <c r="E201" i="3"/>
  <c r="C201" i="3"/>
  <c r="I200" i="3"/>
  <c r="H200" i="3"/>
  <c r="F200" i="3"/>
  <c r="E200" i="3"/>
  <c r="C200" i="3"/>
  <c r="M199" i="3"/>
  <c r="R199" i="3" s="1"/>
  <c r="K199" i="3"/>
  <c r="F199" i="3"/>
  <c r="E199" i="3"/>
  <c r="I198" i="3"/>
  <c r="H198" i="3"/>
  <c r="F198" i="3"/>
  <c r="E198" i="3"/>
  <c r="C198" i="3"/>
  <c r="I197" i="3"/>
  <c r="H197" i="3"/>
  <c r="F197" i="3"/>
  <c r="E197" i="3"/>
  <c r="C197" i="3"/>
  <c r="M196" i="3"/>
  <c r="R196" i="3" s="1"/>
  <c r="K196" i="3"/>
  <c r="F196" i="3"/>
  <c r="E196" i="3"/>
  <c r="I195" i="3"/>
  <c r="H195" i="3"/>
  <c r="G195" i="3"/>
  <c r="F195" i="3"/>
  <c r="E195" i="3"/>
  <c r="C195" i="3"/>
  <c r="I194" i="3"/>
  <c r="H194" i="3"/>
  <c r="G194" i="3"/>
  <c r="F194" i="3"/>
  <c r="E194" i="3"/>
  <c r="C194" i="3"/>
  <c r="I193" i="3"/>
  <c r="H193" i="3"/>
  <c r="G193" i="3"/>
  <c r="F193" i="3"/>
  <c r="E193" i="3"/>
  <c r="C193" i="3"/>
  <c r="I192" i="3"/>
  <c r="H192" i="3"/>
  <c r="G192" i="3"/>
  <c r="F192" i="3"/>
  <c r="E192" i="3"/>
  <c r="C192" i="3"/>
  <c r="I191" i="3"/>
  <c r="H191" i="3"/>
  <c r="G191" i="3"/>
  <c r="F191" i="3"/>
  <c r="E191" i="3"/>
  <c r="C191" i="3"/>
  <c r="I190" i="3"/>
  <c r="H190" i="3"/>
  <c r="G190" i="3"/>
  <c r="F190" i="3"/>
  <c r="E190" i="3"/>
  <c r="C190" i="3"/>
  <c r="I189" i="3"/>
  <c r="H189" i="3"/>
  <c r="G189" i="3"/>
  <c r="F189" i="3"/>
  <c r="E189" i="3"/>
  <c r="C189" i="3"/>
  <c r="I188" i="3"/>
  <c r="H188" i="3"/>
  <c r="F188" i="3"/>
  <c r="E188" i="3"/>
  <c r="C188" i="3"/>
  <c r="I187" i="3"/>
  <c r="H187" i="3"/>
  <c r="G187" i="3"/>
  <c r="F187" i="3"/>
  <c r="E187" i="3"/>
  <c r="C187" i="3"/>
  <c r="I186" i="3"/>
  <c r="H186" i="3"/>
  <c r="G186" i="3"/>
  <c r="F186" i="3"/>
  <c r="E186" i="3"/>
  <c r="C186" i="3"/>
  <c r="I185" i="3"/>
  <c r="H185" i="3"/>
  <c r="G185" i="3"/>
  <c r="F185" i="3"/>
  <c r="E185" i="3"/>
  <c r="C185" i="3"/>
  <c r="I184" i="3"/>
  <c r="H184" i="3"/>
  <c r="G184" i="3"/>
  <c r="F184" i="3"/>
  <c r="E184" i="3"/>
  <c r="C184" i="3"/>
  <c r="I183" i="3"/>
  <c r="H183" i="3"/>
  <c r="G183" i="3"/>
  <c r="F183" i="3"/>
  <c r="E183" i="3"/>
  <c r="C183" i="3"/>
  <c r="I182" i="3"/>
  <c r="H182" i="3"/>
  <c r="F182" i="3"/>
  <c r="E182" i="3"/>
  <c r="C182" i="3"/>
  <c r="I181" i="3"/>
  <c r="H181" i="3"/>
  <c r="F181" i="3"/>
  <c r="E181" i="3"/>
  <c r="C181" i="3"/>
  <c r="I180" i="3"/>
  <c r="H180" i="3"/>
  <c r="F180" i="3"/>
  <c r="E180" i="3"/>
  <c r="C180" i="3"/>
  <c r="I179" i="3"/>
  <c r="H179" i="3"/>
  <c r="F179" i="3"/>
  <c r="E179" i="3"/>
  <c r="C179" i="3"/>
  <c r="M178" i="3"/>
  <c r="R178" i="3" s="1"/>
  <c r="K178" i="3"/>
  <c r="F178" i="3"/>
  <c r="E178" i="3"/>
  <c r="I177" i="3"/>
  <c r="H177" i="3"/>
  <c r="G177" i="3"/>
  <c r="F177" i="3"/>
  <c r="E177" i="3"/>
  <c r="C177" i="3"/>
  <c r="I176" i="3"/>
  <c r="H176" i="3"/>
  <c r="G176" i="3"/>
  <c r="F176" i="3"/>
  <c r="E176" i="3"/>
  <c r="C176" i="3"/>
  <c r="I175" i="3"/>
  <c r="H175" i="3"/>
  <c r="G175" i="3"/>
  <c r="F175" i="3"/>
  <c r="E175" i="3"/>
  <c r="C175" i="3"/>
  <c r="I174" i="3"/>
  <c r="H174" i="3"/>
  <c r="G174" i="3"/>
  <c r="F174" i="3"/>
  <c r="E174" i="3"/>
  <c r="C174" i="3"/>
  <c r="M173" i="3"/>
  <c r="R173" i="3" s="1"/>
  <c r="K173" i="3"/>
  <c r="F173" i="3"/>
  <c r="E173" i="3"/>
  <c r="I172" i="3"/>
  <c r="H172" i="3"/>
  <c r="F172" i="3"/>
  <c r="E172" i="3"/>
  <c r="C172" i="3"/>
  <c r="M171" i="3"/>
  <c r="R171" i="3" s="1"/>
  <c r="K171" i="3"/>
  <c r="F171" i="3"/>
  <c r="E171" i="3"/>
  <c r="I170" i="3"/>
  <c r="H170" i="3"/>
  <c r="F170" i="3"/>
  <c r="E170" i="3"/>
  <c r="C170" i="3"/>
  <c r="I169" i="3"/>
  <c r="H169" i="3"/>
  <c r="F169" i="3"/>
  <c r="E169" i="3"/>
  <c r="C169" i="3"/>
  <c r="M168" i="3"/>
  <c r="R168" i="3" s="1"/>
  <c r="K168" i="3"/>
  <c r="F168" i="3"/>
  <c r="E168" i="3"/>
  <c r="I167" i="3"/>
  <c r="H167" i="3"/>
  <c r="F167" i="3"/>
  <c r="E167" i="3"/>
  <c r="C167" i="3"/>
  <c r="I166" i="3"/>
  <c r="H166" i="3"/>
  <c r="F166" i="3"/>
  <c r="E166" i="3"/>
  <c r="C166" i="3"/>
  <c r="I165" i="3"/>
  <c r="H165" i="3"/>
  <c r="F165" i="3"/>
  <c r="E165" i="3"/>
  <c r="C165" i="3"/>
  <c r="I164" i="3"/>
  <c r="H164" i="3"/>
  <c r="F164" i="3"/>
  <c r="E164" i="3"/>
  <c r="C164" i="3"/>
  <c r="I163" i="3"/>
  <c r="H163" i="3"/>
  <c r="F163" i="3"/>
  <c r="E163" i="3"/>
  <c r="C163" i="3"/>
  <c r="M162" i="3"/>
  <c r="R162" i="3" s="1"/>
  <c r="K162" i="3"/>
  <c r="F162" i="3"/>
  <c r="E162" i="3"/>
  <c r="I161" i="3"/>
  <c r="H161" i="3"/>
  <c r="F161" i="3"/>
  <c r="E161" i="3"/>
  <c r="C161" i="3"/>
  <c r="I160" i="3"/>
  <c r="H160" i="3"/>
  <c r="F160" i="3"/>
  <c r="E160" i="3"/>
  <c r="C160" i="3"/>
  <c r="M159" i="3"/>
  <c r="R159" i="3" s="1"/>
  <c r="K159" i="3"/>
  <c r="F159" i="3"/>
  <c r="E159" i="3"/>
  <c r="I158" i="3"/>
  <c r="H158" i="3"/>
  <c r="F158" i="3"/>
  <c r="E158" i="3"/>
  <c r="C158" i="3"/>
  <c r="I157" i="3"/>
  <c r="H157" i="3"/>
  <c r="F157" i="3"/>
  <c r="E157" i="3"/>
  <c r="C157" i="3"/>
  <c r="I156" i="3"/>
  <c r="H156" i="3"/>
  <c r="F156" i="3"/>
  <c r="E156" i="3"/>
  <c r="C156" i="3"/>
  <c r="I155" i="3"/>
  <c r="H155" i="3"/>
  <c r="F155" i="3"/>
  <c r="E155" i="3"/>
  <c r="C155" i="3"/>
  <c r="I154" i="3"/>
  <c r="H154" i="3"/>
  <c r="F154" i="3"/>
  <c r="E154" i="3"/>
  <c r="C154" i="3"/>
  <c r="M153" i="3"/>
  <c r="R153" i="3" s="1"/>
  <c r="K153" i="3"/>
  <c r="F153" i="3"/>
  <c r="E153" i="3"/>
  <c r="I152" i="3"/>
  <c r="H152" i="3"/>
  <c r="G152" i="3"/>
  <c r="F152" i="3"/>
  <c r="E152" i="3"/>
  <c r="C152" i="3"/>
  <c r="I151" i="3"/>
  <c r="H151" i="3"/>
  <c r="G151" i="3"/>
  <c r="F151" i="3"/>
  <c r="E151" i="3"/>
  <c r="C151" i="3"/>
  <c r="I150" i="3"/>
  <c r="H150" i="3"/>
  <c r="G150" i="3"/>
  <c r="F150" i="3"/>
  <c r="E150" i="3"/>
  <c r="C150" i="3"/>
  <c r="M149" i="3"/>
  <c r="R149" i="3" s="1"/>
  <c r="K149" i="3"/>
  <c r="F149" i="3"/>
  <c r="E149" i="3"/>
  <c r="I148" i="3"/>
  <c r="H148" i="3"/>
  <c r="F148" i="3"/>
  <c r="E148" i="3"/>
  <c r="C148" i="3"/>
  <c r="I147" i="3"/>
  <c r="H147" i="3"/>
  <c r="F147" i="3"/>
  <c r="E147" i="3"/>
  <c r="C147" i="3"/>
  <c r="I146" i="3"/>
  <c r="H146" i="3"/>
  <c r="F146" i="3"/>
  <c r="E146" i="3"/>
  <c r="C146" i="3"/>
  <c r="I145" i="3"/>
  <c r="H145" i="3"/>
  <c r="F145" i="3"/>
  <c r="E145" i="3"/>
  <c r="C145" i="3"/>
  <c r="I144" i="3"/>
  <c r="H144" i="3"/>
  <c r="F144" i="3"/>
  <c r="E144" i="3"/>
  <c r="C144" i="3"/>
  <c r="I143" i="3"/>
  <c r="H143" i="3"/>
  <c r="F143" i="3"/>
  <c r="E143" i="3"/>
  <c r="C143" i="3"/>
  <c r="I142" i="3"/>
  <c r="H142" i="3"/>
  <c r="F142" i="3"/>
  <c r="E142" i="3"/>
  <c r="C142" i="3"/>
  <c r="M141" i="3"/>
  <c r="R141" i="3" s="1"/>
  <c r="K141" i="3"/>
  <c r="F141" i="3"/>
  <c r="E141" i="3"/>
  <c r="I140" i="3"/>
  <c r="H140" i="3"/>
  <c r="F140" i="3"/>
  <c r="E140" i="3"/>
  <c r="C140" i="3"/>
  <c r="I139" i="3"/>
  <c r="H139" i="3"/>
  <c r="F139" i="3"/>
  <c r="E139" i="3"/>
  <c r="C139" i="3"/>
  <c r="M138" i="3"/>
  <c r="R138" i="3" s="1"/>
  <c r="K138" i="3"/>
  <c r="F138" i="3"/>
  <c r="E138" i="3"/>
  <c r="I137" i="3"/>
  <c r="H137" i="3"/>
  <c r="F137" i="3"/>
  <c r="E137" i="3"/>
  <c r="C137" i="3"/>
  <c r="M136" i="3"/>
  <c r="R136" i="3" s="1"/>
  <c r="K136" i="3"/>
  <c r="F136" i="3"/>
  <c r="E136" i="3"/>
  <c r="I135" i="3"/>
  <c r="H135" i="3"/>
  <c r="G135" i="3"/>
  <c r="F135" i="3"/>
  <c r="E135" i="3"/>
  <c r="C135" i="3"/>
  <c r="M134" i="3"/>
  <c r="R134" i="3" s="1"/>
  <c r="K134" i="3"/>
  <c r="F134" i="3"/>
  <c r="E134" i="3"/>
  <c r="I133" i="3"/>
  <c r="H133" i="3"/>
  <c r="G133" i="3"/>
  <c r="F133" i="3"/>
  <c r="E133" i="3"/>
  <c r="C133" i="3"/>
  <c r="I132" i="3"/>
  <c r="H132" i="3"/>
  <c r="G132" i="3"/>
  <c r="F132" i="3"/>
  <c r="E132" i="3"/>
  <c r="C132" i="3"/>
  <c r="I131" i="3"/>
  <c r="H131" i="3"/>
  <c r="G131" i="3"/>
  <c r="F131" i="3"/>
  <c r="E131" i="3"/>
  <c r="C131" i="3"/>
  <c r="I130" i="3"/>
  <c r="H130" i="3"/>
  <c r="G130" i="3"/>
  <c r="F130" i="3"/>
  <c r="E130" i="3"/>
  <c r="C130" i="3"/>
  <c r="I129" i="3"/>
  <c r="H129" i="3"/>
  <c r="G129" i="3"/>
  <c r="F129" i="3"/>
  <c r="E129" i="3"/>
  <c r="C129" i="3"/>
  <c r="I128" i="3"/>
  <c r="H128" i="3"/>
  <c r="G128" i="3"/>
  <c r="F128" i="3"/>
  <c r="E128" i="3"/>
  <c r="C128" i="3"/>
  <c r="I127" i="3"/>
  <c r="H127" i="3"/>
  <c r="G127" i="3"/>
  <c r="F127" i="3"/>
  <c r="E127" i="3"/>
  <c r="C127" i="3"/>
  <c r="I126" i="3"/>
  <c r="H126" i="3"/>
  <c r="G126" i="3"/>
  <c r="F126" i="3"/>
  <c r="E126" i="3"/>
  <c r="C126" i="3"/>
  <c r="I125" i="3"/>
  <c r="H125" i="3"/>
  <c r="G125" i="3"/>
  <c r="F125" i="3"/>
  <c r="E125" i="3"/>
  <c r="C125" i="3"/>
  <c r="I124" i="3"/>
  <c r="H124" i="3"/>
  <c r="G124" i="3"/>
  <c r="F124" i="3"/>
  <c r="E124" i="3"/>
  <c r="C124" i="3"/>
  <c r="I123" i="3"/>
  <c r="H123" i="3"/>
  <c r="F123" i="3"/>
  <c r="E123" i="3"/>
  <c r="C123" i="3"/>
  <c r="I122" i="3"/>
  <c r="H122" i="3"/>
  <c r="G122" i="3"/>
  <c r="F122" i="3"/>
  <c r="E122" i="3"/>
  <c r="C122" i="3"/>
  <c r="I121" i="3"/>
  <c r="H121" i="3"/>
  <c r="G121" i="3"/>
  <c r="F121" i="3"/>
  <c r="E121" i="3"/>
  <c r="C121" i="3"/>
  <c r="I120" i="3"/>
  <c r="H120" i="3"/>
  <c r="G120" i="3"/>
  <c r="F120" i="3"/>
  <c r="E120" i="3"/>
  <c r="C120" i="3"/>
  <c r="I119" i="3"/>
  <c r="H119" i="3"/>
  <c r="G119" i="3"/>
  <c r="F119" i="3"/>
  <c r="E119" i="3"/>
  <c r="C119" i="3"/>
  <c r="I118" i="3"/>
  <c r="H118" i="3"/>
  <c r="G118" i="3"/>
  <c r="F118" i="3"/>
  <c r="E118" i="3"/>
  <c r="C118" i="3"/>
  <c r="I117" i="3"/>
  <c r="H117" i="3"/>
  <c r="G117" i="3"/>
  <c r="F117" i="3"/>
  <c r="E117" i="3"/>
  <c r="C117" i="3"/>
  <c r="I116" i="3"/>
  <c r="H116" i="3"/>
  <c r="F116" i="3"/>
  <c r="E116" i="3"/>
  <c r="C116" i="3"/>
  <c r="I115" i="3"/>
  <c r="H115" i="3"/>
  <c r="F115" i="3"/>
  <c r="E115" i="3"/>
  <c r="C115" i="3"/>
  <c r="I114" i="3"/>
  <c r="H114" i="3"/>
  <c r="F114" i="3"/>
  <c r="E114" i="3"/>
  <c r="C114" i="3"/>
  <c r="I113" i="3"/>
  <c r="H113" i="3"/>
  <c r="F113" i="3"/>
  <c r="E113" i="3"/>
  <c r="C113" i="3"/>
  <c r="M112" i="3"/>
  <c r="R112" i="3" s="1"/>
  <c r="K112" i="3"/>
  <c r="F112" i="3"/>
  <c r="E112" i="3"/>
  <c r="I111" i="3"/>
  <c r="H111" i="3"/>
  <c r="F111" i="3"/>
  <c r="E111" i="3"/>
  <c r="C111" i="3"/>
  <c r="I110" i="3"/>
  <c r="H110" i="3"/>
  <c r="F110" i="3"/>
  <c r="E110" i="3"/>
  <c r="C110" i="3"/>
  <c r="I109" i="3"/>
  <c r="H109" i="3"/>
  <c r="F109" i="3"/>
  <c r="E109" i="3"/>
  <c r="C109" i="3"/>
  <c r="I108" i="3"/>
  <c r="H108" i="3"/>
  <c r="F108" i="3"/>
  <c r="E108" i="3"/>
  <c r="C108" i="3"/>
  <c r="M107" i="3"/>
  <c r="R107" i="3" s="1"/>
  <c r="K107" i="3"/>
  <c r="F107" i="3"/>
  <c r="E107" i="3"/>
  <c r="I106" i="3"/>
  <c r="H106" i="3"/>
  <c r="G106" i="3"/>
  <c r="F106" i="3"/>
  <c r="E106" i="3"/>
  <c r="C106" i="3"/>
  <c r="I105" i="3"/>
  <c r="H105" i="3"/>
  <c r="G105" i="3"/>
  <c r="F105" i="3"/>
  <c r="E105" i="3"/>
  <c r="C105" i="3"/>
  <c r="I104" i="3"/>
  <c r="H104" i="3"/>
  <c r="F104" i="3"/>
  <c r="E104" i="3"/>
  <c r="C104" i="3"/>
  <c r="I103" i="3"/>
  <c r="H103" i="3"/>
  <c r="F103" i="3"/>
  <c r="E103" i="3"/>
  <c r="C103" i="3"/>
  <c r="M102" i="3"/>
  <c r="R102" i="3" s="1"/>
  <c r="K102" i="3"/>
  <c r="F102" i="3"/>
  <c r="E102" i="3"/>
  <c r="I101" i="3"/>
  <c r="H101" i="3"/>
  <c r="G101" i="3"/>
  <c r="F101" i="3"/>
  <c r="E101" i="3"/>
  <c r="C101" i="3"/>
  <c r="M100" i="3"/>
  <c r="R100" i="3" s="1"/>
  <c r="K100" i="3"/>
  <c r="F100" i="3"/>
  <c r="E100" i="3"/>
  <c r="I99" i="3"/>
  <c r="H99" i="3"/>
  <c r="F99" i="3"/>
  <c r="E99" i="3"/>
  <c r="C99" i="3"/>
  <c r="M98" i="3"/>
  <c r="R98" i="3" s="1"/>
  <c r="K98" i="3"/>
  <c r="F98" i="3"/>
  <c r="E98" i="3"/>
  <c r="I97" i="3"/>
  <c r="H97" i="3"/>
  <c r="G97" i="3"/>
  <c r="F97" i="3"/>
  <c r="E97" i="3"/>
  <c r="C97" i="3"/>
  <c r="I96" i="3"/>
  <c r="H96" i="3"/>
  <c r="G96" i="3"/>
  <c r="F96" i="3"/>
  <c r="E96" i="3"/>
  <c r="C96" i="3"/>
  <c r="I95" i="3"/>
  <c r="H95" i="3"/>
  <c r="G95" i="3"/>
  <c r="F95" i="3"/>
  <c r="E95" i="3"/>
  <c r="C95" i="3"/>
  <c r="M94" i="3"/>
  <c r="R94" i="3" s="1"/>
  <c r="K94" i="3"/>
  <c r="F94" i="3"/>
  <c r="E94" i="3"/>
  <c r="I93" i="3"/>
  <c r="H93" i="3"/>
  <c r="F93" i="3"/>
  <c r="E93" i="3"/>
  <c r="C93" i="3"/>
  <c r="M92" i="3"/>
  <c r="R92" i="3" s="1"/>
  <c r="K92" i="3"/>
  <c r="F92" i="3"/>
  <c r="E92" i="3"/>
  <c r="I91" i="3"/>
  <c r="H91" i="3"/>
  <c r="G91" i="3"/>
  <c r="F91" i="3"/>
  <c r="E91" i="3"/>
  <c r="C91" i="3"/>
  <c r="M90" i="3"/>
  <c r="R90" i="3" s="1"/>
  <c r="K90" i="3"/>
  <c r="F90" i="3"/>
  <c r="E90" i="3"/>
  <c r="I89" i="3"/>
  <c r="H89" i="3"/>
  <c r="F89" i="3"/>
  <c r="E89" i="3"/>
  <c r="C89" i="3"/>
  <c r="I88" i="3"/>
  <c r="H88" i="3"/>
  <c r="F88" i="3"/>
  <c r="E88" i="3"/>
  <c r="C88" i="3"/>
  <c r="M87" i="3"/>
  <c r="R87" i="3" s="1"/>
  <c r="K87" i="3"/>
  <c r="F87" i="3"/>
  <c r="E87" i="3"/>
  <c r="I86" i="3"/>
  <c r="H86" i="3"/>
  <c r="F86" i="3"/>
  <c r="E86" i="3"/>
  <c r="C86" i="3"/>
  <c r="I85" i="3"/>
  <c r="H85" i="3"/>
  <c r="F85" i="3"/>
  <c r="E85" i="3"/>
  <c r="C85" i="3"/>
  <c r="I84" i="3"/>
  <c r="H84" i="3"/>
  <c r="F84" i="3"/>
  <c r="E84" i="3"/>
  <c r="C84" i="3"/>
  <c r="M83" i="3"/>
  <c r="R83" i="3" s="1"/>
  <c r="K83" i="3"/>
  <c r="F83" i="3"/>
  <c r="E83" i="3"/>
  <c r="I82" i="3"/>
  <c r="H82" i="3"/>
  <c r="F82" i="3"/>
  <c r="E82" i="3"/>
  <c r="C82" i="3"/>
  <c r="I81" i="3"/>
  <c r="H81" i="3"/>
  <c r="F81" i="3"/>
  <c r="E81" i="3"/>
  <c r="C81" i="3"/>
  <c r="I80" i="3"/>
  <c r="H80" i="3"/>
  <c r="F80" i="3"/>
  <c r="E80" i="3"/>
  <c r="C80" i="3"/>
  <c r="M79" i="3"/>
  <c r="R79" i="3" s="1"/>
  <c r="K79" i="3"/>
  <c r="F79" i="3"/>
  <c r="E79" i="3"/>
  <c r="I78" i="3"/>
  <c r="H78" i="3"/>
  <c r="G78" i="3"/>
  <c r="F78" i="3"/>
  <c r="E78" i="3"/>
  <c r="C78" i="3"/>
  <c r="I77" i="3"/>
  <c r="H77" i="3"/>
  <c r="G77" i="3"/>
  <c r="F77" i="3"/>
  <c r="E77" i="3"/>
  <c r="C77" i="3"/>
  <c r="M76" i="3"/>
  <c r="R76" i="3" s="1"/>
  <c r="K76" i="3"/>
  <c r="F76" i="3"/>
  <c r="E76" i="3"/>
  <c r="I75" i="3"/>
  <c r="H75" i="3"/>
  <c r="G75" i="3"/>
  <c r="F75" i="3"/>
  <c r="E75" i="3"/>
  <c r="C75" i="3"/>
  <c r="I74" i="3"/>
  <c r="H74" i="3"/>
  <c r="G74" i="3"/>
  <c r="F74" i="3"/>
  <c r="E74" i="3"/>
  <c r="C74" i="3"/>
  <c r="M73" i="3"/>
  <c r="R73" i="3" s="1"/>
  <c r="K73" i="3"/>
  <c r="F73" i="3"/>
  <c r="E73" i="3"/>
  <c r="I72" i="3"/>
  <c r="H72" i="3"/>
  <c r="G72" i="3"/>
  <c r="F72" i="3"/>
  <c r="E72" i="3"/>
  <c r="C72" i="3"/>
  <c r="I71" i="3"/>
  <c r="H71" i="3"/>
  <c r="F71" i="3"/>
  <c r="E71" i="3"/>
  <c r="C71" i="3"/>
  <c r="I70" i="3"/>
  <c r="H70" i="3"/>
  <c r="G70" i="3"/>
  <c r="F70" i="3"/>
  <c r="E70" i="3"/>
  <c r="C70" i="3"/>
  <c r="M69" i="3"/>
  <c r="R69" i="3" s="1"/>
  <c r="K69" i="3"/>
  <c r="F69" i="3"/>
  <c r="E69" i="3"/>
  <c r="I68" i="3"/>
  <c r="H68" i="3"/>
  <c r="G68" i="3"/>
  <c r="F68" i="3"/>
  <c r="E68" i="3"/>
  <c r="C68" i="3"/>
  <c r="I67" i="3"/>
  <c r="H67" i="3"/>
  <c r="G67" i="3"/>
  <c r="F67" i="3"/>
  <c r="E67" i="3"/>
  <c r="C67" i="3"/>
  <c r="I66" i="3"/>
  <c r="H66" i="3"/>
  <c r="G66" i="3"/>
  <c r="F66" i="3"/>
  <c r="E66" i="3"/>
  <c r="C66" i="3"/>
  <c r="I65" i="3"/>
  <c r="H65" i="3"/>
  <c r="G65" i="3"/>
  <c r="F65" i="3"/>
  <c r="E65" i="3"/>
  <c r="C65" i="3"/>
  <c r="I64" i="3"/>
  <c r="H64" i="3"/>
  <c r="G64" i="3"/>
  <c r="F64" i="3"/>
  <c r="E64" i="3"/>
  <c r="C64" i="3"/>
  <c r="I63" i="3"/>
  <c r="H63" i="3"/>
  <c r="F63" i="3"/>
  <c r="E63" i="3"/>
  <c r="C63" i="3"/>
  <c r="I62" i="3"/>
  <c r="H62" i="3"/>
  <c r="F62" i="3"/>
  <c r="E62" i="3"/>
  <c r="C62" i="3"/>
  <c r="M61" i="3"/>
  <c r="R61" i="3" s="1"/>
  <c r="K61" i="3"/>
  <c r="F61" i="3"/>
  <c r="E61" i="3"/>
  <c r="I60" i="3"/>
  <c r="H60" i="3"/>
  <c r="G60" i="3"/>
  <c r="F60" i="3"/>
  <c r="E60" i="3"/>
  <c r="C60" i="3"/>
  <c r="I59" i="3"/>
  <c r="H59" i="3"/>
  <c r="F59" i="3"/>
  <c r="E59" i="3"/>
  <c r="C59" i="3"/>
  <c r="I58" i="3"/>
  <c r="H58" i="3"/>
  <c r="G58" i="3"/>
  <c r="F58" i="3"/>
  <c r="E58" i="3"/>
  <c r="C58" i="3"/>
  <c r="I57" i="3"/>
  <c r="H57" i="3"/>
  <c r="G57" i="3"/>
  <c r="F57" i="3"/>
  <c r="E57" i="3"/>
  <c r="C57" i="3"/>
  <c r="M56" i="3"/>
  <c r="R56" i="3" s="1"/>
  <c r="K56" i="3"/>
  <c r="F56" i="3"/>
  <c r="E56" i="3"/>
  <c r="I55" i="3"/>
  <c r="H55" i="3"/>
  <c r="G55" i="3"/>
  <c r="F55" i="3"/>
  <c r="E55" i="3"/>
  <c r="C55" i="3"/>
  <c r="I54" i="3"/>
  <c r="H54" i="3"/>
  <c r="G54" i="3"/>
  <c r="F54" i="3"/>
  <c r="E54" i="3"/>
  <c r="C54" i="3"/>
  <c r="I53" i="3"/>
  <c r="H53" i="3"/>
  <c r="G53" i="3"/>
  <c r="F53" i="3"/>
  <c r="E53" i="3"/>
  <c r="C53" i="3"/>
  <c r="I52" i="3"/>
  <c r="H52" i="3"/>
  <c r="G52" i="3"/>
  <c r="F52" i="3"/>
  <c r="E52" i="3"/>
  <c r="C52" i="3"/>
  <c r="I51" i="3"/>
  <c r="H51" i="3"/>
  <c r="G51" i="3"/>
  <c r="F51" i="3"/>
  <c r="E51" i="3"/>
  <c r="C51" i="3"/>
  <c r="I50" i="3"/>
  <c r="H50" i="3"/>
  <c r="G50" i="3"/>
  <c r="F50" i="3"/>
  <c r="E50" i="3"/>
  <c r="C50" i="3"/>
  <c r="I49" i="3"/>
  <c r="H49" i="3"/>
  <c r="G49" i="3"/>
  <c r="F49" i="3"/>
  <c r="E49" i="3"/>
  <c r="C49" i="3"/>
  <c r="I48" i="3"/>
  <c r="H48" i="3"/>
  <c r="G48" i="3"/>
  <c r="F48" i="3"/>
  <c r="E48" i="3"/>
  <c r="C48" i="3"/>
  <c r="I47" i="3"/>
  <c r="H47" i="3"/>
  <c r="G47" i="3"/>
  <c r="F47" i="3"/>
  <c r="E47" i="3"/>
  <c r="C47" i="3"/>
  <c r="I46" i="3"/>
  <c r="H46" i="3"/>
  <c r="G46" i="3"/>
  <c r="F46" i="3"/>
  <c r="E46" i="3"/>
  <c r="C46" i="3"/>
  <c r="I45" i="3"/>
  <c r="H45" i="3"/>
  <c r="F45" i="3"/>
  <c r="E45" i="3"/>
  <c r="C45" i="3"/>
  <c r="I44" i="3"/>
  <c r="H44" i="3"/>
  <c r="G44" i="3"/>
  <c r="F44" i="3"/>
  <c r="E44" i="3"/>
  <c r="C44" i="3"/>
  <c r="I43" i="3"/>
  <c r="H43" i="3"/>
  <c r="G43" i="3"/>
  <c r="F43" i="3"/>
  <c r="E43" i="3"/>
  <c r="C43" i="3"/>
  <c r="I42" i="3"/>
  <c r="H42" i="3"/>
  <c r="G42" i="3"/>
  <c r="F42" i="3"/>
  <c r="E42" i="3"/>
  <c r="C42" i="3"/>
  <c r="I41" i="3"/>
  <c r="H41" i="3"/>
  <c r="G41" i="3"/>
  <c r="F41" i="3"/>
  <c r="E41" i="3"/>
  <c r="C41" i="3"/>
  <c r="I40" i="3"/>
  <c r="H40" i="3"/>
  <c r="F40" i="3"/>
  <c r="E40" i="3"/>
  <c r="C40" i="3"/>
  <c r="I39" i="3"/>
  <c r="H39" i="3"/>
  <c r="F39" i="3"/>
  <c r="E39" i="3"/>
  <c r="C39" i="3"/>
  <c r="M38" i="3"/>
  <c r="R38" i="3" s="1"/>
  <c r="K38" i="3"/>
  <c r="F38" i="3"/>
  <c r="E38" i="3"/>
  <c r="I37" i="3"/>
  <c r="H37" i="3"/>
  <c r="G37" i="3"/>
  <c r="F37" i="3"/>
  <c r="E37" i="3"/>
  <c r="C37" i="3"/>
  <c r="M36" i="3"/>
  <c r="R36" i="3" s="1"/>
  <c r="K36" i="3"/>
  <c r="F36" i="3"/>
  <c r="E36" i="3"/>
  <c r="I35" i="3"/>
  <c r="H35" i="3"/>
  <c r="G35" i="3"/>
  <c r="F35" i="3"/>
  <c r="E35" i="3"/>
  <c r="C35" i="3"/>
  <c r="M34" i="3"/>
  <c r="R34" i="3" s="1"/>
  <c r="K34" i="3"/>
  <c r="F34" i="3"/>
  <c r="E34" i="3"/>
  <c r="I33" i="3"/>
  <c r="H33" i="3"/>
  <c r="G33" i="3"/>
  <c r="F33" i="3"/>
  <c r="E33" i="3"/>
  <c r="C33" i="3"/>
  <c r="I32" i="3"/>
  <c r="H32" i="3"/>
  <c r="F32" i="3"/>
  <c r="E32" i="3"/>
  <c r="C32" i="3"/>
  <c r="I31" i="3"/>
  <c r="H31" i="3"/>
  <c r="G31" i="3"/>
  <c r="F31" i="3"/>
  <c r="E31" i="3"/>
  <c r="C31" i="3"/>
  <c r="M30" i="3"/>
  <c r="R30" i="3" s="1"/>
  <c r="K30" i="3"/>
  <c r="F30" i="3"/>
  <c r="E30" i="3"/>
  <c r="I29" i="3"/>
  <c r="H29" i="3"/>
  <c r="F29" i="3"/>
  <c r="E29" i="3"/>
  <c r="C29" i="3"/>
  <c r="I28" i="3"/>
  <c r="H28" i="3"/>
  <c r="F28" i="3"/>
  <c r="E28" i="3"/>
  <c r="C28" i="3"/>
  <c r="I27" i="3"/>
  <c r="H27" i="3"/>
  <c r="F27" i="3"/>
  <c r="E27" i="3"/>
  <c r="C27" i="3"/>
  <c r="I26" i="3"/>
  <c r="H26" i="3"/>
  <c r="F26" i="3"/>
  <c r="E26" i="3"/>
  <c r="C26" i="3"/>
  <c r="I25" i="3"/>
  <c r="H25" i="3"/>
  <c r="F25" i="3"/>
  <c r="E25" i="3"/>
  <c r="C25" i="3"/>
  <c r="I24" i="3"/>
  <c r="H24" i="3"/>
  <c r="F24" i="3"/>
  <c r="E24" i="3"/>
  <c r="C24" i="3"/>
  <c r="I23" i="3"/>
  <c r="H23" i="3"/>
  <c r="F23" i="3"/>
  <c r="E23" i="3"/>
  <c r="C23" i="3"/>
  <c r="M22" i="3"/>
  <c r="R22" i="3" s="1"/>
  <c r="K22" i="3"/>
  <c r="F22" i="3"/>
  <c r="E22" i="3"/>
  <c r="I21" i="3"/>
  <c r="H21" i="3"/>
  <c r="G21" i="3"/>
  <c r="F21" i="3"/>
  <c r="E21" i="3"/>
  <c r="C21" i="3"/>
  <c r="M20" i="3"/>
  <c r="R20" i="3" s="1"/>
  <c r="K20" i="3"/>
  <c r="F20" i="3"/>
  <c r="E20" i="3"/>
  <c r="I19" i="3"/>
  <c r="H19" i="3"/>
  <c r="G19" i="3"/>
  <c r="F19" i="3"/>
  <c r="E19" i="3"/>
  <c r="C19" i="3"/>
  <c r="M18" i="3"/>
  <c r="R18" i="3" s="1"/>
  <c r="K18" i="3"/>
  <c r="F18" i="3"/>
  <c r="E18" i="3"/>
  <c r="I17" i="3"/>
  <c r="H17" i="3"/>
  <c r="G17" i="3"/>
  <c r="F17" i="3"/>
  <c r="E17" i="3"/>
  <c r="C17" i="3"/>
  <c r="M16" i="3"/>
  <c r="R16" i="3" s="1"/>
  <c r="K16" i="3"/>
  <c r="F16" i="3"/>
  <c r="E16" i="3"/>
  <c r="I15" i="3"/>
  <c r="H15" i="3"/>
  <c r="G15" i="3"/>
  <c r="F15" i="3"/>
  <c r="E15" i="3"/>
  <c r="C15" i="3"/>
  <c r="M14" i="3"/>
  <c r="R14" i="3" s="1"/>
  <c r="K14" i="3"/>
  <c r="F14" i="3"/>
  <c r="E14" i="3"/>
  <c r="I13" i="3"/>
  <c r="H13" i="3"/>
  <c r="G13" i="3"/>
  <c r="F13" i="3"/>
  <c r="E13" i="3"/>
  <c r="C13" i="3"/>
  <c r="M12" i="3"/>
  <c r="R12" i="3" s="1"/>
  <c r="K12" i="3"/>
  <c r="F12" i="3"/>
  <c r="E12" i="3"/>
  <c r="I11" i="3"/>
  <c r="H11" i="3"/>
  <c r="G11" i="3"/>
  <c r="F11" i="3"/>
  <c r="E11" i="3"/>
  <c r="C11" i="3"/>
  <c r="M10" i="3"/>
  <c r="R10" i="3" s="1"/>
  <c r="K10" i="3"/>
  <c r="F10" i="3"/>
  <c r="E10" i="3"/>
  <c r="I9" i="3"/>
  <c r="H9" i="3"/>
  <c r="G9" i="3"/>
  <c r="F9" i="3"/>
  <c r="E9" i="3"/>
  <c r="C9" i="3"/>
  <c r="M8" i="3"/>
  <c r="R8" i="3" s="1"/>
  <c r="K8" i="3"/>
  <c r="F8" i="3"/>
  <c r="E8" i="3"/>
  <c r="I7" i="3"/>
  <c r="H7" i="3"/>
  <c r="G7" i="3"/>
  <c r="F7" i="3"/>
  <c r="E7" i="3"/>
  <c r="C7" i="3"/>
  <c r="M6" i="3"/>
  <c r="R6" i="3" s="1"/>
  <c r="K6" i="3"/>
  <c r="F6" i="3"/>
  <c r="E6" i="3"/>
  <c r="L49" i="2"/>
  <c r="L48" i="2"/>
  <c r="L47" i="2"/>
  <c r="L46" i="2"/>
  <c r="N45" i="2"/>
  <c r="L45" i="2"/>
  <c r="N44"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I1853" i="18"/>
  <c r="G1853" i="18"/>
  <c r="F1853" i="18"/>
  <c r="E1853" i="18"/>
  <c r="F1849" i="18"/>
  <c r="E1849" i="18"/>
  <c r="D1849" i="18"/>
  <c r="C1849" i="18"/>
  <c r="I1839" i="18"/>
  <c r="G1839" i="18"/>
  <c r="F1839" i="18"/>
  <c r="E1839" i="18"/>
  <c r="F1835" i="18"/>
  <c r="E1835" i="18"/>
  <c r="D1835" i="18"/>
  <c r="C1835" i="18"/>
  <c r="G1831" i="18"/>
  <c r="I1825" i="18"/>
  <c r="G1825" i="18"/>
  <c r="F1825" i="18"/>
  <c r="E1825" i="18"/>
  <c r="I1824" i="18"/>
  <c r="G1824" i="18"/>
  <c r="F1824" i="18"/>
  <c r="E1824" i="18"/>
  <c r="I1822" i="18"/>
  <c r="G1822" i="18"/>
  <c r="F1822" i="18"/>
  <c r="E1822" i="18"/>
  <c r="F1819" i="18"/>
  <c r="E1819" i="18"/>
  <c r="D1819" i="18"/>
  <c r="C1819" i="18"/>
  <c r="I1809" i="18"/>
  <c r="I1808" i="18"/>
  <c r="G1808" i="18"/>
  <c r="F1808" i="18"/>
  <c r="E1808" i="18"/>
  <c r="I1806" i="18"/>
  <c r="G1806" i="18"/>
  <c r="F1806" i="18"/>
  <c r="E1806" i="18"/>
  <c r="F1803" i="18"/>
  <c r="E1803" i="18"/>
  <c r="D1803" i="18"/>
  <c r="C1803" i="18"/>
  <c r="I1793" i="18"/>
  <c r="G1793" i="18"/>
  <c r="F1793" i="18"/>
  <c r="E1793" i="18"/>
  <c r="I1791" i="18"/>
  <c r="G1791" i="18"/>
  <c r="F1791" i="18"/>
  <c r="E1791" i="18"/>
  <c r="F1788" i="18"/>
  <c r="E1788" i="18"/>
  <c r="D1788" i="18"/>
  <c r="C1788" i="18"/>
  <c r="I1778" i="18"/>
  <c r="I1777" i="18"/>
  <c r="G1777" i="18"/>
  <c r="F1777" i="18"/>
  <c r="E1777" i="18"/>
  <c r="I1775" i="18"/>
  <c r="G1775" i="18"/>
  <c r="F1775" i="18"/>
  <c r="E1775" i="18"/>
  <c r="I1773" i="18"/>
  <c r="I1772" i="18"/>
  <c r="G1772" i="18"/>
  <c r="F1772" i="18"/>
  <c r="E1772" i="18"/>
  <c r="I1771" i="18"/>
  <c r="G1771" i="18"/>
  <c r="F1771" i="18"/>
  <c r="E1771" i="18"/>
  <c r="I1770" i="18"/>
  <c r="G1770" i="18"/>
  <c r="F1770" i="18"/>
  <c r="E1770" i="18"/>
  <c r="F1768" i="18"/>
  <c r="E1768" i="18"/>
  <c r="D1768" i="18"/>
  <c r="C1768" i="18"/>
  <c r="G1761" i="18"/>
  <c r="I1758" i="18"/>
  <c r="I1757" i="18"/>
  <c r="G1757" i="18"/>
  <c r="F1757" i="18"/>
  <c r="E1757" i="18"/>
  <c r="I1755" i="18"/>
  <c r="G1755" i="18"/>
  <c r="F1755" i="18"/>
  <c r="E1755" i="18"/>
  <c r="I1753" i="18"/>
  <c r="I1752" i="18"/>
  <c r="G1752" i="18"/>
  <c r="F1752" i="18"/>
  <c r="E1752" i="18"/>
  <c r="I1751" i="18"/>
  <c r="G1751" i="18"/>
  <c r="F1751" i="18"/>
  <c r="E1751" i="18"/>
  <c r="I1750" i="18"/>
  <c r="G1750" i="18"/>
  <c r="F1750" i="18"/>
  <c r="E1750" i="18"/>
  <c r="F1748" i="18"/>
  <c r="E1748" i="18"/>
  <c r="D1748" i="18"/>
  <c r="C1748" i="18"/>
  <c r="I1738" i="18"/>
  <c r="G1738" i="18"/>
  <c r="F1738" i="18"/>
  <c r="E1738" i="18"/>
  <c r="I1736" i="18"/>
  <c r="G1736" i="18"/>
  <c r="F1736" i="18"/>
  <c r="E1736" i="18"/>
  <c r="I1734" i="18"/>
  <c r="G1734" i="18"/>
  <c r="F1734" i="18"/>
  <c r="E1734" i="18"/>
  <c r="I1733" i="18"/>
  <c r="G1733" i="18"/>
  <c r="F1733" i="18"/>
  <c r="E1733" i="18"/>
  <c r="F1731" i="18"/>
  <c r="E1731" i="18"/>
  <c r="D1731" i="18"/>
  <c r="C1731" i="18"/>
  <c r="I1721" i="18"/>
  <c r="I1720" i="18"/>
  <c r="G1720" i="18"/>
  <c r="F1720" i="18"/>
  <c r="E1720" i="18"/>
  <c r="I1719" i="18"/>
  <c r="G1719" i="18"/>
  <c r="F1719" i="18"/>
  <c r="E1719" i="18"/>
  <c r="I1718" i="18"/>
  <c r="G1718" i="18"/>
  <c r="F1718" i="18"/>
  <c r="E1718" i="18"/>
  <c r="I1716" i="18"/>
  <c r="G1716" i="18"/>
  <c r="F1716" i="18"/>
  <c r="E1716" i="18"/>
  <c r="I1714" i="18"/>
  <c r="I1713" i="18"/>
  <c r="G1713" i="18"/>
  <c r="F1713" i="18"/>
  <c r="E1713" i="18"/>
  <c r="I1712" i="18"/>
  <c r="G1712" i="18"/>
  <c r="F1712" i="18"/>
  <c r="E1712" i="18"/>
  <c r="I1711" i="18"/>
  <c r="G1711" i="18"/>
  <c r="F1711" i="18"/>
  <c r="E1711" i="18"/>
  <c r="I1710" i="18"/>
  <c r="G1710" i="18"/>
  <c r="F1710" i="18"/>
  <c r="E1710" i="18"/>
  <c r="F1708" i="18"/>
  <c r="E1708" i="18"/>
  <c r="D1708" i="18"/>
  <c r="C1708" i="18"/>
  <c r="I1698" i="18"/>
  <c r="G1698" i="18"/>
  <c r="F1698" i="18"/>
  <c r="E1698" i="18"/>
  <c r="I1696" i="18"/>
  <c r="G1696" i="18"/>
  <c r="F1696" i="18"/>
  <c r="E1696" i="18"/>
  <c r="F1693" i="18"/>
  <c r="E1693" i="18"/>
  <c r="D1693" i="18"/>
  <c r="C1693" i="18"/>
  <c r="I1683" i="18"/>
  <c r="G1683" i="18"/>
  <c r="F1683" i="18"/>
  <c r="E1683" i="18"/>
  <c r="I1681" i="18"/>
  <c r="G1681" i="18"/>
  <c r="F1681" i="18"/>
  <c r="E1681" i="18"/>
  <c r="I1679" i="18"/>
  <c r="I1678" i="18"/>
  <c r="G1678" i="18"/>
  <c r="F1678" i="18"/>
  <c r="E1678" i="18"/>
  <c r="I1677" i="18"/>
  <c r="G1677" i="18"/>
  <c r="F1677" i="18"/>
  <c r="E1677" i="18"/>
  <c r="I1676" i="18"/>
  <c r="G1676" i="18"/>
  <c r="F1676" i="18"/>
  <c r="E1676" i="18"/>
  <c r="I1675" i="18"/>
  <c r="G1675" i="18"/>
  <c r="F1675" i="18"/>
  <c r="E1675" i="18"/>
  <c r="F1673" i="18"/>
  <c r="E1673" i="18"/>
  <c r="D1673" i="18"/>
  <c r="C1673" i="18"/>
  <c r="I1663" i="18"/>
  <c r="G1663" i="18"/>
  <c r="F1663" i="18"/>
  <c r="E1663" i="18"/>
  <c r="I1662" i="18"/>
  <c r="G1662" i="18"/>
  <c r="F1662" i="18"/>
  <c r="E1662" i="18"/>
  <c r="I1660" i="18"/>
  <c r="G1660" i="18"/>
  <c r="F1660" i="18"/>
  <c r="E1660" i="18"/>
  <c r="I1658" i="18"/>
  <c r="I1657" i="18"/>
  <c r="G1657" i="18"/>
  <c r="F1657" i="18"/>
  <c r="E1657" i="18"/>
  <c r="I1656" i="18"/>
  <c r="G1656" i="18"/>
  <c r="F1656" i="18"/>
  <c r="E1656" i="18"/>
  <c r="I1655" i="18"/>
  <c r="G1655" i="18"/>
  <c r="F1655" i="18"/>
  <c r="E1655" i="18"/>
  <c r="I1654" i="18"/>
  <c r="G1654" i="18"/>
  <c r="F1654" i="18"/>
  <c r="E1654" i="18"/>
  <c r="F1652" i="18"/>
  <c r="E1652" i="18"/>
  <c r="D1652" i="18"/>
  <c r="C1652" i="18"/>
  <c r="I1642" i="18"/>
  <c r="G1642" i="18"/>
  <c r="F1642" i="18"/>
  <c r="E1642" i="18"/>
  <c r="I1641" i="18"/>
  <c r="G1641" i="18"/>
  <c r="F1641" i="18"/>
  <c r="E1641" i="18"/>
  <c r="I1639" i="18"/>
  <c r="G1639" i="18"/>
  <c r="F1639" i="18"/>
  <c r="E1639" i="18"/>
  <c r="I1637" i="18"/>
  <c r="I1636" i="18"/>
  <c r="G1636" i="18"/>
  <c r="F1636" i="18"/>
  <c r="E1636" i="18"/>
  <c r="I1635" i="18"/>
  <c r="G1635" i="18"/>
  <c r="F1635" i="18"/>
  <c r="E1635" i="18"/>
  <c r="I1634" i="18"/>
  <c r="G1634" i="18"/>
  <c r="F1634" i="18"/>
  <c r="E1634" i="18"/>
  <c r="I1633" i="18"/>
  <c r="G1633" i="18"/>
  <c r="F1633" i="18"/>
  <c r="E1633" i="18"/>
  <c r="F1631" i="18"/>
  <c r="E1631" i="18"/>
  <c r="D1631" i="18"/>
  <c r="C1631" i="18"/>
  <c r="I1621" i="18"/>
  <c r="G1621" i="18"/>
  <c r="F1621" i="18"/>
  <c r="E1621" i="18"/>
  <c r="I1620" i="18"/>
  <c r="G1620" i="18"/>
  <c r="F1620" i="18"/>
  <c r="E1620" i="18"/>
  <c r="I1618" i="18"/>
  <c r="G1618" i="18"/>
  <c r="F1618" i="18"/>
  <c r="E1618" i="18"/>
  <c r="I1616" i="18"/>
  <c r="I1615" i="18"/>
  <c r="G1615" i="18"/>
  <c r="F1615" i="18"/>
  <c r="E1615" i="18"/>
  <c r="I1614" i="18"/>
  <c r="G1614" i="18"/>
  <c r="F1614" i="18"/>
  <c r="E1614" i="18"/>
  <c r="I1613" i="18"/>
  <c r="G1613" i="18"/>
  <c r="F1613" i="18"/>
  <c r="E1613" i="18"/>
  <c r="I1612" i="18"/>
  <c r="G1612" i="18"/>
  <c r="F1612" i="18"/>
  <c r="E1612" i="18"/>
  <c r="F1610" i="18"/>
  <c r="E1610" i="18"/>
  <c r="D1610" i="18"/>
  <c r="C1610" i="18"/>
  <c r="I1597" i="18"/>
  <c r="G1597" i="18"/>
  <c r="F1597" i="18"/>
  <c r="E1597" i="18"/>
  <c r="F1595" i="18"/>
  <c r="E1595" i="18"/>
  <c r="D1595" i="18"/>
  <c r="C1595" i="18"/>
  <c r="I1584" i="18"/>
  <c r="G1584" i="18"/>
  <c r="F1584" i="18"/>
  <c r="E1584" i="18"/>
  <c r="I1582" i="18"/>
  <c r="I1581" i="18"/>
  <c r="G1581" i="18"/>
  <c r="F1581" i="18"/>
  <c r="E1581" i="18"/>
  <c r="I1580" i="18"/>
  <c r="G1580" i="18"/>
  <c r="F1580" i="18"/>
  <c r="E1580" i="18"/>
  <c r="F1578" i="18"/>
  <c r="E1578" i="18"/>
  <c r="D1578" i="18"/>
  <c r="C1578" i="18"/>
  <c r="I1567" i="18"/>
  <c r="G1567" i="18"/>
  <c r="F1567" i="18"/>
  <c r="E1567" i="18"/>
  <c r="I1565" i="18"/>
  <c r="G1565" i="18"/>
  <c r="F1565" i="18"/>
  <c r="E1565" i="18"/>
  <c r="I1564" i="18"/>
  <c r="G1564" i="18"/>
  <c r="F1564" i="18"/>
  <c r="E1564" i="18"/>
  <c r="I1563" i="18"/>
  <c r="G1563" i="18"/>
  <c r="F1563" i="18"/>
  <c r="E1563" i="18"/>
  <c r="F1561" i="18"/>
  <c r="E1561" i="18"/>
  <c r="D1561" i="18"/>
  <c r="C1561" i="18"/>
  <c r="I1550" i="18"/>
  <c r="G1550" i="18"/>
  <c r="F1550" i="18"/>
  <c r="E1550" i="18"/>
  <c r="I1548" i="18"/>
  <c r="G1548" i="18"/>
  <c r="F1548" i="18"/>
  <c r="E1548" i="18"/>
  <c r="I1547" i="18"/>
  <c r="G1547" i="18"/>
  <c r="F1547" i="18"/>
  <c r="E1547" i="18"/>
  <c r="I1546" i="18"/>
  <c r="G1546" i="18"/>
  <c r="F1546" i="18"/>
  <c r="E1546" i="18"/>
  <c r="F1544" i="18"/>
  <c r="E1544" i="18"/>
  <c r="D1544" i="18"/>
  <c r="C1544" i="18"/>
  <c r="I1533" i="18"/>
  <c r="G1533" i="18"/>
  <c r="F1533" i="18"/>
  <c r="E1533" i="18"/>
  <c r="I1531" i="18"/>
  <c r="G1531" i="18"/>
  <c r="F1531" i="18"/>
  <c r="E1531" i="18"/>
  <c r="I1530" i="18"/>
  <c r="G1530" i="18"/>
  <c r="F1530" i="18"/>
  <c r="E1530" i="18"/>
  <c r="I1529" i="18"/>
  <c r="G1529" i="18"/>
  <c r="F1529" i="18"/>
  <c r="E1529" i="18"/>
  <c r="F1527" i="18"/>
  <c r="E1527" i="18"/>
  <c r="D1527" i="18"/>
  <c r="C1527" i="18"/>
  <c r="I1517" i="18"/>
  <c r="I1516" i="18"/>
  <c r="G1516" i="18"/>
  <c r="F1516" i="18"/>
  <c r="E1516" i="18"/>
  <c r="I1514" i="18"/>
  <c r="G1514" i="18"/>
  <c r="F1514" i="18"/>
  <c r="E1514" i="18"/>
  <c r="I1512" i="18"/>
  <c r="I1511" i="18"/>
  <c r="G1511" i="18"/>
  <c r="F1511" i="18"/>
  <c r="E1511" i="18"/>
  <c r="F1509" i="18"/>
  <c r="E1509" i="18"/>
  <c r="D1509" i="18"/>
  <c r="C1509" i="18"/>
  <c r="G1505" i="18"/>
  <c r="I1499" i="18"/>
  <c r="I1498" i="18"/>
  <c r="G1498" i="18"/>
  <c r="F1498" i="18"/>
  <c r="E1498" i="18"/>
  <c r="I1496" i="18"/>
  <c r="G1496" i="18"/>
  <c r="F1496" i="18"/>
  <c r="E1496" i="18"/>
  <c r="I1494" i="18"/>
  <c r="I1493" i="18"/>
  <c r="G1493" i="18"/>
  <c r="F1493" i="18"/>
  <c r="E1493" i="18"/>
  <c r="F1491" i="18"/>
  <c r="E1491" i="18"/>
  <c r="D1491" i="18"/>
  <c r="C1491" i="18"/>
  <c r="I1481" i="18"/>
  <c r="I1480" i="18"/>
  <c r="G1480" i="18"/>
  <c r="F1480" i="18"/>
  <c r="E1480" i="18"/>
  <c r="I1478" i="18"/>
  <c r="G1478" i="18"/>
  <c r="F1478" i="18"/>
  <c r="E1478" i="18"/>
  <c r="I1476" i="18"/>
  <c r="I1475" i="18"/>
  <c r="G1475" i="18"/>
  <c r="F1475" i="18"/>
  <c r="E1475" i="18"/>
  <c r="F1473" i="18"/>
  <c r="E1473" i="18"/>
  <c r="D1473" i="18"/>
  <c r="C1473" i="18"/>
  <c r="I1463" i="18"/>
  <c r="I1462" i="18"/>
  <c r="G1462" i="18"/>
  <c r="F1462" i="18"/>
  <c r="E1462" i="18"/>
  <c r="I1460" i="18"/>
  <c r="G1460" i="18"/>
  <c r="F1460" i="18"/>
  <c r="E1460" i="18"/>
  <c r="I1458" i="18"/>
  <c r="I1457" i="18"/>
  <c r="G1457" i="18"/>
  <c r="F1457" i="18"/>
  <c r="E1457" i="18"/>
  <c r="F1455" i="18"/>
  <c r="E1455" i="18"/>
  <c r="D1455" i="18"/>
  <c r="C1455" i="18"/>
  <c r="I1445" i="18"/>
  <c r="I1444" i="18"/>
  <c r="G1444" i="18"/>
  <c r="F1444" i="18"/>
  <c r="E1444" i="18"/>
  <c r="I1442" i="18"/>
  <c r="G1442" i="18"/>
  <c r="F1442" i="18"/>
  <c r="E1442" i="18"/>
  <c r="I1440" i="18"/>
  <c r="I1439" i="18"/>
  <c r="G1439" i="18"/>
  <c r="F1439" i="18"/>
  <c r="E1439" i="18"/>
  <c r="F1437" i="18"/>
  <c r="E1437" i="18"/>
  <c r="D1437" i="18"/>
  <c r="C1437" i="18"/>
  <c r="I1426" i="18"/>
  <c r="G1426" i="18"/>
  <c r="F1426" i="18"/>
  <c r="E1426" i="18"/>
  <c r="I1424" i="18"/>
  <c r="G1424" i="18"/>
  <c r="F1424" i="18"/>
  <c r="E1424" i="18"/>
  <c r="I1423" i="18"/>
  <c r="G1423" i="18"/>
  <c r="F1423" i="18"/>
  <c r="E1423" i="18"/>
  <c r="F1421" i="18"/>
  <c r="E1421" i="18"/>
  <c r="D1421" i="18"/>
  <c r="C1421" i="18"/>
  <c r="I1411" i="18"/>
  <c r="G1411" i="18"/>
  <c r="F1411" i="18"/>
  <c r="E1411" i="18"/>
  <c r="I1409" i="18"/>
  <c r="G1409" i="18"/>
  <c r="F1409" i="18"/>
  <c r="E1409" i="18"/>
  <c r="I1407" i="18"/>
  <c r="I1406" i="18"/>
  <c r="G1406" i="18"/>
  <c r="F1406" i="18"/>
  <c r="E1406" i="18"/>
  <c r="I1405" i="18"/>
  <c r="G1405" i="18"/>
  <c r="F1405" i="18"/>
  <c r="E1405" i="18"/>
  <c r="I1404" i="18"/>
  <c r="G1404" i="18"/>
  <c r="F1404" i="18"/>
  <c r="E1404" i="18"/>
  <c r="I1403" i="18"/>
  <c r="G1403" i="18"/>
  <c r="F1403" i="18"/>
  <c r="E1403" i="18"/>
  <c r="I1402" i="18"/>
  <c r="G1402" i="18"/>
  <c r="F1402" i="18"/>
  <c r="E1402" i="18"/>
  <c r="F1400" i="18"/>
  <c r="E1400" i="18"/>
  <c r="D1400" i="18"/>
  <c r="C1400" i="18"/>
  <c r="I1389" i="18"/>
  <c r="G1389" i="18"/>
  <c r="F1389" i="18"/>
  <c r="E1389" i="18"/>
  <c r="I1387" i="18"/>
  <c r="G1387" i="18"/>
  <c r="F1387" i="18"/>
  <c r="E1387" i="18"/>
  <c r="F1384" i="18"/>
  <c r="E1384" i="18"/>
  <c r="D1384" i="18"/>
  <c r="C1384" i="18"/>
  <c r="G1380" i="18"/>
  <c r="I1374" i="18"/>
  <c r="G1374" i="18"/>
  <c r="F1374" i="18"/>
  <c r="E1374" i="18"/>
  <c r="I1372" i="18"/>
  <c r="G1372" i="18"/>
  <c r="F1372" i="18"/>
  <c r="E1372" i="18"/>
  <c r="F1369" i="18"/>
  <c r="E1369" i="18"/>
  <c r="D1369" i="18"/>
  <c r="C1369" i="18"/>
  <c r="I1359" i="18"/>
  <c r="G1359" i="18"/>
  <c r="F1359" i="18"/>
  <c r="E1359" i="18"/>
  <c r="I1357" i="18"/>
  <c r="G1357" i="18"/>
  <c r="F1357" i="18"/>
  <c r="E1357" i="18"/>
  <c r="F1354" i="18"/>
  <c r="E1354" i="18"/>
  <c r="D1354" i="18"/>
  <c r="C1354" i="18"/>
  <c r="I1344" i="18"/>
  <c r="G1344" i="18"/>
  <c r="F1344" i="18"/>
  <c r="E1344" i="18"/>
  <c r="I1342" i="18"/>
  <c r="G1342" i="18"/>
  <c r="F1342" i="18"/>
  <c r="E1342" i="18"/>
  <c r="F1339" i="18"/>
  <c r="E1339" i="18"/>
  <c r="D1339" i="18"/>
  <c r="C1339" i="18"/>
  <c r="I1328" i="18"/>
  <c r="G1328" i="18"/>
  <c r="F1328" i="18"/>
  <c r="E1328" i="18"/>
  <c r="I1327" i="18"/>
  <c r="G1327" i="18"/>
  <c r="F1327" i="18"/>
  <c r="E1327" i="18"/>
  <c r="I1325" i="18"/>
  <c r="G1325" i="18"/>
  <c r="F1325" i="18"/>
  <c r="E1325" i="18"/>
  <c r="F1322" i="18"/>
  <c r="E1322" i="18"/>
  <c r="D1322" i="18"/>
  <c r="C1322" i="18"/>
  <c r="I1311" i="18"/>
  <c r="G1311" i="18"/>
  <c r="F1311" i="18"/>
  <c r="E1311" i="18"/>
  <c r="I1309" i="18"/>
  <c r="G1309" i="18"/>
  <c r="F1309" i="18"/>
  <c r="E1309" i="18"/>
  <c r="I1307" i="18"/>
  <c r="G1307" i="18"/>
  <c r="F1307" i="18"/>
  <c r="E1307" i="18"/>
  <c r="I1306" i="18"/>
  <c r="G1306" i="18"/>
  <c r="F1306" i="18"/>
  <c r="E1306" i="18"/>
  <c r="I1305" i="18"/>
  <c r="G1305" i="18"/>
  <c r="F1305" i="18"/>
  <c r="E1305" i="18"/>
  <c r="I1304" i="18"/>
  <c r="G1304" i="18"/>
  <c r="F1304" i="18"/>
  <c r="E1304" i="18"/>
  <c r="I1303" i="18"/>
  <c r="G1303" i="18"/>
  <c r="F1303" i="18"/>
  <c r="E1303" i="18"/>
  <c r="F1301" i="18"/>
  <c r="E1301" i="18"/>
  <c r="D1301" i="18"/>
  <c r="C1301" i="18"/>
  <c r="I1291" i="18"/>
  <c r="G1291" i="18"/>
  <c r="F1291" i="18"/>
  <c r="E1291" i="18"/>
  <c r="I1289" i="18"/>
  <c r="G1289" i="18"/>
  <c r="F1289" i="18"/>
  <c r="E1289" i="18"/>
  <c r="F1286" i="18"/>
  <c r="E1286" i="18"/>
  <c r="D1286" i="18"/>
  <c r="C1286" i="18"/>
  <c r="I1275" i="18"/>
  <c r="I1274" i="18"/>
  <c r="G1274" i="18"/>
  <c r="F1274" i="18"/>
  <c r="E1274" i="18"/>
  <c r="I1272" i="18"/>
  <c r="G1272" i="18"/>
  <c r="F1272" i="18"/>
  <c r="E1272" i="18"/>
  <c r="I1270" i="18"/>
  <c r="I1269" i="18"/>
  <c r="G1269" i="18"/>
  <c r="F1269" i="18"/>
  <c r="E1269" i="18"/>
  <c r="I1268" i="18"/>
  <c r="G1268" i="18"/>
  <c r="F1268" i="18"/>
  <c r="E1268" i="18"/>
  <c r="I1267" i="18"/>
  <c r="G1267" i="18"/>
  <c r="F1267" i="18"/>
  <c r="E1267" i="18"/>
  <c r="F1265" i="18"/>
  <c r="E1265" i="18"/>
  <c r="D1265" i="18"/>
  <c r="C1265" i="18"/>
  <c r="I1254" i="18"/>
  <c r="G1254" i="18"/>
  <c r="F1254" i="18"/>
  <c r="E1254" i="18"/>
  <c r="I1252" i="18"/>
  <c r="G1252" i="18"/>
  <c r="F1252" i="18"/>
  <c r="E1252" i="18"/>
  <c r="I1251" i="18"/>
  <c r="G1251" i="18"/>
  <c r="F1251" i="18"/>
  <c r="E1251" i="18"/>
  <c r="F1249" i="18"/>
  <c r="E1249" i="18"/>
  <c r="D1249" i="18"/>
  <c r="C1249" i="18"/>
  <c r="I1238" i="18"/>
  <c r="G1238" i="18"/>
  <c r="F1238" i="18"/>
  <c r="E1238" i="18"/>
  <c r="I1236" i="18"/>
  <c r="I1235" i="18"/>
  <c r="G1235" i="18"/>
  <c r="F1235" i="18"/>
  <c r="E1235" i="18"/>
  <c r="F1233" i="18"/>
  <c r="E1233" i="18"/>
  <c r="D1233" i="18"/>
  <c r="C1233" i="18"/>
  <c r="I1223" i="18"/>
  <c r="G1223" i="18"/>
  <c r="F1223" i="18"/>
  <c r="E1223" i="18"/>
  <c r="I1222" i="18"/>
  <c r="G1222" i="18"/>
  <c r="F1222" i="18"/>
  <c r="E1222" i="18"/>
  <c r="I1220" i="18"/>
  <c r="G1220" i="18"/>
  <c r="F1220" i="18"/>
  <c r="E1220" i="18"/>
  <c r="I1218" i="18"/>
  <c r="I1217" i="18"/>
  <c r="G1217" i="18"/>
  <c r="F1217" i="18"/>
  <c r="E1217" i="18"/>
  <c r="I1216" i="18"/>
  <c r="G1216" i="18"/>
  <c r="F1216" i="18"/>
  <c r="E1216" i="18"/>
  <c r="I1215" i="18"/>
  <c r="G1215" i="18"/>
  <c r="F1215" i="18"/>
  <c r="E1215" i="18"/>
  <c r="I1214" i="18"/>
  <c r="G1214" i="18"/>
  <c r="F1214" i="18"/>
  <c r="E1214" i="18"/>
  <c r="F1212" i="18"/>
  <c r="E1212" i="18"/>
  <c r="D1212" i="18"/>
  <c r="C1212" i="18"/>
  <c r="I1201" i="18"/>
  <c r="I1200" i="18"/>
  <c r="G1200" i="18"/>
  <c r="F1200" i="18"/>
  <c r="E1200" i="18"/>
  <c r="I1199" i="18"/>
  <c r="G1199" i="18"/>
  <c r="F1199" i="18"/>
  <c r="E1199" i="18"/>
  <c r="I1197" i="18"/>
  <c r="G1197" i="18"/>
  <c r="F1197" i="18"/>
  <c r="E1197" i="18"/>
  <c r="F1194" i="18"/>
  <c r="E1194" i="18"/>
  <c r="D1194" i="18"/>
  <c r="C1194" i="18"/>
  <c r="I1183" i="18"/>
  <c r="G1183" i="18"/>
  <c r="F1183" i="18"/>
  <c r="E1183" i="18"/>
  <c r="I1181" i="18"/>
  <c r="G1181" i="18"/>
  <c r="F1181" i="18"/>
  <c r="E1181" i="18"/>
  <c r="I1180" i="18"/>
  <c r="G1180" i="18"/>
  <c r="F1180" i="18"/>
  <c r="E1180" i="18"/>
  <c r="I1179" i="18"/>
  <c r="G1179" i="18"/>
  <c r="F1179" i="18"/>
  <c r="E1179" i="18"/>
  <c r="F1177" i="18"/>
  <c r="E1177" i="18"/>
  <c r="D1177" i="18"/>
  <c r="C1177" i="18"/>
  <c r="I1166" i="18"/>
  <c r="G1166" i="18"/>
  <c r="F1166" i="18"/>
  <c r="E1166" i="18"/>
  <c r="I1164" i="18"/>
  <c r="I1163" i="18"/>
  <c r="G1163" i="18"/>
  <c r="F1163" i="18"/>
  <c r="E1163" i="18"/>
  <c r="F1161" i="18"/>
  <c r="E1161" i="18"/>
  <c r="D1161" i="18"/>
  <c r="C1161" i="18"/>
  <c r="I1150" i="18"/>
  <c r="G1150" i="18"/>
  <c r="F1150" i="18"/>
  <c r="E1150" i="18"/>
  <c r="I1148" i="18"/>
  <c r="I1147" i="18"/>
  <c r="G1147" i="18"/>
  <c r="F1147" i="18"/>
  <c r="E1147" i="18"/>
  <c r="F1145" i="18"/>
  <c r="E1145" i="18"/>
  <c r="D1145" i="18"/>
  <c r="C1145" i="18"/>
  <c r="G1140" i="18"/>
  <c r="I1134" i="18"/>
  <c r="G1134" i="18"/>
  <c r="I1133" i="18"/>
  <c r="G1133" i="18"/>
  <c r="F1133" i="18"/>
  <c r="E1133" i="18"/>
  <c r="I1131" i="18"/>
  <c r="G1131" i="18"/>
  <c r="F1131" i="18"/>
  <c r="E1131" i="18"/>
  <c r="I1129" i="18"/>
  <c r="I1128" i="18"/>
  <c r="G1128" i="18"/>
  <c r="F1128" i="18"/>
  <c r="E1128" i="18"/>
  <c r="I1127" i="18"/>
  <c r="G1127" i="18"/>
  <c r="F1127" i="18"/>
  <c r="E1127" i="18"/>
  <c r="I1126" i="18"/>
  <c r="G1126" i="18"/>
  <c r="F1126" i="18"/>
  <c r="E1126" i="18"/>
  <c r="F1124" i="18"/>
  <c r="E1124" i="18"/>
  <c r="D1124" i="18"/>
  <c r="C1124" i="18"/>
  <c r="I1114" i="18"/>
  <c r="G1114" i="18"/>
  <c r="F1114" i="18"/>
  <c r="E1114" i="18"/>
  <c r="I1112" i="18"/>
  <c r="G1112" i="18"/>
  <c r="F1112" i="18"/>
  <c r="E1112" i="18"/>
  <c r="I1110" i="18"/>
  <c r="G1110" i="18"/>
  <c r="F1110" i="18"/>
  <c r="E1110" i="18"/>
  <c r="I1109" i="18"/>
  <c r="G1109" i="18"/>
  <c r="F1109" i="18"/>
  <c r="E1109" i="18"/>
  <c r="F1107" i="18"/>
  <c r="E1107" i="18"/>
  <c r="D1107" i="18"/>
  <c r="C1107" i="18"/>
  <c r="G1103" i="18"/>
  <c r="I1097" i="18"/>
  <c r="G1097" i="18"/>
  <c r="F1097" i="18"/>
  <c r="E1097" i="18"/>
  <c r="I1095" i="18"/>
  <c r="G1095" i="18"/>
  <c r="F1095" i="18"/>
  <c r="E1095" i="18"/>
  <c r="F1092" i="18"/>
  <c r="E1092" i="18"/>
  <c r="D1092" i="18"/>
  <c r="C1092" i="18"/>
  <c r="I1082" i="18"/>
  <c r="G1082" i="18"/>
  <c r="F1082" i="18"/>
  <c r="E1082" i="18"/>
  <c r="I1080" i="18"/>
  <c r="G1080" i="18"/>
  <c r="F1080" i="18"/>
  <c r="E1080" i="18"/>
  <c r="I1078" i="18"/>
  <c r="I1077" i="18"/>
  <c r="G1077" i="18"/>
  <c r="F1077" i="18"/>
  <c r="E1077" i="18"/>
  <c r="I1076" i="18"/>
  <c r="G1076" i="18"/>
  <c r="F1076" i="18"/>
  <c r="E1076" i="18"/>
  <c r="I1075" i="18"/>
  <c r="G1075" i="18"/>
  <c r="F1075" i="18"/>
  <c r="E1075" i="18"/>
  <c r="I1074" i="18"/>
  <c r="G1074" i="18"/>
  <c r="F1074" i="18"/>
  <c r="E1074" i="18"/>
  <c r="F1072" i="18"/>
  <c r="E1072" i="18"/>
  <c r="D1072" i="18"/>
  <c r="C1072" i="18"/>
  <c r="I1062" i="18"/>
  <c r="I1061" i="18"/>
  <c r="G1061" i="18"/>
  <c r="F1061" i="18"/>
  <c r="E1061" i="18"/>
  <c r="I1059" i="18"/>
  <c r="G1059" i="18"/>
  <c r="F1059" i="18"/>
  <c r="E1059" i="18"/>
  <c r="I1057" i="18"/>
  <c r="I1056" i="18"/>
  <c r="G1056" i="18"/>
  <c r="F1056" i="18"/>
  <c r="E1056" i="18"/>
  <c r="I1055" i="18"/>
  <c r="G1055" i="18"/>
  <c r="F1055" i="18"/>
  <c r="E1055" i="18"/>
  <c r="I1054" i="18"/>
  <c r="G1054" i="18"/>
  <c r="F1054" i="18"/>
  <c r="E1054" i="18"/>
  <c r="F1052" i="18"/>
  <c r="E1052" i="18"/>
  <c r="D1052" i="18"/>
  <c r="C1052" i="18"/>
  <c r="I1042" i="18"/>
  <c r="G1042" i="18"/>
  <c r="F1042" i="18"/>
  <c r="E1042" i="18"/>
  <c r="I1040" i="18"/>
  <c r="G1040" i="18"/>
  <c r="F1040" i="18"/>
  <c r="E1040" i="18"/>
  <c r="I1038" i="18"/>
  <c r="G1038" i="18"/>
  <c r="F1038" i="18"/>
  <c r="E1038" i="18"/>
  <c r="I1037" i="18"/>
  <c r="G1037" i="18"/>
  <c r="F1037" i="18"/>
  <c r="E1037" i="18"/>
  <c r="F1035" i="18"/>
  <c r="E1035" i="18"/>
  <c r="D1035" i="18"/>
  <c r="C1035" i="18"/>
  <c r="I1025" i="18"/>
  <c r="I1024" i="18"/>
  <c r="G1024" i="18"/>
  <c r="F1024" i="18"/>
  <c r="E1024" i="18"/>
  <c r="I1023" i="18"/>
  <c r="G1023" i="18"/>
  <c r="F1023" i="18"/>
  <c r="E1023" i="18"/>
  <c r="I1022" i="18"/>
  <c r="G1022" i="18"/>
  <c r="F1022" i="18"/>
  <c r="E1022" i="18"/>
  <c r="I1020" i="18"/>
  <c r="G1020" i="18"/>
  <c r="F1020" i="18"/>
  <c r="E1020" i="18"/>
  <c r="I1018" i="18"/>
  <c r="I1017" i="18"/>
  <c r="G1017" i="18"/>
  <c r="F1017" i="18"/>
  <c r="E1017" i="18"/>
  <c r="I1016" i="18"/>
  <c r="G1016" i="18"/>
  <c r="F1016" i="18"/>
  <c r="E1016" i="18"/>
  <c r="I1015" i="18"/>
  <c r="G1015" i="18"/>
  <c r="F1015" i="18"/>
  <c r="E1015" i="18"/>
  <c r="I1014" i="18"/>
  <c r="G1014" i="18"/>
  <c r="F1014" i="18"/>
  <c r="E1014" i="18"/>
  <c r="F1012" i="18"/>
  <c r="E1012" i="18"/>
  <c r="D1012" i="18"/>
  <c r="C1012" i="18"/>
  <c r="I1002" i="18"/>
  <c r="G1002" i="18"/>
  <c r="F1002" i="18"/>
  <c r="E1002" i="18"/>
  <c r="I1000" i="18"/>
  <c r="G1000" i="18"/>
  <c r="F1000" i="18"/>
  <c r="E1000" i="18"/>
  <c r="I998" i="18"/>
  <c r="I997" i="18"/>
  <c r="G997" i="18"/>
  <c r="F997" i="18"/>
  <c r="E997" i="18"/>
  <c r="I996" i="18"/>
  <c r="G996" i="18"/>
  <c r="F996" i="18"/>
  <c r="E996" i="18"/>
  <c r="I995" i="18"/>
  <c r="G995" i="18"/>
  <c r="F995" i="18"/>
  <c r="E995" i="18"/>
  <c r="F993" i="18"/>
  <c r="E993" i="18"/>
  <c r="D993" i="18"/>
  <c r="C993" i="18"/>
  <c r="I983" i="18"/>
  <c r="G983" i="18"/>
  <c r="F983" i="18"/>
  <c r="E983" i="18"/>
  <c r="I981" i="18"/>
  <c r="G981" i="18"/>
  <c r="F981" i="18"/>
  <c r="E981" i="18"/>
  <c r="I979" i="18"/>
  <c r="I978" i="18"/>
  <c r="G978" i="18"/>
  <c r="F978" i="18"/>
  <c r="E978" i="18"/>
  <c r="I977" i="18"/>
  <c r="G977" i="18"/>
  <c r="F977" i="18"/>
  <c r="E977" i="18"/>
  <c r="I976" i="18"/>
  <c r="G976" i="18"/>
  <c r="F976" i="18"/>
  <c r="E976" i="18"/>
  <c r="I975" i="18"/>
  <c r="G975" i="18"/>
  <c r="F975" i="18"/>
  <c r="E975" i="18"/>
  <c r="F973" i="18"/>
  <c r="E973" i="18"/>
  <c r="D973" i="18"/>
  <c r="C973" i="18"/>
  <c r="G966" i="18"/>
  <c r="I963" i="18"/>
  <c r="G963" i="18"/>
  <c r="F963" i="18"/>
  <c r="E963" i="18"/>
  <c r="I962" i="18"/>
  <c r="G962" i="18"/>
  <c r="F962" i="18"/>
  <c r="E962" i="18"/>
  <c r="I960" i="18"/>
  <c r="G960" i="18"/>
  <c r="F960" i="18"/>
  <c r="E960" i="18"/>
  <c r="I958" i="18"/>
  <c r="I957" i="18"/>
  <c r="G957" i="18"/>
  <c r="F957" i="18"/>
  <c r="E957" i="18"/>
  <c r="I956" i="18"/>
  <c r="G956" i="18"/>
  <c r="F956" i="18"/>
  <c r="E956" i="18"/>
  <c r="I955" i="18"/>
  <c r="G955" i="18"/>
  <c r="F955" i="18"/>
  <c r="E955" i="18"/>
  <c r="I954" i="18"/>
  <c r="G954" i="18"/>
  <c r="F954" i="18"/>
  <c r="E954" i="18"/>
  <c r="F952" i="18"/>
  <c r="E952" i="18"/>
  <c r="D952" i="18"/>
  <c r="C952" i="18"/>
  <c r="I941" i="18"/>
  <c r="G941" i="18"/>
  <c r="F941" i="18"/>
  <c r="E941" i="18"/>
  <c r="I938" i="18"/>
  <c r="G938" i="18"/>
  <c r="F938" i="18"/>
  <c r="E938" i="18"/>
  <c r="F936" i="18"/>
  <c r="E936" i="18"/>
  <c r="D936" i="18"/>
  <c r="C936" i="18"/>
  <c r="I924" i="18"/>
  <c r="G924" i="18"/>
  <c r="F924" i="18"/>
  <c r="E924" i="18"/>
  <c r="I923" i="18"/>
  <c r="G923" i="18"/>
  <c r="F923" i="18"/>
  <c r="E923" i="18"/>
  <c r="I922" i="18"/>
  <c r="G922" i="18"/>
  <c r="F922" i="18"/>
  <c r="E922" i="18"/>
  <c r="I920" i="18"/>
  <c r="G920" i="18"/>
  <c r="F920" i="18"/>
  <c r="E920" i="18"/>
  <c r="I918" i="18"/>
  <c r="G918" i="18"/>
  <c r="F918" i="18"/>
  <c r="E918" i="18"/>
  <c r="I917" i="18"/>
  <c r="G917" i="18"/>
  <c r="F917" i="18"/>
  <c r="E917" i="18"/>
  <c r="I916" i="18"/>
  <c r="G916" i="18"/>
  <c r="F916" i="18"/>
  <c r="E916" i="18"/>
  <c r="I915" i="18"/>
  <c r="G915" i="18"/>
  <c r="F915" i="18"/>
  <c r="E915" i="18"/>
  <c r="F913" i="18"/>
  <c r="E913" i="18"/>
  <c r="D913" i="18"/>
  <c r="C913" i="18"/>
  <c r="I903" i="18"/>
  <c r="I902" i="18"/>
  <c r="G902" i="18"/>
  <c r="F902" i="18"/>
  <c r="E902" i="18"/>
  <c r="I901" i="18"/>
  <c r="G901" i="18"/>
  <c r="F901" i="18"/>
  <c r="E901" i="18"/>
  <c r="I899" i="18"/>
  <c r="G899" i="18"/>
  <c r="F899" i="18"/>
  <c r="E899" i="18"/>
  <c r="I897" i="18"/>
  <c r="G897" i="18"/>
  <c r="F897" i="18"/>
  <c r="E897" i="18"/>
  <c r="F895" i="18"/>
  <c r="E895" i="18"/>
  <c r="D895" i="18"/>
  <c r="C895" i="18"/>
  <c r="I885" i="18"/>
  <c r="I884" i="18"/>
  <c r="G884" i="18"/>
  <c r="F884" i="18"/>
  <c r="E884" i="18"/>
  <c r="I883" i="18"/>
  <c r="G883" i="18"/>
  <c r="F883" i="18"/>
  <c r="E883" i="18"/>
  <c r="I882" i="18"/>
  <c r="G882" i="18"/>
  <c r="F882" i="18"/>
  <c r="E882" i="18"/>
  <c r="I881" i="18"/>
  <c r="G881" i="18"/>
  <c r="F881" i="18"/>
  <c r="E881" i="18"/>
  <c r="I880" i="18"/>
  <c r="G880" i="18"/>
  <c r="F880" i="18"/>
  <c r="E880" i="18"/>
  <c r="I879" i="18"/>
  <c r="G879" i="18"/>
  <c r="F879" i="18"/>
  <c r="E879" i="18"/>
  <c r="I878" i="18"/>
  <c r="G878" i="18"/>
  <c r="F878" i="18"/>
  <c r="E878" i="18"/>
  <c r="I877" i="18"/>
  <c r="G877" i="18"/>
  <c r="F877" i="18"/>
  <c r="E877" i="18"/>
  <c r="I875" i="18"/>
  <c r="G875" i="18"/>
  <c r="F875" i="18"/>
  <c r="E875" i="18"/>
  <c r="I874" i="18"/>
  <c r="G874" i="18"/>
  <c r="F874" i="18"/>
  <c r="E874" i="18"/>
  <c r="I872" i="18"/>
  <c r="I871" i="18"/>
  <c r="G871" i="18"/>
  <c r="F871" i="18"/>
  <c r="E871" i="18"/>
  <c r="I870" i="18"/>
  <c r="G870" i="18"/>
  <c r="F870" i="18"/>
  <c r="E870" i="18"/>
  <c r="I869" i="18"/>
  <c r="G869" i="18"/>
  <c r="F869" i="18"/>
  <c r="E869" i="18"/>
  <c r="F867" i="18"/>
  <c r="E867" i="18"/>
  <c r="D867" i="18"/>
  <c r="C867" i="18"/>
  <c r="I856" i="18"/>
  <c r="G856" i="18"/>
  <c r="F856" i="18"/>
  <c r="E856" i="18"/>
  <c r="I855" i="18"/>
  <c r="G855" i="18"/>
  <c r="F855" i="18"/>
  <c r="E855" i="18"/>
  <c r="I854" i="18"/>
  <c r="G854" i="18"/>
  <c r="F854" i="18"/>
  <c r="E854" i="18"/>
  <c r="I852" i="18"/>
  <c r="G852" i="18"/>
  <c r="F852" i="18"/>
  <c r="E852" i="18"/>
  <c r="I850" i="18"/>
  <c r="G850" i="18"/>
  <c r="F850" i="18"/>
  <c r="E850" i="18"/>
  <c r="I849" i="18"/>
  <c r="G849" i="18"/>
  <c r="F849" i="18"/>
  <c r="E849" i="18"/>
  <c r="I848" i="18"/>
  <c r="G848" i="18"/>
  <c r="F848" i="18"/>
  <c r="E848" i="18"/>
  <c r="I847" i="18"/>
  <c r="G847" i="18"/>
  <c r="F847" i="18"/>
  <c r="E847" i="18"/>
  <c r="F845" i="18"/>
  <c r="E845" i="18"/>
  <c r="D845" i="18"/>
  <c r="C845" i="18"/>
  <c r="I835" i="18"/>
  <c r="I834" i="18"/>
  <c r="G834" i="18"/>
  <c r="F834" i="18"/>
  <c r="E834" i="18"/>
  <c r="I833" i="18"/>
  <c r="G833" i="18"/>
  <c r="F833" i="18"/>
  <c r="E833" i="18"/>
  <c r="I831" i="18"/>
  <c r="G831" i="18"/>
  <c r="F831" i="18"/>
  <c r="E831" i="18"/>
  <c r="I829" i="18"/>
  <c r="G829" i="18"/>
  <c r="F829" i="18"/>
  <c r="E829" i="18"/>
  <c r="F827" i="18"/>
  <c r="E827" i="18"/>
  <c r="D827" i="18"/>
  <c r="C827" i="18"/>
  <c r="I817" i="18"/>
  <c r="I816" i="18"/>
  <c r="G816" i="18"/>
  <c r="F816" i="18"/>
  <c r="E816" i="18"/>
  <c r="I815" i="18"/>
  <c r="G815" i="18"/>
  <c r="F815" i="18"/>
  <c r="E815" i="18"/>
  <c r="I814" i="18"/>
  <c r="G814" i="18"/>
  <c r="F814" i="18"/>
  <c r="E814" i="18"/>
  <c r="I813" i="18"/>
  <c r="G813" i="18"/>
  <c r="F813" i="18"/>
  <c r="E813" i="18"/>
  <c r="I812" i="18"/>
  <c r="G812" i="18"/>
  <c r="F812" i="18"/>
  <c r="E812" i="18"/>
  <c r="I811" i="18"/>
  <c r="G811" i="18"/>
  <c r="F811" i="18"/>
  <c r="E811" i="18"/>
  <c r="I810" i="18"/>
  <c r="G810" i="18"/>
  <c r="F810" i="18"/>
  <c r="E810" i="18"/>
  <c r="I809" i="18"/>
  <c r="G809" i="18"/>
  <c r="F809" i="18"/>
  <c r="E809" i="18"/>
  <c r="I807" i="18"/>
  <c r="G807" i="18"/>
  <c r="F807" i="18"/>
  <c r="E807" i="18"/>
  <c r="I806" i="18"/>
  <c r="G806" i="18"/>
  <c r="F806" i="18"/>
  <c r="E806" i="18"/>
  <c r="I804" i="18"/>
  <c r="I803" i="18"/>
  <c r="G803" i="18"/>
  <c r="F803" i="18"/>
  <c r="E803" i="18"/>
  <c r="I802" i="18"/>
  <c r="G802" i="18"/>
  <c r="F802" i="18"/>
  <c r="E802" i="18"/>
  <c r="I801" i="18"/>
  <c r="G801" i="18"/>
  <c r="F801" i="18"/>
  <c r="E801" i="18"/>
  <c r="F799" i="18"/>
  <c r="E799" i="18"/>
  <c r="D799" i="18"/>
  <c r="C799" i="18"/>
  <c r="G788" i="18"/>
  <c r="F788" i="18"/>
  <c r="E788" i="18"/>
  <c r="G787" i="18"/>
  <c r="F787" i="18"/>
  <c r="E787" i="18"/>
  <c r="G786" i="18"/>
  <c r="F786" i="18"/>
  <c r="E786" i="18"/>
  <c r="G785" i="18"/>
  <c r="F785" i="18"/>
  <c r="E785" i="18"/>
  <c r="I784" i="18"/>
  <c r="G784" i="18"/>
  <c r="F784" i="18"/>
  <c r="E784" i="18"/>
  <c r="I782" i="18"/>
  <c r="G782" i="18"/>
  <c r="F782" i="18"/>
  <c r="E782" i="18"/>
  <c r="I780" i="18"/>
  <c r="G780" i="18"/>
  <c r="F780" i="18"/>
  <c r="E780" i="18"/>
  <c r="F778" i="18"/>
  <c r="E778" i="18"/>
  <c r="D778" i="18"/>
  <c r="C778" i="18"/>
  <c r="I768" i="18"/>
  <c r="G768" i="18"/>
  <c r="F768" i="18"/>
  <c r="E768" i="18"/>
  <c r="I767" i="18"/>
  <c r="G767" i="18"/>
  <c r="F767" i="18"/>
  <c r="E767" i="18"/>
  <c r="I765" i="18"/>
  <c r="G765" i="18"/>
  <c r="F765" i="18"/>
  <c r="E765" i="18"/>
  <c r="F762" i="18"/>
  <c r="E762" i="18"/>
  <c r="D762" i="18"/>
  <c r="C762" i="18"/>
  <c r="I752" i="18"/>
  <c r="F751" i="18"/>
  <c r="E751" i="18"/>
  <c r="F750" i="18"/>
  <c r="E750" i="18"/>
  <c r="F749" i="18"/>
  <c r="E749" i="18"/>
  <c r="F748" i="18"/>
  <c r="E748" i="18"/>
  <c r="I747" i="18"/>
  <c r="G747" i="18"/>
  <c r="F747" i="18"/>
  <c r="E747" i="18"/>
  <c r="I745" i="18"/>
  <c r="G745" i="18"/>
  <c r="F745" i="18"/>
  <c r="E745" i="18"/>
  <c r="I743" i="18"/>
  <c r="G743" i="18"/>
  <c r="F743" i="18"/>
  <c r="E743" i="18"/>
  <c r="F741" i="18"/>
  <c r="E741" i="18"/>
  <c r="D741" i="18"/>
  <c r="C741" i="18"/>
  <c r="I729" i="18"/>
  <c r="I728" i="18"/>
  <c r="G728" i="18"/>
  <c r="F728" i="18"/>
  <c r="E728" i="18"/>
  <c r="I727" i="18"/>
  <c r="G727" i="18"/>
  <c r="F727" i="18"/>
  <c r="E727" i="18"/>
  <c r="I725" i="18"/>
  <c r="G725" i="18"/>
  <c r="F725" i="18"/>
  <c r="E725" i="18"/>
  <c r="F722" i="18"/>
  <c r="E722" i="18"/>
  <c r="D722" i="18"/>
  <c r="C722" i="18"/>
  <c r="I712" i="18"/>
  <c r="I711" i="18"/>
  <c r="G711" i="18"/>
  <c r="F711" i="18"/>
  <c r="E711" i="18"/>
  <c r="I710" i="18"/>
  <c r="G710" i="18"/>
  <c r="F710" i="18"/>
  <c r="E710" i="18"/>
  <c r="I709" i="18"/>
  <c r="G709" i="18"/>
  <c r="F709" i="18"/>
  <c r="E709" i="18"/>
  <c r="I708" i="18"/>
  <c r="G708" i="18"/>
  <c r="F708" i="18"/>
  <c r="E708" i="18"/>
  <c r="I707" i="18"/>
  <c r="G707" i="18"/>
  <c r="F707" i="18"/>
  <c r="E707" i="18"/>
  <c r="I705" i="18"/>
  <c r="G705" i="18"/>
  <c r="F705" i="18"/>
  <c r="E705" i="18"/>
  <c r="I703" i="18"/>
  <c r="G703" i="18"/>
  <c r="F703" i="18"/>
  <c r="E703" i="18"/>
  <c r="F701" i="18"/>
  <c r="E701" i="18"/>
  <c r="D701" i="18"/>
  <c r="C701" i="18"/>
  <c r="I691" i="18"/>
  <c r="G691" i="18"/>
  <c r="F691" i="18"/>
  <c r="E691" i="18"/>
  <c r="I689" i="18"/>
  <c r="G689" i="18"/>
  <c r="F689" i="18"/>
  <c r="E689" i="18"/>
  <c r="F686" i="18"/>
  <c r="E686" i="18"/>
  <c r="D686" i="18"/>
  <c r="C686" i="18"/>
  <c r="I675" i="18"/>
  <c r="G675" i="18"/>
  <c r="F675" i="18"/>
  <c r="E675" i="18"/>
  <c r="I674" i="18"/>
  <c r="G674" i="18"/>
  <c r="F674" i="18"/>
  <c r="E674" i="18"/>
  <c r="I672" i="18"/>
  <c r="G672" i="18"/>
  <c r="F672" i="18"/>
  <c r="E672" i="18"/>
  <c r="F669" i="18"/>
  <c r="E669" i="18"/>
  <c r="D669" i="18"/>
  <c r="C669" i="18"/>
  <c r="I658" i="18"/>
  <c r="G658" i="18"/>
  <c r="F658" i="18"/>
  <c r="E658" i="18"/>
  <c r="I656" i="18"/>
  <c r="G656" i="18"/>
  <c r="F656" i="18"/>
  <c r="E656" i="18"/>
  <c r="F653" i="18"/>
  <c r="E653" i="18"/>
  <c r="D653" i="18"/>
  <c r="C653" i="18"/>
  <c r="G649" i="18"/>
  <c r="I642" i="18"/>
  <c r="G642" i="18"/>
  <c r="F642" i="18"/>
  <c r="E642" i="18"/>
  <c r="I640" i="18"/>
  <c r="G640" i="18"/>
  <c r="F640" i="18"/>
  <c r="E640" i="18"/>
  <c r="F637" i="18"/>
  <c r="E637" i="18"/>
  <c r="D637" i="18"/>
  <c r="C637" i="18"/>
  <c r="I626" i="18"/>
  <c r="G626" i="18"/>
  <c r="F626" i="18"/>
  <c r="E626" i="18"/>
  <c r="I624" i="18"/>
  <c r="G624" i="18"/>
  <c r="F624" i="18"/>
  <c r="E624" i="18"/>
  <c r="F621" i="18"/>
  <c r="E621" i="18"/>
  <c r="D621" i="18"/>
  <c r="C621" i="18"/>
  <c r="I610" i="18"/>
  <c r="G610" i="18"/>
  <c r="F610" i="18"/>
  <c r="E610" i="18"/>
  <c r="I608" i="18"/>
  <c r="G608" i="18"/>
  <c r="F608" i="18"/>
  <c r="E608" i="18"/>
  <c r="F605" i="18"/>
  <c r="E605" i="18"/>
  <c r="D605" i="18"/>
  <c r="C605" i="18"/>
  <c r="I595" i="18"/>
  <c r="G595" i="18"/>
  <c r="F595" i="18"/>
  <c r="E595" i="18"/>
  <c r="I594" i="18"/>
  <c r="G594" i="18"/>
  <c r="F594" i="18"/>
  <c r="E594" i="18"/>
  <c r="I592" i="18"/>
  <c r="G592" i="18"/>
  <c r="F592" i="18"/>
  <c r="E592" i="18"/>
  <c r="F589" i="18"/>
  <c r="E589" i="18"/>
  <c r="D589" i="18"/>
  <c r="C589" i="18"/>
  <c r="I579" i="18"/>
  <c r="G579" i="18"/>
  <c r="F579" i="18"/>
  <c r="E579" i="18"/>
  <c r="I578" i="18"/>
  <c r="G578" i="18"/>
  <c r="F578" i="18"/>
  <c r="E578" i="18"/>
  <c r="I576" i="18"/>
  <c r="G576" i="18"/>
  <c r="F576" i="18"/>
  <c r="E576" i="18"/>
  <c r="F573" i="18"/>
  <c r="E573" i="18"/>
  <c r="D573" i="18"/>
  <c r="C573" i="18"/>
  <c r="I563" i="18"/>
  <c r="G563" i="18"/>
  <c r="F563" i="18"/>
  <c r="E563" i="18"/>
  <c r="I562" i="18"/>
  <c r="G562" i="18"/>
  <c r="F562" i="18"/>
  <c r="E562" i="18"/>
  <c r="I560" i="18"/>
  <c r="G560" i="18"/>
  <c r="F560" i="18"/>
  <c r="E560" i="18"/>
  <c r="F557" i="18"/>
  <c r="E557" i="18"/>
  <c r="D557" i="18"/>
  <c r="C557" i="18"/>
  <c r="I547" i="18"/>
  <c r="G547" i="18"/>
  <c r="F547" i="18"/>
  <c r="E547" i="18"/>
  <c r="I546" i="18"/>
  <c r="G546" i="18"/>
  <c r="F546" i="18"/>
  <c r="E546" i="18"/>
  <c r="I544" i="18"/>
  <c r="G544" i="18"/>
  <c r="F544" i="18"/>
  <c r="E544" i="18"/>
  <c r="F541" i="18"/>
  <c r="E541" i="18"/>
  <c r="D541" i="18"/>
  <c r="C541" i="18"/>
  <c r="G535" i="18"/>
  <c r="I529" i="18"/>
  <c r="I528" i="18"/>
  <c r="G528" i="18"/>
  <c r="F528" i="18"/>
  <c r="E528" i="18"/>
  <c r="I526" i="18"/>
  <c r="G526" i="18"/>
  <c r="F526" i="18"/>
  <c r="E526" i="18"/>
  <c r="I524" i="18"/>
  <c r="I523" i="18"/>
  <c r="G523" i="18"/>
  <c r="F523" i="18"/>
  <c r="E523" i="18"/>
  <c r="F521" i="18"/>
  <c r="E521" i="18"/>
  <c r="D521" i="18"/>
  <c r="C521" i="18"/>
  <c r="I511" i="18"/>
  <c r="I510" i="18"/>
  <c r="G510" i="18"/>
  <c r="F510" i="18"/>
  <c r="E510" i="18"/>
  <c r="I507" i="18"/>
  <c r="G507" i="18"/>
  <c r="F507" i="18"/>
  <c r="E507" i="18"/>
  <c r="I505" i="18"/>
  <c r="I503" i="18"/>
  <c r="F503" i="18"/>
  <c r="E503" i="18"/>
  <c r="F501" i="18"/>
  <c r="E501" i="18"/>
  <c r="D501" i="18"/>
  <c r="C501" i="18"/>
  <c r="I491" i="18"/>
  <c r="I490" i="18"/>
  <c r="G490" i="18"/>
  <c r="F490" i="18"/>
  <c r="E490" i="18"/>
  <c r="I489" i="18"/>
  <c r="G489" i="18"/>
  <c r="F489" i="18"/>
  <c r="E489" i="18"/>
  <c r="I487" i="18"/>
  <c r="G487" i="18"/>
  <c r="F487" i="18"/>
  <c r="E487" i="18"/>
  <c r="I485" i="18"/>
  <c r="I479" i="18"/>
  <c r="F479" i="18"/>
  <c r="E479" i="18"/>
  <c r="F477" i="18"/>
  <c r="E477" i="18"/>
  <c r="D477" i="18"/>
  <c r="C477" i="18"/>
  <c r="I467" i="18"/>
  <c r="I466" i="18"/>
  <c r="G466" i="18"/>
  <c r="F466" i="18"/>
  <c r="E466" i="18"/>
  <c r="I463" i="18"/>
  <c r="G463" i="18"/>
  <c r="F463" i="18"/>
  <c r="E463" i="18"/>
  <c r="I461" i="18"/>
  <c r="I458" i="18"/>
  <c r="F458" i="18"/>
  <c r="E458" i="18"/>
  <c r="F456" i="18"/>
  <c r="E456" i="18"/>
  <c r="D456" i="18"/>
  <c r="C456" i="18"/>
  <c r="I446" i="18"/>
  <c r="I445" i="18"/>
  <c r="G445" i="18"/>
  <c r="F445" i="18"/>
  <c r="E445" i="18"/>
  <c r="I443" i="18"/>
  <c r="G443" i="18"/>
  <c r="F443" i="18"/>
  <c r="E443" i="18"/>
  <c r="I441" i="18"/>
  <c r="I440" i="18"/>
  <c r="G440" i="18"/>
  <c r="F440" i="18"/>
  <c r="E440" i="18"/>
  <c r="I439" i="18"/>
  <c r="G439" i="18"/>
  <c r="F439" i="18"/>
  <c r="E439" i="18"/>
  <c r="F437" i="18"/>
  <c r="E437" i="18"/>
  <c r="D437" i="18"/>
  <c r="C437" i="18"/>
  <c r="I427" i="18"/>
  <c r="I426" i="18"/>
  <c r="G426" i="18"/>
  <c r="F426" i="18"/>
  <c r="E426" i="18"/>
  <c r="I425" i="18"/>
  <c r="G425" i="18"/>
  <c r="F425" i="18"/>
  <c r="E425" i="18"/>
  <c r="I424" i="18"/>
  <c r="G424" i="18"/>
  <c r="F424" i="18"/>
  <c r="E424" i="18"/>
  <c r="I423" i="18"/>
  <c r="G423" i="18"/>
  <c r="F423" i="18"/>
  <c r="E423" i="18"/>
  <c r="I422" i="18"/>
  <c r="G422" i="18"/>
  <c r="F422" i="18"/>
  <c r="E422" i="18"/>
  <c r="I420" i="18"/>
  <c r="G420" i="18"/>
  <c r="F420" i="18"/>
  <c r="E420" i="18"/>
  <c r="I418" i="18"/>
  <c r="G418" i="18"/>
  <c r="F418" i="18"/>
  <c r="E418" i="18"/>
  <c r="F416" i="18"/>
  <c r="E416" i="18"/>
  <c r="D416" i="18"/>
  <c r="C416" i="18"/>
  <c r="I405" i="18"/>
  <c r="G405" i="18"/>
  <c r="F405" i="18"/>
  <c r="E405" i="18"/>
  <c r="I403" i="18"/>
  <c r="I402" i="18"/>
  <c r="G402" i="18"/>
  <c r="F402" i="18"/>
  <c r="E402" i="18"/>
  <c r="F400" i="18"/>
  <c r="E400" i="18"/>
  <c r="D400" i="18"/>
  <c r="C400" i="18"/>
  <c r="I390" i="18"/>
  <c r="I389" i="18"/>
  <c r="G389" i="18"/>
  <c r="F389" i="18"/>
  <c r="E389" i="18"/>
  <c r="I388" i="18"/>
  <c r="G388" i="18"/>
  <c r="F388" i="18"/>
  <c r="E388" i="18"/>
  <c r="I387" i="18"/>
  <c r="G387" i="18"/>
  <c r="F387" i="18"/>
  <c r="E387" i="18"/>
  <c r="I385" i="18"/>
  <c r="G385" i="18"/>
  <c r="F385" i="18"/>
  <c r="E385" i="18"/>
  <c r="I383" i="18"/>
  <c r="I380" i="18"/>
  <c r="G380" i="18"/>
  <c r="F380" i="18"/>
  <c r="E380" i="18"/>
  <c r="I379" i="18"/>
  <c r="G379" i="18"/>
  <c r="F379" i="18"/>
  <c r="E379" i="18"/>
  <c r="I378" i="18"/>
  <c r="G378" i="18"/>
  <c r="F378" i="18"/>
  <c r="E378" i="18"/>
  <c r="I377" i="18"/>
  <c r="G377" i="18"/>
  <c r="F377" i="18"/>
  <c r="E377" i="18"/>
  <c r="F375" i="18"/>
  <c r="E375" i="18"/>
  <c r="D375" i="18"/>
  <c r="C375" i="18"/>
  <c r="I364" i="18"/>
  <c r="I363" i="18"/>
  <c r="G363" i="18"/>
  <c r="F363" i="18"/>
  <c r="E363" i="18"/>
  <c r="I361" i="18"/>
  <c r="G361" i="18"/>
  <c r="F361" i="18"/>
  <c r="E361" i="18"/>
  <c r="I359" i="18"/>
  <c r="I358" i="18"/>
  <c r="G358" i="18"/>
  <c r="F358" i="18"/>
  <c r="E358" i="18"/>
  <c r="I357" i="18"/>
  <c r="G357" i="18"/>
  <c r="F357" i="18"/>
  <c r="E357" i="18"/>
  <c r="F355" i="18"/>
  <c r="E355" i="18"/>
  <c r="D355" i="18"/>
  <c r="C355" i="18"/>
  <c r="I345" i="18"/>
  <c r="I344" i="18"/>
  <c r="G344" i="18"/>
  <c r="F344" i="18"/>
  <c r="E344" i="18"/>
  <c r="I343" i="18"/>
  <c r="G343" i="18"/>
  <c r="F343" i="18"/>
  <c r="E343" i="18"/>
  <c r="I342" i="18"/>
  <c r="G342" i="18"/>
  <c r="F342" i="18"/>
  <c r="E342" i="18"/>
  <c r="I341" i="18"/>
  <c r="G341" i="18"/>
  <c r="F341" i="18"/>
  <c r="E341" i="18"/>
  <c r="I340" i="18"/>
  <c r="G340" i="18"/>
  <c r="F340" i="18"/>
  <c r="E340" i="18"/>
  <c r="I338" i="18"/>
  <c r="G338" i="18"/>
  <c r="F338" i="18"/>
  <c r="E338" i="18"/>
  <c r="I336" i="18"/>
  <c r="G336" i="18"/>
  <c r="F336" i="18"/>
  <c r="E336" i="18"/>
  <c r="F334" i="18"/>
  <c r="E334" i="18"/>
  <c r="D334" i="18"/>
  <c r="C334" i="18"/>
  <c r="I324" i="18"/>
  <c r="I323" i="18"/>
  <c r="G323" i="18"/>
  <c r="F323" i="18"/>
  <c r="E323" i="18"/>
  <c r="I322" i="18"/>
  <c r="G322" i="18"/>
  <c r="F322" i="18"/>
  <c r="E322" i="18"/>
  <c r="I321" i="18"/>
  <c r="G321" i="18"/>
  <c r="F321" i="18"/>
  <c r="E321" i="18"/>
  <c r="I320" i="18"/>
  <c r="G320" i="18"/>
  <c r="F320" i="18"/>
  <c r="E320" i="18"/>
  <c r="I319" i="18"/>
  <c r="G319" i="18"/>
  <c r="F319" i="18"/>
  <c r="E319" i="18"/>
  <c r="I317" i="18"/>
  <c r="G317" i="18"/>
  <c r="F317" i="18"/>
  <c r="E317" i="18"/>
  <c r="I315" i="18"/>
  <c r="G315" i="18"/>
  <c r="F315" i="18"/>
  <c r="E315" i="18"/>
  <c r="F313" i="18"/>
  <c r="E313" i="18"/>
  <c r="D313" i="18"/>
  <c r="C313" i="18"/>
  <c r="I302" i="18"/>
  <c r="G302" i="18"/>
  <c r="F302" i="18"/>
  <c r="E302" i="18"/>
  <c r="I300" i="18"/>
  <c r="I299" i="18"/>
  <c r="G299" i="18"/>
  <c r="F299" i="18"/>
  <c r="E299" i="18"/>
  <c r="F297" i="18"/>
  <c r="E297" i="18"/>
  <c r="D297" i="18"/>
  <c r="C297" i="18"/>
  <c r="I287" i="18"/>
  <c r="I286" i="18"/>
  <c r="G286" i="18"/>
  <c r="F286" i="18"/>
  <c r="E286" i="18"/>
  <c r="I285" i="18"/>
  <c r="G285" i="18"/>
  <c r="F285" i="18"/>
  <c r="E285" i="18"/>
  <c r="I284" i="18"/>
  <c r="G284" i="18"/>
  <c r="F284" i="18"/>
  <c r="E284" i="18"/>
  <c r="I282" i="18"/>
  <c r="G282" i="18"/>
  <c r="F282" i="18"/>
  <c r="E282" i="18"/>
  <c r="I280" i="18"/>
  <c r="F279" i="18"/>
  <c r="E279" i="18"/>
  <c r="F278" i="18"/>
  <c r="E278" i="18"/>
  <c r="I277" i="18"/>
  <c r="G277" i="18"/>
  <c r="F277" i="18"/>
  <c r="E277" i="18"/>
  <c r="I276" i="18"/>
  <c r="G276" i="18"/>
  <c r="F276" i="18"/>
  <c r="E276" i="18"/>
  <c r="I275" i="18"/>
  <c r="G275" i="18"/>
  <c r="F275" i="18"/>
  <c r="E275" i="18"/>
  <c r="I274" i="18"/>
  <c r="G274" i="18"/>
  <c r="F274" i="18"/>
  <c r="E274" i="18"/>
  <c r="F272" i="18"/>
  <c r="E272" i="18"/>
  <c r="D272" i="18"/>
  <c r="C272" i="18"/>
  <c r="I261" i="18"/>
  <c r="G261" i="18"/>
  <c r="F261" i="18"/>
  <c r="E261" i="18"/>
  <c r="I260" i="18"/>
  <c r="G260" i="18"/>
  <c r="F260" i="18"/>
  <c r="E260" i="18"/>
  <c r="I258" i="18"/>
  <c r="G258" i="18"/>
  <c r="F258" i="18"/>
  <c r="E258" i="18"/>
  <c r="F255" i="18"/>
  <c r="E255" i="18"/>
  <c r="D255" i="18"/>
  <c r="C255" i="18"/>
  <c r="I245" i="18"/>
  <c r="G245" i="18"/>
  <c r="F245" i="18"/>
  <c r="E245" i="18"/>
  <c r="I244" i="18"/>
  <c r="G244" i="18"/>
  <c r="F244" i="18"/>
  <c r="E244" i="18"/>
  <c r="I242" i="18"/>
  <c r="G242" i="18"/>
  <c r="F242" i="18"/>
  <c r="E242" i="18"/>
  <c r="F239" i="18"/>
  <c r="E239" i="18"/>
  <c r="D239" i="18"/>
  <c r="C239" i="18"/>
  <c r="I227" i="18"/>
  <c r="I226" i="18"/>
  <c r="G226" i="18"/>
  <c r="F226" i="18"/>
  <c r="E226" i="18"/>
  <c r="I225" i="18"/>
  <c r="G225" i="18"/>
  <c r="F225" i="18"/>
  <c r="E225" i="18"/>
  <c r="I223" i="18"/>
  <c r="G223" i="18"/>
  <c r="F223" i="18"/>
  <c r="E223" i="18"/>
  <c r="F220" i="18"/>
  <c r="E220" i="18"/>
  <c r="D220" i="18"/>
  <c r="C220" i="18"/>
  <c r="I210" i="18"/>
  <c r="I209" i="18"/>
  <c r="G209" i="18"/>
  <c r="F209" i="18"/>
  <c r="E209" i="18"/>
  <c r="I208" i="18"/>
  <c r="G208" i="18"/>
  <c r="F208" i="18"/>
  <c r="E208" i="18"/>
  <c r="I207" i="18"/>
  <c r="G207" i="18"/>
  <c r="F207" i="18"/>
  <c r="E207" i="18"/>
  <c r="I206" i="18"/>
  <c r="G206" i="18"/>
  <c r="F206" i="18"/>
  <c r="E206" i="18"/>
  <c r="I205" i="18"/>
  <c r="G205" i="18"/>
  <c r="F205" i="18"/>
  <c r="E205" i="18"/>
  <c r="I203" i="18"/>
  <c r="G203" i="18"/>
  <c r="F203" i="18"/>
  <c r="E203" i="18"/>
  <c r="I201" i="18"/>
  <c r="G201" i="18"/>
  <c r="F201" i="18"/>
  <c r="E201" i="18"/>
  <c r="F199" i="18"/>
  <c r="E199" i="18"/>
  <c r="D199" i="18"/>
  <c r="C199" i="18"/>
  <c r="I189" i="18"/>
  <c r="G189" i="18"/>
  <c r="F189" i="18"/>
  <c r="E189" i="18"/>
  <c r="I187" i="18"/>
  <c r="G187" i="18"/>
  <c r="F187" i="18"/>
  <c r="E187" i="18"/>
  <c r="F184" i="18"/>
  <c r="E184" i="18"/>
  <c r="D184" i="18"/>
  <c r="C184" i="18"/>
  <c r="I173" i="18"/>
  <c r="G173" i="18"/>
  <c r="F173" i="18"/>
  <c r="E173" i="18"/>
  <c r="I172" i="18"/>
  <c r="G172" i="18"/>
  <c r="F172" i="18"/>
  <c r="E172" i="18"/>
  <c r="I170" i="18"/>
  <c r="G170" i="18"/>
  <c r="F170" i="18"/>
  <c r="E170" i="18"/>
  <c r="F167" i="18"/>
  <c r="E167" i="18"/>
  <c r="D167" i="18"/>
  <c r="C167" i="18"/>
  <c r="I156" i="18"/>
  <c r="G156" i="18"/>
  <c r="F156" i="18"/>
  <c r="E156" i="18"/>
  <c r="I154" i="18"/>
  <c r="G154" i="18"/>
  <c r="F154" i="18"/>
  <c r="E154" i="18"/>
  <c r="F151" i="18"/>
  <c r="E151" i="18"/>
  <c r="D151" i="18"/>
  <c r="C151" i="18"/>
  <c r="I141" i="18"/>
  <c r="G141" i="18"/>
  <c r="F141" i="18"/>
  <c r="E141" i="18"/>
  <c r="I139" i="18"/>
  <c r="G139" i="18"/>
  <c r="F139" i="18"/>
  <c r="E139" i="18"/>
  <c r="F136" i="18"/>
  <c r="E136" i="18"/>
  <c r="D136" i="18"/>
  <c r="C136" i="18"/>
  <c r="I125" i="18"/>
  <c r="G125" i="18"/>
  <c r="F125" i="18"/>
  <c r="E125" i="18"/>
  <c r="I123" i="18"/>
  <c r="G123" i="18"/>
  <c r="F123" i="18"/>
  <c r="E123" i="18"/>
  <c r="F120" i="18"/>
  <c r="E120" i="18"/>
  <c r="D120" i="18"/>
  <c r="C120" i="18"/>
  <c r="I109" i="18"/>
  <c r="G109" i="18"/>
  <c r="F109" i="18"/>
  <c r="E109" i="18"/>
  <c r="I107" i="18"/>
  <c r="G107" i="18"/>
  <c r="F107" i="18"/>
  <c r="E107" i="18"/>
  <c r="F104" i="18"/>
  <c r="E104" i="18"/>
  <c r="D104" i="18"/>
  <c r="C104" i="18"/>
  <c r="G97" i="18"/>
  <c r="F94" i="18"/>
  <c r="E94" i="18"/>
  <c r="I93" i="18"/>
  <c r="G93" i="18"/>
  <c r="F93" i="18"/>
  <c r="E93" i="18"/>
  <c r="I91" i="18"/>
  <c r="G91" i="18"/>
  <c r="F91" i="18"/>
  <c r="E91" i="18"/>
  <c r="F88" i="18"/>
  <c r="E88" i="18"/>
  <c r="D88" i="18"/>
  <c r="C88" i="18"/>
  <c r="I78" i="18"/>
  <c r="G78" i="18"/>
  <c r="F78" i="18"/>
  <c r="E78" i="18"/>
  <c r="I77" i="18"/>
  <c r="G77" i="18"/>
  <c r="F77" i="18"/>
  <c r="E77" i="18"/>
  <c r="I75" i="18"/>
  <c r="G75" i="18"/>
  <c r="F75" i="18"/>
  <c r="E75" i="18"/>
  <c r="F72" i="18"/>
  <c r="E72" i="18"/>
  <c r="D72" i="18"/>
  <c r="C72" i="18"/>
  <c r="I62" i="18"/>
  <c r="G62" i="18"/>
  <c r="F62" i="18"/>
  <c r="E62" i="18"/>
  <c r="I61" i="18"/>
  <c r="G61" i="18"/>
  <c r="F61" i="18"/>
  <c r="E61" i="18"/>
  <c r="I59" i="18"/>
  <c r="G59" i="18"/>
  <c r="F59" i="18"/>
  <c r="E59" i="18"/>
  <c r="F56" i="18"/>
  <c r="E56" i="18"/>
  <c r="D56" i="18"/>
  <c r="C56" i="18"/>
  <c r="I46" i="18"/>
  <c r="G46" i="18"/>
  <c r="F46" i="18"/>
  <c r="E46" i="18"/>
  <c r="I45" i="18"/>
  <c r="G45" i="18"/>
  <c r="F45" i="18"/>
  <c r="E45" i="18"/>
  <c r="I43" i="18"/>
  <c r="G43" i="18"/>
  <c r="F43" i="18"/>
  <c r="E43" i="18"/>
  <c r="F40" i="18"/>
  <c r="E40" i="18"/>
  <c r="D40" i="18"/>
  <c r="C40" i="18"/>
  <c r="I30" i="18"/>
  <c r="G30" i="18"/>
  <c r="F30" i="18"/>
  <c r="E30" i="18"/>
  <c r="I29" i="18"/>
  <c r="G29" i="18"/>
  <c r="F29" i="18"/>
  <c r="E29" i="18"/>
  <c r="I27" i="18"/>
  <c r="G27" i="18"/>
  <c r="F27" i="18"/>
  <c r="E27" i="18"/>
  <c r="F24" i="18"/>
  <c r="E24" i="18"/>
  <c r="D24" i="18"/>
  <c r="C24" i="18"/>
  <c r="I14" i="18"/>
  <c r="G14" i="18"/>
  <c r="F14" i="18"/>
  <c r="E14" i="18"/>
  <c r="I13" i="18"/>
  <c r="G13" i="18"/>
  <c r="F13" i="18"/>
  <c r="E13" i="18"/>
  <c r="I11" i="18"/>
  <c r="G11" i="18"/>
  <c r="F11" i="18"/>
  <c r="E11" i="18"/>
  <c r="F8" i="18"/>
  <c r="E8" i="18"/>
  <c r="D8" i="18"/>
  <c r="C8" i="18"/>
  <c r="A2" i="18"/>
  <c r="L215" i="1"/>
  <c r="L214" i="1"/>
  <c r="L213" i="1"/>
  <c r="L212" i="1"/>
  <c r="P211" i="1"/>
  <c r="O211" i="1"/>
  <c r="N211" i="1"/>
  <c r="L211" i="1"/>
  <c r="L210" i="1"/>
  <c r="M209" i="1" s="1"/>
  <c r="P209" i="1"/>
  <c r="O209" i="1"/>
  <c r="N209" i="1"/>
  <c r="L209" i="1"/>
  <c r="L208" i="1"/>
  <c r="O206" i="1"/>
  <c r="S206" i="1" s="1"/>
  <c r="N206" i="1"/>
  <c r="R206" i="1" s="1"/>
  <c r="L206" i="1"/>
  <c r="O205" i="1"/>
  <c r="S205" i="1" s="1"/>
  <c r="N205" i="1"/>
  <c r="R205" i="1" s="1"/>
  <c r="L205" i="1"/>
  <c r="O204" i="1"/>
  <c r="S204" i="1" s="1"/>
  <c r="N204" i="1"/>
  <c r="R204" i="1" s="1"/>
  <c r="L204" i="1"/>
  <c r="L203" i="1"/>
  <c r="M202" i="1" s="1"/>
  <c r="O202" i="1"/>
  <c r="L202" i="1"/>
  <c r="L201" i="1"/>
  <c r="M200" i="1" s="1"/>
  <c r="G166" i="3" s="1"/>
  <c r="O200" i="1"/>
  <c r="L200" i="1"/>
  <c r="L199" i="1"/>
  <c r="M198" i="1" s="1"/>
  <c r="O198" i="1"/>
  <c r="L198" i="1"/>
  <c r="O197" i="1"/>
  <c r="S197" i="1" s="1"/>
  <c r="L197" i="1"/>
  <c r="O196" i="1"/>
  <c r="S196" i="1" s="1"/>
  <c r="N196" i="1"/>
  <c r="R196" i="1" s="1"/>
  <c r="L196" i="1"/>
  <c r="O195" i="1"/>
  <c r="S195" i="1" s="1"/>
  <c r="L195" i="1"/>
  <c r="O194" i="1"/>
  <c r="S194" i="1" s="1"/>
  <c r="L194" i="1"/>
  <c r="O193" i="1"/>
  <c r="S193" i="1" s="1"/>
  <c r="L193" i="1"/>
  <c r="O192" i="1"/>
  <c r="S192" i="1" s="1"/>
  <c r="L192" i="1"/>
  <c r="Q190" i="1"/>
  <c r="U190" i="1" s="1"/>
  <c r="P190" i="1"/>
  <c r="T190" i="1" s="1"/>
  <c r="O190" i="1"/>
  <c r="S190" i="1" s="1"/>
  <c r="L190" i="1"/>
  <c r="L189" i="1"/>
  <c r="M188" i="1" s="1"/>
  <c r="Q188" i="1"/>
  <c r="O188" i="1"/>
  <c r="L188" i="1"/>
  <c r="Q187" i="1"/>
  <c r="U187" i="1" s="1"/>
  <c r="O187" i="1"/>
  <c r="S187" i="1" s="1"/>
  <c r="L187" i="1"/>
  <c r="Q186" i="1"/>
  <c r="U186" i="1" s="1"/>
  <c r="O186" i="1"/>
  <c r="S186" i="1" s="1"/>
  <c r="L186" i="1"/>
  <c r="Q185" i="1"/>
  <c r="U185" i="1" s="1"/>
  <c r="O185" i="1"/>
  <c r="S185" i="1" s="1"/>
  <c r="L185" i="1"/>
  <c r="O184" i="1"/>
  <c r="S184" i="1" s="1"/>
  <c r="L184" i="1"/>
  <c r="O183" i="1"/>
  <c r="S183" i="1" s="1"/>
  <c r="L183" i="1"/>
  <c r="O182" i="1"/>
  <c r="S182" i="1" s="1"/>
  <c r="L182" i="1"/>
  <c r="O181" i="1"/>
  <c r="S181" i="1" s="1"/>
  <c r="L181" i="1"/>
  <c r="O180" i="1"/>
  <c r="S180" i="1" s="1"/>
  <c r="L180" i="1"/>
  <c r="Q179" i="1"/>
  <c r="U179" i="1" s="1"/>
  <c r="O179" i="1"/>
  <c r="S179" i="1" s="1"/>
  <c r="L179" i="1"/>
  <c r="O178" i="1"/>
  <c r="S178" i="1" s="1"/>
  <c r="L178" i="1"/>
  <c r="L176" i="1"/>
  <c r="M175" i="1" s="1"/>
  <c r="O175" i="1"/>
  <c r="N175" i="1"/>
  <c r="L175" i="1"/>
  <c r="L174" i="1"/>
  <c r="M173" i="1" s="1"/>
  <c r="O173" i="1"/>
  <c r="N173" i="1"/>
  <c r="L173" i="1"/>
  <c r="L172" i="1"/>
  <c r="M171" i="1" s="1"/>
  <c r="O171" i="1"/>
  <c r="N171" i="1"/>
  <c r="L171" i="1"/>
  <c r="L170" i="1"/>
  <c r="M169" i="1" s="1"/>
  <c r="O169" i="1"/>
  <c r="N169" i="1"/>
  <c r="L169" i="1"/>
  <c r="L166" i="1"/>
  <c r="M165" i="1" s="1"/>
  <c r="O165" i="1"/>
  <c r="N165" i="1"/>
  <c r="L165" i="1"/>
  <c r="O163" i="1"/>
  <c r="S163" i="1" s="1"/>
  <c r="L163" i="1"/>
  <c r="L162" i="1"/>
  <c r="M161" i="1" s="1"/>
  <c r="O161" i="1"/>
  <c r="N161" i="1"/>
  <c r="L161" i="1"/>
  <c r="L159" i="1"/>
  <c r="M158" i="1" s="1"/>
  <c r="G156" i="3" s="1"/>
  <c r="O158" i="1"/>
  <c r="L158" i="1"/>
  <c r="L157" i="1"/>
  <c r="M156" i="1" s="1"/>
  <c r="Q156" i="1"/>
  <c r="O156" i="1"/>
  <c r="L156" i="1"/>
  <c r="L155" i="1"/>
  <c r="M154" i="1" s="1"/>
  <c r="Q154" i="1"/>
  <c r="O154" i="1"/>
  <c r="L154" i="1"/>
  <c r="L153" i="1"/>
  <c r="M152" i="1" s="1"/>
  <c r="O152" i="1"/>
  <c r="L152" i="1"/>
  <c r="L150" i="1"/>
  <c r="M149" i="1" s="1"/>
  <c r="O149" i="1"/>
  <c r="N149" i="1"/>
  <c r="L149" i="1"/>
  <c r="Q148" i="1"/>
  <c r="U148" i="1" s="1"/>
  <c r="O148" i="1"/>
  <c r="S148" i="1" s="1"/>
  <c r="L148" i="1"/>
  <c r="Q147" i="1"/>
  <c r="U147" i="1" s="1"/>
  <c r="O147" i="1"/>
  <c r="S147" i="1" s="1"/>
  <c r="L147" i="1"/>
  <c r="Q146" i="1"/>
  <c r="U146" i="1" s="1"/>
  <c r="O146" i="1"/>
  <c r="S146" i="1" s="1"/>
  <c r="L146" i="1"/>
  <c r="L144" i="1"/>
  <c r="M143" i="1" s="1"/>
  <c r="O143" i="1"/>
  <c r="L143" i="1"/>
  <c r="L142" i="1"/>
  <c r="M141" i="1" s="1"/>
  <c r="G169" i="3" s="1"/>
  <c r="O141" i="1"/>
  <c r="L141" i="1"/>
  <c r="L140" i="1"/>
  <c r="M139" i="1" s="1"/>
  <c r="O139" i="1"/>
  <c r="N139" i="1"/>
  <c r="L139" i="1"/>
  <c r="O138" i="1"/>
  <c r="S138" i="1" s="1"/>
  <c r="L138" i="1"/>
  <c r="L137" i="1"/>
  <c r="L136" i="1"/>
  <c r="O135" i="1"/>
  <c r="L135" i="1"/>
  <c r="L134" i="1"/>
  <c r="M133" i="1" s="1"/>
  <c r="O133" i="1"/>
  <c r="L133" i="1"/>
  <c r="O132" i="1"/>
  <c r="S132" i="1" s="1"/>
  <c r="L132" i="1"/>
  <c r="L131" i="1"/>
  <c r="O130" i="1"/>
  <c r="S130" i="1" s="1"/>
  <c r="L130" i="1"/>
  <c r="O129" i="1"/>
  <c r="S129" i="1" s="1"/>
  <c r="L129" i="1"/>
  <c r="O128" i="1"/>
  <c r="S128" i="1" s="1"/>
  <c r="L128" i="1"/>
  <c r="Q127" i="1"/>
  <c r="U127" i="1" s="1"/>
  <c r="O127" i="1"/>
  <c r="S127" i="1" s="1"/>
  <c r="L127" i="1"/>
  <c r="L126" i="1"/>
  <c r="L123" i="1"/>
  <c r="M122" i="1" s="1"/>
  <c r="O122" i="1"/>
  <c r="L122" i="1"/>
  <c r="L121" i="1"/>
  <c r="M120" i="1" s="1"/>
  <c r="O120" i="1"/>
  <c r="L120" i="1"/>
  <c r="L119" i="1"/>
  <c r="M118" i="1" s="1"/>
  <c r="G213" i="12" s="1"/>
  <c r="O118" i="1"/>
  <c r="L118" i="1"/>
  <c r="L116" i="1"/>
  <c r="M115" i="1" s="1"/>
  <c r="O115" i="1"/>
  <c r="L115" i="1"/>
  <c r="L114" i="1"/>
  <c r="M113" i="1" s="1"/>
  <c r="O113" i="1"/>
  <c r="L113" i="1"/>
  <c r="L112" i="1"/>
  <c r="M111" i="1" s="1"/>
  <c r="O111" i="1"/>
  <c r="L111" i="1"/>
  <c r="L110" i="1"/>
  <c r="M109" i="1" s="1"/>
  <c r="O109" i="1"/>
  <c r="L109" i="1"/>
  <c r="L108" i="1"/>
  <c r="M107" i="1" s="1"/>
  <c r="O107" i="1"/>
  <c r="N107" i="1"/>
  <c r="L107" i="1"/>
  <c r="L106" i="1"/>
  <c r="M105" i="1" s="1"/>
  <c r="O105" i="1"/>
  <c r="L105" i="1"/>
  <c r="L102" i="1"/>
  <c r="M101" i="1" s="1"/>
  <c r="O101" i="1"/>
  <c r="N101" i="1"/>
  <c r="L101" i="1"/>
  <c r="L100" i="1"/>
  <c r="M99" i="1" s="1"/>
  <c r="O99" i="1"/>
  <c r="L99" i="1"/>
  <c r="L98" i="1"/>
  <c r="M97" i="1" s="1"/>
  <c r="G29" i="9" s="1"/>
  <c r="O97" i="1"/>
  <c r="N97" i="1"/>
  <c r="L97" i="1"/>
  <c r="L95" i="1"/>
  <c r="M94" i="1" s="1"/>
  <c r="O94" i="1"/>
  <c r="N94" i="1"/>
  <c r="L94" i="1"/>
  <c r="L93" i="1"/>
  <c r="M92" i="1" s="1"/>
  <c r="O92" i="1"/>
  <c r="N92" i="1"/>
  <c r="L92" i="1"/>
  <c r="L91" i="1"/>
  <c r="L90" i="1"/>
  <c r="O89" i="1"/>
  <c r="N89" i="1"/>
  <c r="L89" i="1"/>
  <c r="L88" i="1"/>
  <c r="M87" i="1" s="1"/>
  <c r="O87" i="1"/>
  <c r="N87" i="1"/>
  <c r="L87" i="1"/>
  <c r="L86" i="1"/>
  <c r="M85" i="1" s="1"/>
  <c r="O85" i="1"/>
  <c r="N85" i="1"/>
  <c r="L85" i="1"/>
  <c r="L84" i="1"/>
  <c r="L83" i="1"/>
  <c r="O82" i="1"/>
  <c r="N82" i="1"/>
  <c r="L82" i="1"/>
  <c r="L81" i="1"/>
  <c r="M80" i="1" s="1"/>
  <c r="O80" i="1"/>
  <c r="N80" i="1"/>
  <c r="L80" i="1"/>
  <c r="L79" i="1"/>
  <c r="M78" i="1" s="1"/>
  <c r="O78" i="1"/>
  <c r="N78" i="1"/>
  <c r="L78" i="1"/>
  <c r="L77" i="1"/>
  <c r="M76" i="1" s="1"/>
  <c r="O76" i="1"/>
  <c r="N76" i="1"/>
  <c r="L76" i="1"/>
  <c r="L75" i="1"/>
  <c r="L71" i="1"/>
  <c r="M70" i="1" s="1"/>
  <c r="O70" i="1"/>
  <c r="L70" i="1"/>
  <c r="T69" i="1"/>
  <c r="O69" i="1"/>
  <c r="S69" i="1" s="1"/>
  <c r="L69" i="1"/>
  <c r="T68" i="1"/>
  <c r="O68" i="1"/>
  <c r="S68" i="1" s="1"/>
  <c r="L68" i="1"/>
  <c r="O67" i="1"/>
  <c r="S67" i="1" s="1"/>
  <c r="L67" i="1"/>
  <c r="L66" i="1"/>
  <c r="M65" i="1" s="1"/>
  <c r="O65" i="1"/>
  <c r="L65" i="1"/>
  <c r="L64" i="1"/>
  <c r="M63" i="1" s="1"/>
  <c r="O63" i="1"/>
  <c r="L63" i="1"/>
  <c r="L62" i="1"/>
  <c r="M61" i="1" s="1"/>
  <c r="Q61" i="1"/>
  <c r="O61" i="1"/>
  <c r="L61" i="1"/>
  <c r="L60" i="1"/>
  <c r="M59" i="1" s="1"/>
  <c r="G114" i="3" s="1"/>
  <c r="O59" i="1"/>
  <c r="L59" i="1"/>
  <c r="L57" i="1"/>
  <c r="M56" i="1" s="1"/>
  <c r="G142" i="3" s="1"/>
  <c r="O56" i="1"/>
  <c r="L56" i="1"/>
  <c r="L55" i="1"/>
  <c r="L54" i="1"/>
  <c r="O53" i="1"/>
  <c r="L53" i="1"/>
  <c r="L52" i="1"/>
  <c r="M51" i="1" s="1"/>
  <c r="O51" i="1"/>
  <c r="L51" i="1"/>
  <c r="L50" i="1"/>
  <c r="M49" i="1" s="1"/>
  <c r="Q49" i="1"/>
  <c r="O49" i="1"/>
  <c r="L49" i="1"/>
  <c r="L48" i="1"/>
  <c r="L47" i="1"/>
  <c r="O46" i="1"/>
  <c r="L46" i="1"/>
  <c r="L44" i="1"/>
  <c r="M43" i="1" s="1"/>
  <c r="O43" i="1"/>
  <c r="N43" i="1"/>
  <c r="L43" i="1"/>
  <c r="O42" i="1"/>
  <c r="S42" i="1" s="1"/>
  <c r="N42" i="1"/>
  <c r="R42" i="1" s="1"/>
  <c r="L42" i="1"/>
  <c r="L39" i="1"/>
  <c r="M38" i="1" s="1"/>
  <c r="O38" i="1"/>
  <c r="N38" i="1"/>
  <c r="L38" i="1"/>
  <c r="L37" i="1"/>
  <c r="M36" i="1" s="1"/>
  <c r="O36" i="1"/>
  <c r="L36" i="1"/>
  <c r="L35" i="1"/>
  <c r="M34" i="1" s="1"/>
  <c r="O34" i="1"/>
  <c r="N34" i="1"/>
  <c r="L34" i="1"/>
  <c r="L32" i="1"/>
  <c r="M31" i="1" s="1"/>
  <c r="O31" i="1"/>
  <c r="N31" i="1"/>
  <c r="L31" i="1"/>
  <c r="L30" i="1"/>
  <c r="M29" i="1" s="1"/>
  <c r="O29" i="1"/>
  <c r="N29" i="1"/>
  <c r="L29" i="1"/>
  <c r="L28" i="1"/>
  <c r="O27" i="1"/>
  <c r="S27" i="1" s="1"/>
  <c r="N27" i="1"/>
  <c r="R27" i="1" s="1"/>
  <c r="L27" i="1"/>
  <c r="L26" i="1"/>
  <c r="M25" i="1" s="1"/>
  <c r="O25" i="1"/>
  <c r="N25" i="1"/>
  <c r="L25" i="1"/>
  <c r="L24" i="1"/>
  <c r="M23" i="1" s="1"/>
  <c r="O23" i="1"/>
  <c r="N23" i="1"/>
  <c r="L23" i="1"/>
  <c r="L22" i="1"/>
  <c r="M21" i="1" s="1"/>
  <c r="O21" i="1"/>
  <c r="N21" i="1"/>
  <c r="L21" i="1"/>
  <c r="L20" i="1"/>
  <c r="O19" i="1"/>
  <c r="S19" i="1" s="1"/>
  <c r="N19" i="1"/>
  <c r="R19" i="1" s="1"/>
  <c r="L19" i="1"/>
  <c r="O18" i="1"/>
  <c r="S18" i="1" s="1"/>
  <c r="N18" i="1"/>
  <c r="R18" i="1" s="1"/>
  <c r="L18" i="1"/>
  <c r="L17" i="1"/>
  <c r="M16" i="1" s="1"/>
  <c r="O16" i="1"/>
  <c r="N16" i="1"/>
  <c r="L16" i="1"/>
  <c r="L15" i="1"/>
  <c r="M14" i="1" s="1"/>
  <c r="O14" i="1"/>
  <c r="N14" i="1"/>
  <c r="L14" i="1"/>
  <c r="L13" i="1"/>
  <c r="M12" i="1" s="1"/>
  <c r="O12" i="1"/>
  <c r="N12" i="1"/>
  <c r="L12" i="1"/>
  <c r="L11" i="1"/>
  <c r="AC8" i="1"/>
  <c r="L7" i="1"/>
  <c r="J12" i="17"/>
  <c r="I12" i="17"/>
  <c r="A2" i="17"/>
  <c r="A2" i="19" s="1"/>
  <c r="A2" i="14" s="1"/>
  <c r="H1" i="17"/>
  <c r="I4" i="17" s="1"/>
  <c r="L12" i="42"/>
  <c r="K12" i="42"/>
  <c r="J1" i="42"/>
  <c r="AA82" i="43"/>
  <c r="AJ80" i="43"/>
  <c r="AI80" i="43"/>
  <c r="AH80" i="43"/>
  <c r="AG80" i="43"/>
  <c r="AF80" i="43"/>
  <c r="AE80" i="43"/>
  <c r="AD80" i="43"/>
  <c r="AC80" i="43"/>
  <c r="AB80" i="43"/>
  <c r="AA80" i="43"/>
  <c r="M70" i="43"/>
  <c r="L70" i="43" s="1"/>
  <c r="M68" i="43"/>
  <c r="L68" i="43" s="1"/>
  <c r="K62" i="43"/>
  <c r="R55" i="43"/>
  <c r="R54" i="43"/>
  <c r="M64" i="43" s="1"/>
  <c r="R52" i="43"/>
  <c r="AK47" i="43"/>
  <c r="G34" i="43"/>
  <c r="I27" i="43"/>
  <c r="I26" i="43"/>
  <c r="D19" i="43"/>
  <c r="D18" i="43"/>
  <c r="D15" i="43"/>
  <c r="G18" i="18" l="1"/>
  <c r="H282" i="18"/>
  <c r="G1205" i="18"/>
  <c r="G68" i="18"/>
  <c r="G195" i="18"/>
  <c r="G412" i="18"/>
  <c r="G862" i="18"/>
  <c r="G1350" i="18"/>
  <c r="G1417" i="18"/>
  <c r="G132" i="18"/>
  <c r="G473" i="18"/>
  <c r="G617" i="18"/>
  <c r="G1008" i="18"/>
  <c r="G1648" i="18"/>
  <c r="G1689" i="18"/>
  <c r="G1815" i="18"/>
  <c r="G163" i="18"/>
  <c r="G233" i="18"/>
  <c r="G585" i="18"/>
  <c r="G1245" i="18"/>
  <c r="G1334" i="18"/>
  <c r="G1574" i="18"/>
  <c r="G1669" i="18"/>
  <c r="G1764" i="18"/>
  <c r="G1799" i="18"/>
  <c r="G1859" i="18"/>
  <c r="G116" i="18"/>
  <c r="G309" i="18"/>
  <c r="G601" i="18"/>
  <c r="G1207" i="18"/>
  <c r="G1048" i="18"/>
  <c r="G1088" i="18"/>
  <c r="G1173" i="18"/>
  <c r="G1365" i="18"/>
  <c r="G1469" i="18"/>
  <c r="G1523" i="18"/>
  <c r="G1605" i="18"/>
  <c r="G20" i="18"/>
  <c r="G147" i="18"/>
  <c r="G823" i="18"/>
  <c r="G1281" i="18"/>
  <c r="G1557" i="18"/>
  <c r="G1784" i="18"/>
  <c r="Y51" i="4"/>
  <c r="M47" i="2" s="1"/>
  <c r="G36" i="18"/>
  <c r="G665" i="18"/>
  <c r="G758" i="18"/>
  <c r="G989" i="18"/>
  <c r="G1627" i="18"/>
  <c r="H219" i="3"/>
  <c r="H238" i="3"/>
  <c r="Y15" i="4"/>
  <c r="M10" i="2" s="1"/>
  <c r="Y23" i="4"/>
  <c r="M19" i="2" s="1"/>
  <c r="Y31" i="4"/>
  <c r="M27" i="2" s="1"/>
  <c r="Y39" i="4"/>
  <c r="M35" i="2" s="1"/>
  <c r="H231" i="12"/>
  <c r="J231" i="12" s="1"/>
  <c r="S231" i="12" s="1"/>
  <c r="G1809" i="18"/>
  <c r="G1148" i="18"/>
  <c r="G1616" i="18"/>
  <c r="G1129" i="18"/>
  <c r="H222" i="3"/>
  <c r="G1445" i="18"/>
  <c r="H239" i="3"/>
  <c r="G370" i="18"/>
  <c r="G718" i="18"/>
  <c r="G1395" i="18"/>
  <c r="G1440" i="18"/>
  <c r="G1451" i="18"/>
  <c r="G1704" i="18"/>
  <c r="G1744" i="18"/>
  <c r="H229" i="12"/>
  <c r="J229" i="12" s="1"/>
  <c r="S149" i="1"/>
  <c r="G82" i="18"/>
  <c r="G251" i="18"/>
  <c r="G351" i="18"/>
  <c r="G517" i="18"/>
  <c r="G553" i="18"/>
  <c r="G681" i="18"/>
  <c r="G774" i="18"/>
  <c r="G909" i="18"/>
  <c r="G1031" i="18"/>
  <c r="G1190" i="18"/>
  <c r="G1540" i="18"/>
  <c r="G1591" i="18"/>
  <c r="G1843" i="18"/>
  <c r="H210" i="3"/>
  <c r="H215" i="3"/>
  <c r="G84" i="18"/>
  <c r="G216" i="18"/>
  <c r="G452" i="18"/>
  <c r="G505" i="18"/>
  <c r="G697" i="18"/>
  <c r="G930" i="18"/>
  <c r="G969" i="18"/>
  <c r="G1068" i="18"/>
  <c r="G1157" i="18"/>
  <c r="G1261" i="18"/>
  <c r="G1487" i="18"/>
  <c r="G1845" i="18"/>
  <c r="G52" i="18"/>
  <c r="G179" i="18"/>
  <c r="G293" i="18"/>
  <c r="G330" i="18"/>
  <c r="G396" i="18"/>
  <c r="G433" i="18"/>
  <c r="G841" i="18"/>
  <c r="G891" i="18"/>
  <c r="G948" i="18"/>
  <c r="G1236" i="18"/>
  <c r="G1317" i="18"/>
  <c r="G1433" i="18"/>
  <c r="G1727" i="18"/>
  <c r="K145" i="22"/>
  <c r="G100" i="18"/>
  <c r="G267" i="18"/>
  <c r="G497" i="18"/>
  <c r="G569" i="18"/>
  <c r="G633" i="18"/>
  <c r="G735" i="18"/>
  <c r="G795" i="18"/>
  <c r="G1120" i="18"/>
  <c r="G1229" i="18"/>
  <c r="G219" i="32"/>
  <c r="H211" i="3"/>
  <c r="G461" i="18"/>
  <c r="G1857" i="18"/>
  <c r="G1603" i="18"/>
  <c r="G1572" i="18"/>
  <c r="G1431" i="18"/>
  <c r="G1393" i="18"/>
  <c r="G1332" i="18"/>
  <c r="G1155" i="18"/>
  <c r="G1118" i="18"/>
  <c r="G1101" i="18"/>
  <c r="G1046" i="18"/>
  <c r="G1029" i="18"/>
  <c r="G907" i="18"/>
  <c r="G679" i="18"/>
  <c r="G615" i="18"/>
  <c r="G551" i="18"/>
  <c r="G515" i="18"/>
  <c r="G431" i="18"/>
  <c r="G368" i="18"/>
  <c r="G249" i="18"/>
  <c r="G145" i="18"/>
  <c r="G50" i="18"/>
  <c r="G860" i="18"/>
  <c r="G821" i="18"/>
  <c r="G772" i="18"/>
  <c r="G647" i="18"/>
  <c r="G583" i="18"/>
  <c r="G177" i="18"/>
  <c r="G1813" i="18"/>
  <c r="G1782" i="18"/>
  <c r="G1742" i="18"/>
  <c r="G1725" i="18"/>
  <c r="G1687" i="18"/>
  <c r="G1667" i="18"/>
  <c r="G1521" i="18"/>
  <c r="G1485" i="18"/>
  <c r="G1449" i="18"/>
  <c r="G1348" i="18"/>
  <c r="G1138" i="18"/>
  <c r="G1006" i="18"/>
  <c r="G928" i="18"/>
  <c r="G889" i="18"/>
  <c r="G839" i="18"/>
  <c r="G756" i="18"/>
  <c r="G733" i="18"/>
  <c r="G716" i="18"/>
  <c r="G695" i="18"/>
  <c r="G631" i="18"/>
  <c r="G567" i="18"/>
  <c r="G495" i="18"/>
  <c r="G471" i="18"/>
  <c r="G410" i="18"/>
  <c r="G394" i="18"/>
  <c r="G349" i="18"/>
  <c r="G328" i="18"/>
  <c r="G265" i="18"/>
  <c r="G161" i="18"/>
  <c r="G98" i="18"/>
  <c r="G66" i="18"/>
  <c r="G1829" i="18"/>
  <c r="G1797" i="18"/>
  <c r="G1762" i="18"/>
  <c r="G1702" i="18"/>
  <c r="G1646" i="18"/>
  <c r="G1538" i="18"/>
  <c r="G1363" i="18"/>
  <c r="G1279" i="18"/>
  <c r="G1243" i="18"/>
  <c r="G987" i="18"/>
  <c r="G967" i="18"/>
  <c r="G946" i="18"/>
  <c r="G307" i="18"/>
  <c r="G65" i="18"/>
  <c r="G130" i="18"/>
  <c r="G176" i="18"/>
  <c r="G231" i="18"/>
  <c r="G427" i="18"/>
  <c r="G533" i="18"/>
  <c r="G582" i="18"/>
  <c r="G663" i="18"/>
  <c r="G793" i="18"/>
  <c r="G820" i="18"/>
  <c r="G859" i="18"/>
  <c r="G945" i="18"/>
  <c r="G1086" i="18"/>
  <c r="G1188" i="18"/>
  <c r="G1259" i="18"/>
  <c r="G1278" i="18"/>
  <c r="G1315" i="18"/>
  <c r="G1362" i="18"/>
  <c r="G1555" i="18"/>
  <c r="G1589" i="18"/>
  <c r="G1645" i="18"/>
  <c r="Q112" i="22"/>
  <c r="M112" i="22"/>
  <c r="G798" i="32"/>
  <c r="G1658" i="18"/>
  <c r="H223" i="3"/>
  <c r="G847" i="32"/>
  <c r="H220" i="3"/>
  <c r="G852" i="32"/>
  <c r="H239" i="12"/>
  <c r="G1758" i="18"/>
  <c r="G1842" i="18"/>
  <c r="G1624" i="18"/>
  <c r="G1588" i="18"/>
  <c r="G1554" i="18"/>
  <c r="G1502" i="18"/>
  <c r="G1466" i="18"/>
  <c r="G1414" i="18"/>
  <c r="G1377" i="18"/>
  <c r="G1314" i="18"/>
  <c r="G1294" i="18"/>
  <c r="G1258" i="18"/>
  <c r="G1226" i="18"/>
  <c r="G1204" i="18"/>
  <c r="G1187" i="18"/>
  <c r="G1170" i="18"/>
  <c r="G1085" i="18"/>
  <c r="G1065" i="18"/>
  <c r="G792" i="18"/>
  <c r="G662" i="18"/>
  <c r="G598" i="18"/>
  <c r="G532" i="18"/>
  <c r="G449" i="18"/>
  <c r="G290" i="18"/>
  <c r="G230" i="18"/>
  <c r="G213" i="18"/>
  <c r="G192" i="18"/>
  <c r="G129" i="18"/>
  <c r="G33" i="18"/>
  <c r="G1686" i="18"/>
  <c r="G1520" i="18"/>
  <c r="G1347" i="18"/>
  <c r="G927" i="18"/>
  <c r="G838" i="18"/>
  <c r="G755" i="18"/>
  <c r="G715" i="18"/>
  <c r="G566" i="18"/>
  <c r="G494" i="18"/>
  <c r="G409" i="18"/>
  <c r="G393" i="18"/>
  <c r="G160" i="18"/>
  <c r="G1856" i="18"/>
  <c r="G1602" i="18"/>
  <c r="G1571" i="18"/>
  <c r="G1430" i="18"/>
  <c r="G1392" i="18"/>
  <c r="G1331" i="18"/>
  <c r="G1154" i="18"/>
  <c r="G1117" i="18"/>
  <c r="G1100" i="18"/>
  <c r="G1045" i="18"/>
  <c r="G1028" i="18"/>
  <c r="G906" i="18"/>
  <c r="G678" i="18"/>
  <c r="G614" i="18"/>
  <c r="G550" i="18"/>
  <c r="G514" i="18"/>
  <c r="G430" i="18"/>
  <c r="G367" i="18"/>
  <c r="G248" i="18"/>
  <c r="G144" i="18"/>
  <c r="G49" i="18"/>
  <c r="G1812" i="18"/>
  <c r="G1781" i="18"/>
  <c r="G1741" i="18"/>
  <c r="G1724" i="18"/>
  <c r="G1666" i="18"/>
  <c r="G1484" i="18"/>
  <c r="G1448" i="18"/>
  <c r="G1137" i="18"/>
  <c r="G1005" i="18"/>
  <c r="G888" i="18"/>
  <c r="G732" i="18"/>
  <c r="G694" i="18"/>
  <c r="G630" i="18"/>
  <c r="G470" i="18"/>
  <c r="G348" i="18"/>
  <c r="G327" i="18"/>
  <c r="G264" i="18"/>
  <c r="G34" i="18"/>
  <c r="G214" i="18"/>
  <c r="G450" i="18"/>
  <c r="G1467" i="18"/>
  <c r="G1503" i="18"/>
  <c r="G1625" i="18"/>
  <c r="G1828" i="18"/>
  <c r="H1618" i="18"/>
  <c r="H1736" i="18"/>
  <c r="H1000" i="18"/>
  <c r="H899" i="18"/>
  <c r="H1409" i="18"/>
  <c r="H1309" i="18"/>
  <c r="H1183" i="18"/>
  <c r="H1639" i="18"/>
  <c r="J1639" i="18" s="1"/>
  <c r="J1638" i="18" s="1"/>
  <c r="P193" i="1" s="1"/>
  <c r="T193" i="1" s="1"/>
  <c r="H1514" i="18"/>
  <c r="J1514" i="18" s="1"/>
  <c r="J1513" i="18" s="1"/>
  <c r="P184" i="1" s="1"/>
  <c r="T184" i="1" s="1"/>
  <c r="H1478" i="18"/>
  <c r="J1478" i="18" s="1"/>
  <c r="J1477" i="18" s="1"/>
  <c r="P182" i="1" s="1"/>
  <c r="T182" i="1" s="1"/>
  <c r="H463" i="18"/>
  <c r="J463" i="18" s="1"/>
  <c r="J462" i="18" s="1"/>
  <c r="P67" i="1" s="1"/>
  <c r="T67" i="1" s="1"/>
  <c r="H302" i="18"/>
  <c r="J302" i="18" s="1"/>
  <c r="J301" i="18" s="1"/>
  <c r="P49" i="1" s="1"/>
  <c r="T49" i="1" s="1"/>
  <c r="H1584" i="18"/>
  <c r="H1166" i="18"/>
  <c r="H385" i="18"/>
  <c r="G146" i="32"/>
  <c r="G324" i="18"/>
  <c r="H253" i="12"/>
  <c r="G401" i="32"/>
  <c r="G835" i="18"/>
  <c r="G420" i="32"/>
  <c r="H237" i="3"/>
  <c r="G113" i="18"/>
  <c r="G1066" i="18"/>
  <c r="G17" i="18"/>
  <c r="G81" i="18"/>
  <c r="G114" i="18"/>
  <c r="G193" i="18"/>
  <c r="G306" i="18"/>
  <c r="G599" i="18"/>
  <c r="G646" i="18"/>
  <c r="G771" i="18"/>
  <c r="G986" i="18"/>
  <c r="H1112" i="18"/>
  <c r="J1112" i="18" s="1"/>
  <c r="J1111" i="18" s="1"/>
  <c r="P141" i="1" s="1"/>
  <c r="T141" i="1" s="1"/>
  <c r="G1171" i="18"/>
  <c r="G1227" i="18"/>
  <c r="G1242" i="18"/>
  <c r="G1295" i="18"/>
  <c r="G1378" i="18"/>
  <c r="G1415" i="18"/>
  <c r="H1460" i="18"/>
  <c r="J1460" i="18" s="1"/>
  <c r="J1459" i="18" s="1"/>
  <c r="P181" i="1" s="1"/>
  <c r="T181" i="1" s="1"/>
  <c r="H1496" i="18"/>
  <c r="J1496" i="18" s="1"/>
  <c r="J1495" i="18" s="1"/>
  <c r="P183" i="1" s="1"/>
  <c r="T183" i="1" s="1"/>
  <c r="G1537" i="18"/>
  <c r="G1701" i="18"/>
  <c r="K76" i="22"/>
  <c r="K75" i="22" s="1"/>
  <c r="K115" i="22"/>
  <c r="K579" i="22"/>
  <c r="M46" i="1"/>
  <c r="F29" i="33" s="1"/>
  <c r="G280" i="18"/>
  <c r="H507" i="18"/>
  <c r="G804" i="18"/>
  <c r="H852" i="18"/>
  <c r="H1020" i="18"/>
  <c r="H1220" i="18"/>
  <c r="H1533" i="18"/>
  <c r="J1533" i="18" s="1"/>
  <c r="J1532" i="18" s="1"/>
  <c r="P185" i="1" s="1"/>
  <c r="T185" i="1" s="1"/>
  <c r="H1550" i="18"/>
  <c r="H1567" i="18"/>
  <c r="J1567" i="18" s="1"/>
  <c r="J1566" i="18" s="1"/>
  <c r="P187" i="1" s="1"/>
  <c r="T187" i="1" s="1"/>
  <c r="H1716" i="18"/>
  <c r="H1806" i="18"/>
  <c r="J1806" i="18" s="1"/>
  <c r="J1805" i="18" s="1"/>
  <c r="P205" i="1" s="1"/>
  <c r="T205" i="1" s="1"/>
  <c r="H208" i="3"/>
  <c r="M460" i="22"/>
  <c r="M467" i="22"/>
  <c r="M471" i="22"/>
  <c r="M470" i="22" s="1"/>
  <c r="M504" i="22"/>
  <c r="M503" i="22" s="1"/>
  <c r="M600" i="22"/>
  <c r="M599" i="22" s="1"/>
  <c r="M716" i="22"/>
  <c r="M53" i="1"/>
  <c r="J213" i="12"/>
  <c r="G143" i="18"/>
  <c r="G149" i="18"/>
  <c r="G175" i="18"/>
  <c r="G181" i="18"/>
  <c r="G364" i="18"/>
  <c r="H405" i="18"/>
  <c r="H487" i="18"/>
  <c r="J487" i="18" s="1"/>
  <c r="J486" i="18" s="1"/>
  <c r="H526" i="18"/>
  <c r="G817" i="18"/>
  <c r="H831" i="18"/>
  <c r="J831" i="18" s="1"/>
  <c r="J830" i="18" s="1"/>
  <c r="P113" i="1" s="1"/>
  <c r="T113" i="1" s="1"/>
  <c r="H920" i="18"/>
  <c r="J920" i="18" s="1"/>
  <c r="J919" i="18" s="1"/>
  <c r="P122" i="1" s="1"/>
  <c r="T122" i="1" s="1"/>
  <c r="H981" i="18"/>
  <c r="H1150" i="18"/>
  <c r="J1150" i="18" s="1"/>
  <c r="J1149" i="18" s="1"/>
  <c r="P146" i="1" s="1"/>
  <c r="T146" i="1" s="1"/>
  <c r="H1238" i="18"/>
  <c r="H1442" i="18"/>
  <c r="H232" i="3"/>
  <c r="J232" i="3" s="1"/>
  <c r="W232" i="3" s="1"/>
  <c r="H257" i="12"/>
  <c r="J180" i="14"/>
  <c r="M280" i="22"/>
  <c r="M292" i="22"/>
  <c r="M385" i="22"/>
  <c r="M560" i="22"/>
  <c r="M559" i="22" s="1"/>
  <c r="K745" i="22"/>
  <c r="M877" i="22"/>
  <c r="M876" i="22" s="1"/>
  <c r="H235" i="12"/>
  <c r="J235" i="12" s="1"/>
  <c r="S198" i="1"/>
  <c r="H241" i="3"/>
  <c r="J241" i="3" s="1"/>
  <c r="H243" i="3"/>
  <c r="J243" i="3" s="1"/>
  <c r="K110" i="22"/>
  <c r="G1499" i="18"/>
  <c r="G1517" i="18"/>
  <c r="G1714" i="18"/>
  <c r="G1164" i="18"/>
  <c r="G1494" i="18"/>
  <c r="G1512" i="18"/>
  <c r="H251" i="12"/>
  <c r="M337" i="22"/>
  <c r="M336" i="22" s="1"/>
  <c r="G1201" i="18"/>
  <c r="G1057" i="18"/>
  <c r="H236" i="12"/>
  <c r="J236" i="12" s="1"/>
  <c r="H226" i="3"/>
  <c r="J226" i="3" s="1"/>
  <c r="W226" i="3" s="1"/>
  <c r="H244" i="3"/>
  <c r="G1277" i="18"/>
  <c r="G1283" i="18"/>
  <c r="G1330" i="18"/>
  <c r="G1336" i="18"/>
  <c r="H249" i="12"/>
  <c r="M224" i="22"/>
  <c r="M333" i="22"/>
  <c r="M468" i="22"/>
  <c r="M483" i="22"/>
  <c r="M482" i="22" s="1"/>
  <c r="M525" i="22"/>
  <c r="M524" i="22" s="1"/>
  <c r="M570" i="22"/>
  <c r="M569" i="22" s="1"/>
  <c r="M586" i="22"/>
  <c r="M585" i="22" s="1"/>
  <c r="K654" i="22"/>
  <c r="K653" i="22" s="1"/>
  <c r="J169" i="3"/>
  <c r="G467" i="18"/>
  <c r="G819" i="18"/>
  <c r="G825" i="18"/>
  <c r="G1270" i="18"/>
  <c r="G1458" i="18"/>
  <c r="G1827" i="18"/>
  <c r="G1833" i="18"/>
  <c r="H227" i="3"/>
  <c r="J227" i="3" s="1"/>
  <c r="H230" i="3"/>
  <c r="J230" i="3" s="1"/>
  <c r="W230" i="3" s="1"/>
  <c r="M42" i="22"/>
  <c r="K118" i="22"/>
  <c r="M273" i="22"/>
  <c r="M320" i="22"/>
  <c r="M319" i="22" s="1"/>
  <c r="M606" i="22"/>
  <c r="M723" i="22"/>
  <c r="M722" i="22" s="1"/>
  <c r="M86" i="33"/>
  <c r="G524" i="18"/>
  <c r="G752" i="18"/>
  <c r="G903" i="18"/>
  <c r="G1018" i="18"/>
  <c r="G1679" i="18"/>
  <c r="G1760" i="18"/>
  <c r="G1766" i="18"/>
  <c r="H242" i="3"/>
  <c r="H227" i="12"/>
  <c r="H232" i="12"/>
  <c r="J28" i="14"/>
  <c r="J251" i="22"/>
  <c r="K226" i="12" s="1"/>
  <c r="K747" i="22"/>
  <c r="H608" i="18"/>
  <c r="J608" i="18" s="1"/>
  <c r="J607" i="18" s="1"/>
  <c r="P85" i="1" s="1"/>
  <c r="T85" i="1" s="1"/>
  <c r="H243" i="12"/>
  <c r="K423" i="22"/>
  <c r="K479" i="22"/>
  <c r="K690" i="22"/>
  <c r="K689" i="22" s="1"/>
  <c r="H560" i="18"/>
  <c r="J560" i="18" s="1"/>
  <c r="J559" i="18" s="1"/>
  <c r="P78" i="1" s="1"/>
  <c r="T78" i="1" s="1"/>
  <c r="H807" i="18"/>
  <c r="M87" i="22"/>
  <c r="M466" i="22"/>
  <c r="Y41" i="4"/>
  <c r="M37" i="2" s="1"/>
  <c r="Y45" i="4"/>
  <c r="M41" i="2" s="1"/>
  <c r="O79" i="5"/>
  <c r="P79" i="5" s="1"/>
  <c r="AL79" i="5" s="1"/>
  <c r="AN79" i="5" s="1"/>
  <c r="AO79" i="5" s="1"/>
  <c r="N33" i="2" s="1"/>
  <c r="H242" i="18"/>
  <c r="J242" i="18" s="1"/>
  <c r="J241" i="18" s="1"/>
  <c r="P42" i="1" s="1"/>
  <c r="T42" i="1" s="1"/>
  <c r="H745" i="18"/>
  <c r="J745" i="18" s="1"/>
  <c r="J744" i="18" s="1"/>
  <c r="P105" i="1" s="1"/>
  <c r="T105" i="1" s="1"/>
  <c r="H705" i="18"/>
  <c r="K395" i="22"/>
  <c r="K394" i="22" s="1"/>
  <c r="G1025" i="18"/>
  <c r="Y38" i="4"/>
  <c r="M34" i="2" s="1"/>
  <c r="K210" i="22"/>
  <c r="K209" i="22" s="1"/>
  <c r="K298" i="22"/>
  <c r="K310" i="22"/>
  <c r="K819" i="22"/>
  <c r="K818" i="22" s="1"/>
  <c r="G300" i="18"/>
  <c r="H123" i="18"/>
  <c r="J123" i="18" s="1"/>
  <c r="J122" i="18" s="1"/>
  <c r="P25" i="1" s="1"/>
  <c r="T25" i="1" s="1"/>
  <c r="G446" i="18"/>
  <c r="H1372" i="18"/>
  <c r="J1372" i="18" s="1"/>
  <c r="J1371" i="18" s="1"/>
  <c r="H214" i="3"/>
  <c r="K556" i="22"/>
  <c r="K597" i="22"/>
  <c r="H689" i="18"/>
  <c r="J689" i="18" s="1"/>
  <c r="J688" i="18" s="1"/>
  <c r="N99" i="5"/>
  <c r="O99" i="5" s="1"/>
  <c r="P99" i="5" s="1"/>
  <c r="K86" i="22"/>
  <c r="K119" i="22"/>
  <c r="M143" i="22"/>
  <c r="M202" i="22"/>
  <c r="M230" i="22"/>
  <c r="M249" i="22"/>
  <c r="G441" i="18"/>
  <c r="H656" i="18"/>
  <c r="J656" i="18" s="1"/>
  <c r="J655" i="18" s="1"/>
  <c r="P92" i="1" s="1"/>
  <c r="T92" i="1" s="1"/>
  <c r="M13" i="22"/>
  <c r="K450" i="22"/>
  <c r="K449" i="22" s="1"/>
  <c r="M117" i="22"/>
  <c r="K141" i="22"/>
  <c r="M868" i="22"/>
  <c r="M867" i="22" s="1"/>
  <c r="H11" i="18"/>
  <c r="J11" i="18" s="1"/>
  <c r="J10" i="18" s="1"/>
  <c r="P12" i="1" s="1"/>
  <c r="T12" i="1" s="1"/>
  <c r="H765" i="18"/>
  <c r="J765" i="18" s="1"/>
  <c r="J764" i="18" s="1"/>
  <c r="P107" i="1" s="1"/>
  <c r="T107" i="1" s="1"/>
  <c r="J101" i="3"/>
  <c r="J100" i="3" s="1"/>
  <c r="K87" i="22"/>
  <c r="H187" i="18"/>
  <c r="J187" i="18" s="1"/>
  <c r="J186" i="18" s="1"/>
  <c r="P34" i="1" s="1"/>
  <c r="T34" i="1" s="1"/>
  <c r="H1342" i="18"/>
  <c r="J1342" i="18" s="1"/>
  <c r="J1341" i="18" s="1"/>
  <c r="H1387" i="18"/>
  <c r="J1387" i="18" s="1"/>
  <c r="J1386" i="18" s="1"/>
  <c r="P175" i="1" s="1"/>
  <c r="T175" i="1" s="1"/>
  <c r="H245" i="12"/>
  <c r="F42" i="19"/>
  <c r="K459" i="22"/>
  <c r="J590" i="22"/>
  <c r="K251" i="12" s="1"/>
  <c r="I735" i="22"/>
  <c r="H170" i="18"/>
  <c r="J170" i="18" s="1"/>
  <c r="J169" i="18" s="1"/>
  <c r="H1197" i="18"/>
  <c r="J1197" i="18" s="1"/>
  <c r="J1196" i="18" s="1"/>
  <c r="P149" i="1" s="1"/>
  <c r="T149" i="1" s="1"/>
  <c r="H1325" i="18"/>
  <c r="J161" i="14"/>
  <c r="K206" i="22"/>
  <c r="L469" i="22"/>
  <c r="M221" i="3" s="1"/>
  <c r="R221" i="3" s="1"/>
  <c r="J558" i="22"/>
  <c r="K219" i="3" s="1"/>
  <c r="I725" i="22"/>
  <c r="H43" i="18"/>
  <c r="J43" i="18" s="1"/>
  <c r="J42" i="18" s="1"/>
  <c r="P16" i="1" s="1"/>
  <c r="T16" i="1" s="1"/>
  <c r="H91" i="18"/>
  <c r="J91" i="18" s="1"/>
  <c r="J90" i="18" s="1"/>
  <c r="P21" i="1" s="1"/>
  <c r="T21" i="1" s="1"/>
  <c r="J379" i="22"/>
  <c r="M659" i="22"/>
  <c r="M658" i="22" s="1"/>
  <c r="M752" i="22"/>
  <c r="M832" i="22"/>
  <c r="H223" i="18"/>
  <c r="J223" i="18" s="1"/>
  <c r="J222" i="18" s="1"/>
  <c r="P38" i="1" s="1"/>
  <c r="T38" i="1" s="1"/>
  <c r="H1357" i="18"/>
  <c r="J1357" i="18" s="1"/>
  <c r="J1356" i="18" s="1"/>
  <c r="H1822" i="18"/>
  <c r="J1822" i="18" s="1"/>
  <c r="J1821" i="18" s="1"/>
  <c r="Y9" i="4"/>
  <c r="M5" i="2" s="1"/>
  <c r="L10" i="10"/>
  <c r="O43" i="16"/>
  <c r="M72" i="22"/>
  <c r="M257" i="22"/>
  <c r="M256" i="22" s="1"/>
  <c r="M303" i="22"/>
  <c r="M422" i="22"/>
  <c r="K515" i="22"/>
  <c r="K514" i="22" s="1"/>
  <c r="M841" i="22"/>
  <c r="M840" i="22" s="1"/>
  <c r="H544" i="18"/>
  <c r="H592" i="18"/>
  <c r="J592" i="18" s="1"/>
  <c r="J591" i="18" s="1"/>
  <c r="P82" i="1" s="1"/>
  <c r="H624" i="18"/>
  <c r="J624" i="18" s="1"/>
  <c r="J623" i="18" s="1"/>
  <c r="P87" i="1" s="1"/>
  <c r="T87" i="1" s="1"/>
  <c r="H672" i="18"/>
  <c r="J672" i="18" s="1"/>
  <c r="J671" i="18" s="1"/>
  <c r="P94" i="1" s="1"/>
  <c r="T94" i="1" s="1"/>
  <c r="K471" i="22"/>
  <c r="K470" i="22" s="1"/>
  <c r="H27" i="18"/>
  <c r="J27" i="18" s="1"/>
  <c r="J26" i="18" s="1"/>
  <c r="P14" i="1" s="1"/>
  <c r="T14" i="1" s="1"/>
  <c r="H75" i="18"/>
  <c r="J75" i="18" s="1"/>
  <c r="J74" i="18" s="1"/>
  <c r="P19" i="1" s="1"/>
  <c r="T19" i="1" s="1"/>
  <c r="H725" i="18"/>
  <c r="J725" i="18" s="1"/>
  <c r="J724" i="18" s="1"/>
  <c r="P101" i="1" s="1"/>
  <c r="T101" i="1" s="1"/>
  <c r="H875" i="18"/>
  <c r="J875" i="18" s="1"/>
  <c r="Y30" i="4"/>
  <c r="M26" i="2" s="1"/>
  <c r="H107" i="18"/>
  <c r="J107" i="18" s="1"/>
  <c r="J106" i="18" s="1"/>
  <c r="P23" i="1" s="1"/>
  <c r="T23" i="1" s="1"/>
  <c r="H258" i="18"/>
  <c r="J258" i="18" s="1"/>
  <c r="J257" i="18" s="1"/>
  <c r="H576" i="18"/>
  <c r="J576" i="18" s="1"/>
  <c r="J575" i="18" s="1"/>
  <c r="P80" i="1" s="1"/>
  <c r="T80" i="1" s="1"/>
  <c r="H640" i="18"/>
  <c r="J640" i="18" s="1"/>
  <c r="J639" i="18" s="1"/>
  <c r="P89" i="1" s="1"/>
  <c r="L146" i="22"/>
  <c r="K595" i="22"/>
  <c r="H154" i="18"/>
  <c r="J154" i="18" s="1"/>
  <c r="J153" i="18" s="1"/>
  <c r="H1289" i="18"/>
  <c r="J1289" i="18" s="1"/>
  <c r="J1288" i="18" s="1"/>
  <c r="H255" i="12"/>
  <c r="M65" i="5"/>
  <c r="M66" i="5" s="1"/>
  <c r="N64" i="5"/>
  <c r="O64" i="5" s="1"/>
  <c r="G185" i="32"/>
  <c r="H233" i="12"/>
  <c r="G433" i="32"/>
  <c r="H260" i="12"/>
  <c r="J260" i="12" s="1"/>
  <c r="W260" i="12" s="1"/>
  <c r="K468" i="22"/>
  <c r="G528" i="32"/>
  <c r="H246" i="12"/>
  <c r="G708" i="32"/>
  <c r="H234" i="12"/>
  <c r="J234" i="12" s="1"/>
  <c r="M89" i="1"/>
  <c r="S139" i="1"/>
  <c r="G16" i="18"/>
  <c r="G22" i="18"/>
  <c r="G227" i="18"/>
  <c r="G229" i="18"/>
  <c r="G235" i="18"/>
  <c r="G287" i="18"/>
  <c r="G383" i="18"/>
  <c r="G403" i="18"/>
  <c r="J405" i="18"/>
  <c r="J404" i="18" s="1"/>
  <c r="P61" i="1" s="1"/>
  <c r="T61" i="1" s="1"/>
  <c r="G714" i="18"/>
  <c r="G720" i="18"/>
  <c r="G872" i="18"/>
  <c r="G958" i="18"/>
  <c r="G1407" i="18"/>
  <c r="G1463" i="18"/>
  <c r="G1519" i="18"/>
  <c r="H213" i="3"/>
  <c r="H218" i="3"/>
  <c r="J218" i="3" s="1"/>
  <c r="W218" i="3" s="1"/>
  <c r="H231" i="3"/>
  <c r="H233" i="3"/>
  <c r="Y12" i="4"/>
  <c r="M9" i="2" s="1"/>
  <c r="Y14" i="4"/>
  <c r="M11" i="2" s="1"/>
  <c r="Y22" i="4"/>
  <c r="M18" i="2" s="1"/>
  <c r="Y25" i="4"/>
  <c r="M21" i="2" s="1"/>
  <c r="M118" i="5"/>
  <c r="H242" i="12"/>
  <c r="H244" i="12"/>
  <c r="G240" i="32"/>
  <c r="H228" i="12"/>
  <c r="J228" i="12" s="1"/>
  <c r="W228" i="12" s="1"/>
  <c r="G334" i="32"/>
  <c r="H256" i="12"/>
  <c r="G341" i="32"/>
  <c r="H250" i="12"/>
  <c r="J401" i="22"/>
  <c r="K244" i="12" s="1"/>
  <c r="I459" i="22"/>
  <c r="M726" i="22"/>
  <c r="M235" i="12"/>
  <c r="R235" i="12" s="1"/>
  <c r="Y49" i="4"/>
  <c r="M45" i="2" s="1"/>
  <c r="M10" i="10"/>
  <c r="J12" i="12"/>
  <c r="J14" i="12"/>
  <c r="J16" i="12"/>
  <c r="J18" i="12"/>
  <c r="J142" i="14"/>
  <c r="J141" i="14" s="1"/>
  <c r="O22" i="11" s="1"/>
  <c r="J165" i="14"/>
  <c r="I47" i="16"/>
  <c r="K18" i="22"/>
  <c r="K19" i="22"/>
  <c r="K37" i="22"/>
  <c r="K43" i="22"/>
  <c r="K54" i="22"/>
  <c r="K60" i="22"/>
  <c r="K59" i="22" s="1"/>
  <c r="K72" i="22"/>
  <c r="M93" i="22"/>
  <c r="M92" i="22" s="1"/>
  <c r="J97" i="22"/>
  <c r="K142" i="22"/>
  <c r="K143" i="22"/>
  <c r="K144" i="22"/>
  <c r="K167" i="22"/>
  <c r="K200" i="22"/>
  <c r="M201" i="22"/>
  <c r="K201" i="22"/>
  <c r="L225" i="22"/>
  <c r="M227" i="12" s="1"/>
  <c r="L251" i="22"/>
  <c r="K268" i="22"/>
  <c r="K279" i="22"/>
  <c r="K360" i="22"/>
  <c r="K384" i="22"/>
  <c r="M399" i="22"/>
  <c r="K399" i="22"/>
  <c r="K400" i="22"/>
  <c r="K411" i="22"/>
  <c r="K418" i="22"/>
  <c r="K596" i="22"/>
  <c r="K649" i="22"/>
  <c r="K702" i="22"/>
  <c r="K720" i="22"/>
  <c r="K723" i="22"/>
  <c r="K722" i="22" s="1"/>
  <c r="M730" i="22"/>
  <c r="I747" i="22"/>
  <c r="M746" i="22"/>
  <c r="I800" i="22"/>
  <c r="L833" i="22"/>
  <c r="M241" i="12" s="1"/>
  <c r="M836" i="22"/>
  <c r="J858" i="22"/>
  <c r="K235" i="3" s="1"/>
  <c r="K877" i="22"/>
  <c r="K876" i="22" s="1"/>
  <c r="H221" i="3"/>
  <c r="J221" i="3" s="1"/>
  <c r="Y17" i="4"/>
  <c r="M13" i="2" s="1"/>
  <c r="N51" i="5"/>
  <c r="N52" i="5" s="1"/>
  <c r="O52" i="5" s="1"/>
  <c r="M98" i="5"/>
  <c r="H240" i="12"/>
  <c r="J240" i="12" s="1"/>
  <c r="W240" i="12" s="1"/>
  <c r="H248" i="12"/>
  <c r="L121" i="22"/>
  <c r="M231" i="3" s="1"/>
  <c r="R231" i="3" s="1"/>
  <c r="M200" i="22"/>
  <c r="K202" i="22"/>
  <c r="J208" i="22"/>
  <c r="K217" i="3" s="1"/>
  <c r="M210" i="22"/>
  <c r="M209" i="22" s="1"/>
  <c r="M229" i="22"/>
  <c r="M418" i="22"/>
  <c r="I707" i="22"/>
  <c r="I723" i="22"/>
  <c r="M837" i="22"/>
  <c r="G885" i="18"/>
  <c r="H234" i="3"/>
  <c r="Y21" i="4"/>
  <c r="M17" i="2" s="1"/>
  <c r="Y28" i="4"/>
  <c r="M24" i="2" s="1"/>
  <c r="N96" i="5"/>
  <c r="M37" i="22"/>
  <c r="M118" i="22"/>
  <c r="K198" i="22"/>
  <c r="L208" i="22"/>
  <c r="K632" i="22"/>
  <c r="K631" i="22" s="1"/>
  <c r="I812" i="22"/>
  <c r="S43" i="1"/>
  <c r="J1325" i="18"/>
  <c r="J1324" i="18" s="1"/>
  <c r="P165" i="1" s="1"/>
  <c r="T165" i="1" s="1"/>
  <c r="G1637" i="18"/>
  <c r="H245" i="3"/>
  <c r="Y11" i="4"/>
  <c r="M7" i="2" s="1"/>
  <c r="O111" i="5"/>
  <c r="P111" i="5" s="1"/>
  <c r="AL111" i="5" s="1"/>
  <c r="M73" i="22"/>
  <c r="I104" i="22"/>
  <c r="K194" i="22"/>
  <c r="K193" i="22" s="1"/>
  <c r="L203" i="22"/>
  <c r="M255" i="12" s="1"/>
  <c r="R255" i="12" s="1"/>
  <c r="I233" i="22"/>
  <c r="K257" i="22"/>
  <c r="K256" i="22" s="1"/>
  <c r="K460" i="22"/>
  <c r="K698" i="22"/>
  <c r="K851" i="22"/>
  <c r="H258" i="12"/>
  <c r="F20" i="5"/>
  <c r="M50" i="5"/>
  <c r="O50" i="5" s="1"/>
  <c r="N61" i="5"/>
  <c r="O71" i="5"/>
  <c r="J216" i="14"/>
  <c r="J215" i="14" s="1"/>
  <c r="O31" i="11" s="1"/>
  <c r="P886" i="22" s="1"/>
  <c r="Q886" i="22" s="1"/>
  <c r="Q885" i="22" s="1"/>
  <c r="K337" i="22"/>
  <c r="K336" i="22" s="1"/>
  <c r="L481" i="22"/>
  <c r="M228" i="3" s="1"/>
  <c r="R228" i="3" s="1"/>
  <c r="I688" i="22"/>
  <c r="S61" i="1"/>
  <c r="H420" i="18"/>
  <c r="J420" i="18" s="1"/>
  <c r="J419" i="18" s="1"/>
  <c r="P63" i="1" s="1"/>
  <c r="T63" i="1" s="1"/>
  <c r="N46" i="5"/>
  <c r="O46" i="5" s="1"/>
  <c r="P46" i="5" s="1"/>
  <c r="H247" i="12"/>
  <c r="I6" i="16"/>
  <c r="K6" i="16" s="1"/>
  <c r="M66" i="22"/>
  <c r="M142" i="22"/>
  <c r="K333" i="22"/>
  <c r="M720" i="22"/>
  <c r="I745" i="22"/>
  <c r="G345" i="18"/>
  <c r="G1778" i="18"/>
  <c r="J151" i="3"/>
  <c r="H235" i="3"/>
  <c r="L13" i="10"/>
  <c r="H254" i="12"/>
  <c r="J106" i="14"/>
  <c r="J105" i="14" s="1"/>
  <c r="O16" i="11" s="1"/>
  <c r="K467" i="22"/>
  <c r="K726" i="22"/>
  <c r="K730" i="22"/>
  <c r="M763" i="22"/>
  <c r="M762" i="22" s="1"/>
  <c r="M82" i="1"/>
  <c r="G65" i="12" s="1"/>
  <c r="J65" i="12" s="1"/>
  <c r="M13" i="10"/>
  <c r="H259" i="12"/>
  <c r="J70" i="14"/>
  <c r="J69" i="14" s="1"/>
  <c r="O12" i="11" s="1"/>
  <c r="K12" i="22"/>
  <c r="K254" i="22"/>
  <c r="M342" i="22"/>
  <c r="L442" i="22"/>
  <c r="J761" i="22"/>
  <c r="K245" i="3" s="1"/>
  <c r="K836" i="22"/>
  <c r="S188" i="1"/>
  <c r="H338" i="18"/>
  <c r="J338" i="18" s="1"/>
  <c r="J337" i="18" s="1"/>
  <c r="P53" i="1" s="1"/>
  <c r="G1078" i="18"/>
  <c r="G1582" i="18"/>
  <c r="G1773" i="18"/>
  <c r="Y37" i="4"/>
  <c r="M33" i="2" s="1"/>
  <c r="L761" i="22"/>
  <c r="M245" i="3" s="1"/>
  <c r="I5" i="17"/>
  <c r="G789" i="18"/>
  <c r="H229" i="3"/>
  <c r="J229" i="3" s="1"/>
  <c r="W229" i="3" s="1"/>
  <c r="J52" i="14"/>
  <c r="J51" i="14" s="1"/>
  <c r="O10" i="11" s="1"/>
  <c r="K36" i="22"/>
  <c r="M85" i="22"/>
  <c r="K292" i="22"/>
  <c r="K325" i="22"/>
  <c r="K324" i="22" s="1"/>
  <c r="L401" i="22"/>
  <c r="M244" i="12" s="1"/>
  <c r="R244" i="12" s="1"/>
  <c r="G1275" i="18"/>
  <c r="Y13" i="4"/>
  <c r="M8" i="2" s="1"/>
  <c r="J39" i="12"/>
  <c r="J143" i="12"/>
  <c r="J145" i="12"/>
  <c r="M384" i="22"/>
  <c r="J523" i="22"/>
  <c r="K233" i="3" s="1"/>
  <c r="K544" i="22"/>
  <c r="K543" i="22" s="1"/>
  <c r="J598" i="22"/>
  <c r="K224" i="3" s="1"/>
  <c r="M654" i="22"/>
  <c r="M653" i="22" s="1"/>
  <c r="M684" i="22"/>
  <c r="M683" i="22" s="1"/>
  <c r="I726" i="22"/>
  <c r="K746" i="22"/>
  <c r="K841" i="22"/>
  <c r="K840" i="22" s="1"/>
  <c r="M63" i="43"/>
  <c r="M60" i="43"/>
  <c r="M65" i="43" s="1"/>
  <c r="S29" i="1"/>
  <c r="S78" i="1"/>
  <c r="S171" i="1"/>
  <c r="N59" i="5"/>
  <c r="O59" i="5" s="1"/>
  <c r="P59" i="5" s="1"/>
  <c r="AL59" i="5" s="1"/>
  <c r="AN59" i="5" s="1"/>
  <c r="AO59" i="5" s="1"/>
  <c r="N23" i="2" s="1"/>
  <c r="K81" i="22"/>
  <c r="K80" i="22" s="1"/>
  <c r="M81" i="22"/>
  <c r="M80" i="22" s="1"/>
  <c r="Q317" i="22"/>
  <c r="M317" i="22"/>
  <c r="H11" i="26"/>
  <c r="H9" i="26" s="1"/>
  <c r="G9" i="26"/>
  <c r="G1847" i="18"/>
  <c r="G1817" i="18"/>
  <c r="G1801" i="18"/>
  <c r="G1706" i="18"/>
  <c r="G1671" i="18"/>
  <c r="G1593" i="18"/>
  <c r="G1576" i="18"/>
  <c r="G1542" i="18"/>
  <c r="G1507" i="18"/>
  <c r="G1471" i="18"/>
  <c r="G1435" i="18"/>
  <c r="G1352" i="18"/>
  <c r="G1209" i="18"/>
  <c r="G1175" i="18"/>
  <c r="G1159" i="18"/>
  <c r="G1142" i="18"/>
  <c r="G1090" i="18"/>
  <c r="G475" i="18"/>
  <c r="G414" i="18"/>
  <c r="G398" i="18"/>
  <c r="G372" i="18"/>
  <c r="G118" i="18"/>
  <c r="G54" i="18"/>
  <c r="G1861" i="18"/>
  <c r="G1746" i="18"/>
  <c r="G1607" i="18"/>
  <c r="G1382" i="18"/>
  <c r="G1299" i="18"/>
  <c r="G1247" i="18"/>
  <c r="G1231" i="18"/>
  <c r="G1105" i="18"/>
  <c r="G1070" i="18"/>
  <c r="S56" i="1"/>
  <c r="G197" i="3"/>
  <c r="J197" i="3" s="1"/>
  <c r="G109" i="3"/>
  <c r="J109" i="3" s="1"/>
  <c r="U154" i="1"/>
  <c r="G80" i="18"/>
  <c r="G86" i="18"/>
  <c r="G513" i="18"/>
  <c r="G519" i="18"/>
  <c r="G549" i="18"/>
  <c r="G555" i="18"/>
  <c r="G581" i="18"/>
  <c r="G587" i="18"/>
  <c r="G645" i="18"/>
  <c r="G651" i="18"/>
  <c r="G683" i="18"/>
  <c r="G731" i="18"/>
  <c r="G737" i="18"/>
  <c r="G754" i="18"/>
  <c r="G760" i="18"/>
  <c r="G837" i="18"/>
  <c r="G843" i="18"/>
  <c r="G1033" i="18"/>
  <c r="G1413" i="18"/>
  <c r="G1419" i="18"/>
  <c r="G1691" i="18"/>
  <c r="G1780" i="18"/>
  <c r="G1786" i="18"/>
  <c r="H225" i="3"/>
  <c r="J225" i="3" s="1"/>
  <c r="W225" i="3" s="1"/>
  <c r="N69" i="5"/>
  <c r="K120" i="22"/>
  <c r="M120" i="22"/>
  <c r="G234" i="32"/>
  <c r="H212" i="3"/>
  <c r="J212" i="3" s="1"/>
  <c r="W212" i="3" s="1"/>
  <c r="S92" i="1"/>
  <c r="R12" i="1"/>
  <c r="R31" i="1"/>
  <c r="R80" i="1"/>
  <c r="S85" i="1"/>
  <c r="M135" i="1"/>
  <c r="G32" i="18"/>
  <c r="G38" i="18"/>
  <c r="G64" i="18"/>
  <c r="G70" i="18"/>
  <c r="G128" i="18"/>
  <c r="G134" i="18"/>
  <c r="G212" i="18"/>
  <c r="G218" i="18"/>
  <c r="J361" i="18"/>
  <c r="J360" i="18" s="1"/>
  <c r="P56" i="1" s="1"/>
  <c r="T56" i="1" s="1"/>
  <c r="G448" i="18"/>
  <c r="G454" i="18"/>
  <c r="G493" i="18"/>
  <c r="G499" i="18"/>
  <c r="G531" i="18"/>
  <c r="G537" i="18"/>
  <c r="J544" i="18"/>
  <c r="J543" i="18" s="1"/>
  <c r="P76" i="1" s="1"/>
  <c r="T76" i="1" s="1"/>
  <c r="G565" i="18"/>
  <c r="G571" i="18"/>
  <c r="G597" i="18"/>
  <c r="G603" i="18"/>
  <c r="G629" i="18"/>
  <c r="G635" i="18"/>
  <c r="G661" i="18"/>
  <c r="G667" i="18"/>
  <c r="G693" i="18"/>
  <c r="G699" i="18"/>
  <c r="G770" i="18"/>
  <c r="G776" i="18"/>
  <c r="G858" i="18"/>
  <c r="G864" i="18"/>
  <c r="G905" i="18"/>
  <c r="G911" i="18"/>
  <c r="G944" i="18"/>
  <c r="G950" i="18"/>
  <c r="J1000" i="18"/>
  <c r="J999" i="18" s="1"/>
  <c r="P130" i="1" s="1"/>
  <c r="T130" i="1" s="1"/>
  <c r="G1044" i="18"/>
  <c r="G1050" i="18"/>
  <c r="G1186" i="18"/>
  <c r="G1192" i="18"/>
  <c r="G1257" i="18"/>
  <c r="G1263" i="18"/>
  <c r="G1623" i="18"/>
  <c r="G1629" i="18"/>
  <c r="G1644" i="18"/>
  <c r="G1650" i="18"/>
  <c r="G1729" i="18"/>
  <c r="Y29" i="4"/>
  <c r="M25" i="2" s="1"/>
  <c r="N19" i="5"/>
  <c r="M23" i="5"/>
  <c r="O22" i="5"/>
  <c r="P22" i="5" s="1"/>
  <c r="N118" i="5"/>
  <c r="O117" i="5"/>
  <c r="P117" i="5" s="1"/>
  <c r="O12" i="10"/>
  <c r="L12" i="10"/>
  <c r="V197" i="12"/>
  <c r="V199" i="12"/>
  <c r="J271" i="14"/>
  <c r="J270" i="14" s="1"/>
  <c r="O39" i="11" s="1"/>
  <c r="J307" i="14"/>
  <c r="J311" i="14"/>
  <c r="K111" i="22"/>
  <c r="K116" i="22"/>
  <c r="M116" i="22"/>
  <c r="M144" i="22"/>
  <c r="M325" i="22"/>
  <c r="M324" i="22" s="1"/>
  <c r="K329" i="22"/>
  <c r="M329" i="22"/>
  <c r="L598" i="22"/>
  <c r="M224" i="3" s="1"/>
  <c r="R224" i="3" s="1"/>
  <c r="G598" i="32"/>
  <c r="H224" i="3"/>
  <c r="G1218" i="18"/>
  <c r="K250" i="22"/>
  <c r="M250" i="22"/>
  <c r="G1841" i="18"/>
  <c r="G1811" i="18"/>
  <c r="G1795" i="18"/>
  <c r="G1700" i="18"/>
  <c r="G1665" i="18"/>
  <c r="G1587" i="18"/>
  <c r="G1570" i="18"/>
  <c r="G1536" i="18"/>
  <c r="G1501" i="18"/>
  <c r="G1465" i="18"/>
  <c r="G1429" i="18"/>
  <c r="G1346" i="18"/>
  <c r="G1203" i="18"/>
  <c r="G1169" i="18"/>
  <c r="G1153" i="18"/>
  <c r="G1136" i="18"/>
  <c r="G1084" i="18"/>
  <c r="G469" i="18"/>
  <c r="G408" i="18"/>
  <c r="G392" i="18"/>
  <c r="G366" i="18"/>
  <c r="G112" i="18"/>
  <c r="G48" i="18"/>
  <c r="G1855" i="18"/>
  <c r="G1740" i="18"/>
  <c r="G1601" i="18"/>
  <c r="G1376" i="18"/>
  <c r="G1293" i="18"/>
  <c r="G1241" i="18"/>
  <c r="G1225" i="18"/>
  <c r="G1099" i="18"/>
  <c r="S59" i="1"/>
  <c r="G96" i="18"/>
  <c r="G102" i="18"/>
  <c r="G263" i="18"/>
  <c r="G269" i="18"/>
  <c r="G289" i="18"/>
  <c r="G295" i="18"/>
  <c r="G305" i="18"/>
  <c r="G311" i="18"/>
  <c r="G326" i="18"/>
  <c r="G332" i="18"/>
  <c r="G613" i="18"/>
  <c r="G619" i="18"/>
  <c r="G677" i="18"/>
  <c r="G791" i="18"/>
  <c r="G797" i="18"/>
  <c r="G1027" i="18"/>
  <c r="G1064" i="18"/>
  <c r="G1391" i="18"/>
  <c r="G1397" i="18"/>
  <c r="G1685" i="18"/>
  <c r="N81" i="5"/>
  <c r="O81" i="5" s="1"/>
  <c r="P81" i="5" s="1"/>
  <c r="AL81" i="5" s="1"/>
  <c r="AN81" i="5" s="1"/>
  <c r="AO81" i="5" s="1"/>
  <c r="N35" i="2" s="1"/>
  <c r="U35" i="2" s="1"/>
  <c r="V35" i="2" s="1"/>
  <c r="X136" i="3" s="1"/>
  <c r="Z136" i="3" s="1"/>
  <c r="M49" i="22"/>
  <c r="K49" i="22"/>
  <c r="K199" i="22"/>
  <c r="M199" i="22"/>
  <c r="M236" i="22"/>
  <c r="M235" i="22" s="1"/>
  <c r="K236" i="22"/>
  <c r="K235" i="22" s="1"/>
  <c r="M708" i="22"/>
  <c r="M234" i="12"/>
  <c r="R234" i="12" s="1"/>
  <c r="G712" i="32"/>
  <c r="H240" i="3"/>
  <c r="J240" i="3" s="1"/>
  <c r="G1476" i="18"/>
  <c r="G717" i="32"/>
  <c r="H230" i="12"/>
  <c r="G1481" i="18"/>
  <c r="S107" i="1"/>
  <c r="S109" i="1"/>
  <c r="S111" i="1"/>
  <c r="S113" i="1"/>
  <c r="S115" i="1"/>
  <c r="S118" i="1"/>
  <c r="S120" i="1"/>
  <c r="S122" i="1"/>
  <c r="R149" i="1"/>
  <c r="G159" i="18"/>
  <c r="G165" i="18"/>
  <c r="G191" i="18"/>
  <c r="G197" i="18"/>
  <c r="G247" i="18"/>
  <c r="G253" i="18"/>
  <c r="G347" i="18"/>
  <c r="G353" i="18"/>
  <c r="G429" i="18"/>
  <c r="G435" i="18"/>
  <c r="G887" i="18"/>
  <c r="G893" i="18"/>
  <c r="G926" i="18"/>
  <c r="G932" i="18"/>
  <c r="G965" i="18"/>
  <c r="G971" i="18"/>
  <c r="G985" i="18"/>
  <c r="G991" i="18"/>
  <c r="G1004" i="18"/>
  <c r="G1010" i="18"/>
  <c r="G1116" i="18"/>
  <c r="G1122" i="18"/>
  <c r="J1238" i="18"/>
  <c r="J1237" i="18" s="1"/>
  <c r="P154" i="1" s="1"/>
  <c r="T154" i="1" s="1"/>
  <c r="G1313" i="18"/>
  <c r="G1319" i="18"/>
  <c r="G1361" i="18"/>
  <c r="G1367" i="18"/>
  <c r="G1447" i="18"/>
  <c r="G1453" i="18"/>
  <c r="G1483" i="18"/>
  <c r="G1489" i="18"/>
  <c r="G1553" i="18"/>
  <c r="G1559" i="18"/>
  <c r="G203" i="3"/>
  <c r="J203" i="3" s="1"/>
  <c r="O30" i="5"/>
  <c r="P30" i="5" s="1"/>
  <c r="M31" i="5"/>
  <c r="M198" i="22"/>
  <c r="K417" i="22"/>
  <c r="M417" i="22"/>
  <c r="K465" i="22"/>
  <c r="M465" i="22"/>
  <c r="J626" i="22"/>
  <c r="K247" i="12" s="1"/>
  <c r="K625" i="22"/>
  <c r="M705" i="22"/>
  <c r="M704" i="22" s="1"/>
  <c r="K705" i="22"/>
  <c r="K704" i="22" s="1"/>
  <c r="J1220" i="18"/>
  <c r="J1219" i="18" s="1"/>
  <c r="P152" i="1" s="1"/>
  <c r="T152" i="1" s="1"/>
  <c r="J1442" i="18"/>
  <c r="J1441" i="18" s="1"/>
  <c r="P180" i="1" s="1"/>
  <c r="T180" i="1" s="1"/>
  <c r="J1716" i="18"/>
  <c r="J1715" i="18" s="1"/>
  <c r="P197" i="1" s="1"/>
  <c r="T197" i="1" s="1"/>
  <c r="J31" i="3"/>
  <c r="J57" i="3"/>
  <c r="J77" i="3"/>
  <c r="J91" i="3"/>
  <c r="J90" i="3" s="1"/>
  <c r="S90" i="3" s="1"/>
  <c r="J135" i="3"/>
  <c r="J134" i="3" s="1"/>
  <c r="L134" i="3" s="1"/>
  <c r="Y32" i="4"/>
  <c r="M28" i="2" s="1"/>
  <c r="Y40" i="4"/>
  <c r="M36" i="2" s="1"/>
  <c r="Y43" i="4"/>
  <c r="M39" i="2" s="1"/>
  <c r="Y52" i="4"/>
  <c r="M48" i="2" s="1"/>
  <c r="M20" i="5"/>
  <c r="O18" i="5"/>
  <c r="P18" i="5" s="1"/>
  <c r="M27" i="5"/>
  <c r="M28" i="5" s="1"/>
  <c r="M29" i="5" s="1"/>
  <c r="O26" i="5"/>
  <c r="O83" i="5"/>
  <c r="N102" i="5"/>
  <c r="O102" i="5" s="1"/>
  <c r="J43" i="12"/>
  <c r="J45" i="12"/>
  <c r="J18" i="14"/>
  <c r="J115" i="14"/>
  <c r="J189" i="14"/>
  <c r="J188" i="14" s="1"/>
  <c r="O28" i="11" s="1"/>
  <c r="G90" i="32"/>
  <c r="H252" i="12"/>
  <c r="K207" i="22"/>
  <c r="M207" i="22"/>
  <c r="G251" i="32"/>
  <c r="H226" i="12"/>
  <c r="J226" i="12" s="1"/>
  <c r="W226" i="12" s="1"/>
  <c r="M388" i="22"/>
  <c r="K388" i="22"/>
  <c r="G481" i="32"/>
  <c r="H228" i="3"/>
  <c r="J228" i="3" s="1"/>
  <c r="G491" i="32"/>
  <c r="H209" i="3"/>
  <c r="J209" i="3" s="1"/>
  <c r="M500" i="22"/>
  <c r="K500" i="22"/>
  <c r="L703" i="22"/>
  <c r="M242" i="3" s="1"/>
  <c r="R242" i="3" s="1"/>
  <c r="M702" i="22"/>
  <c r="M747" i="22"/>
  <c r="K803" i="22"/>
  <c r="K814" i="22"/>
  <c r="K813" i="22" s="1"/>
  <c r="J833" i="22"/>
  <c r="K241" i="12" s="1"/>
  <c r="K831" i="22"/>
  <c r="G833" i="32"/>
  <c r="H241" i="12"/>
  <c r="J203" i="18"/>
  <c r="J202" i="18" s="1"/>
  <c r="P36" i="1" s="1"/>
  <c r="T36" i="1" s="1"/>
  <c r="J1309" i="18"/>
  <c r="J1308" i="18" s="1"/>
  <c r="P163" i="1" s="1"/>
  <c r="T163" i="1" s="1"/>
  <c r="J9" i="3"/>
  <c r="J8" i="3" s="1"/>
  <c r="S8" i="3" s="1"/>
  <c r="J13" i="3"/>
  <c r="J12" i="3" s="1"/>
  <c r="N12" i="3" s="1"/>
  <c r="J17" i="3"/>
  <c r="J16" i="3" s="1"/>
  <c r="J21" i="3"/>
  <c r="J20" i="3" s="1"/>
  <c r="J33" i="3"/>
  <c r="J37" i="3"/>
  <c r="J36" i="3" s="1"/>
  <c r="S36" i="3" s="1"/>
  <c r="J95" i="3"/>
  <c r="J97" i="3"/>
  <c r="J175" i="3"/>
  <c r="J177" i="3"/>
  <c r="Y20" i="4"/>
  <c r="M16" i="2" s="1"/>
  <c r="Y27" i="4"/>
  <c r="M23" i="2" s="1"/>
  <c r="Y33" i="4"/>
  <c r="M29" i="2" s="1"/>
  <c r="Y35" i="4"/>
  <c r="M31" i="2" s="1"/>
  <c r="Y44" i="4"/>
  <c r="M40" i="2" s="1"/>
  <c r="Y46" i="4"/>
  <c r="M42" i="2" s="1"/>
  <c r="Y47" i="4"/>
  <c r="M43" i="2" s="1"/>
  <c r="Y53" i="4"/>
  <c r="M49" i="2" s="1"/>
  <c r="N23" i="5"/>
  <c r="N24" i="5" s="1"/>
  <c r="N72" i="5"/>
  <c r="M76" i="5"/>
  <c r="O75" i="5"/>
  <c r="P75" i="5" s="1"/>
  <c r="M88" i="5"/>
  <c r="O87" i="5"/>
  <c r="P87" i="5" s="1"/>
  <c r="N90" i="5"/>
  <c r="M116" i="5"/>
  <c r="O116" i="5" s="1"/>
  <c r="O9" i="10"/>
  <c r="M9" i="10"/>
  <c r="J34" i="14"/>
  <c r="J33" i="14" s="1"/>
  <c r="O8" i="11" s="1"/>
  <c r="J133" i="14"/>
  <c r="J132" i="14" s="1"/>
  <c r="O21" i="11" s="1"/>
  <c r="P650" i="22" s="1"/>
  <c r="Q650" i="22" s="1"/>
  <c r="J262" i="14"/>
  <c r="J261" i="14" s="1"/>
  <c r="O38" i="11" s="1"/>
  <c r="I6" i="15"/>
  <c r="I13" i="15"/>
  <c r="M25" i="22"/>
  <c r="K25" i="22"/>
  <c r="M76" i="22"/>
  <c r="M75" i="22" s="1"/>
  <c r="K93" i="22"/>
  <c r="K92" i="22" s="1"/>
  <c r="Q98" i="22"/>
  <c r="M98" i="22"/>
  <c r="M115" i="22"/>
  <c r="K117" i="22"/>
  <c r="M119" i="22"/>
  <c r="M141" i="22"/>
  <c r="M145" i="22"/>
  <c r="G163" i="32"/>
  <c r="H216" i="3"/>
  <c r="G260" i="32"/>
  <c r="H237" i="12"/>
  <c r="M267" i="22"/>
  <c r="K267" i="22"/>
  <c r="K266" i="22" s="1"/>
  <c r="K391" i="22"/>
  <c r="K488" i="22"/>
  <c r="J502" i="22"/>
  <c r="K227" i="3" s="1"/>
  <c r="K499" i="22"/>
  <c r="I583" i="22"/>
  <c r="I581" i="22"/>
  <c r="I580" i="22"/>
  <c r="I579" i="22"/>
  <c r="M669" i="22"/>
  <c r="M668" i="22" s="1"/>
  <c r="K669" i="22"/>
  <c r="K668" i="22" s="1"/>
  <c r="Y16" i="4"/>
  <c r="M12" i="2" s="1"/>
  <c r="Y24" i="4"/>
  <c r="M20" i="2" s="1"/>
  <c r="Y36" i="4"/>
  <c r="M32" i="2" s="1"/>
  <c r="Y48" i="4"/>
  <c r="M44" i="2" s="1"/>
  <c r="U44" i="2" s="1"/>
  <c r="V44" i="2" s="1"/>
  <c r="H740" i="32" s="1"/>
  <c r="J740" i="32" s="1"/>
  <c r="AL108" i="5"/>
  <c r="N10" i="10"/>
  <c r="J74" i="12"/>
  <c r="J138" i="12"/>
  <c r="J140" i="12"/>
  <c r="J24" i="14"/>
  <c r="J23" i="14" s="1"/>
  <c r="O7" i="11" s="1"/>
  <c r="H832" i="32" s="1"/>
  <c r="J832" i="32" s="1"/>
  <c r="J43" i="14"/>
  <c r="J42" i="14" s="1"/>
  <c r="O9" i="11" s="1"/>
  <c r="J234" i="14"/>
  <c r="J233" i="14" s="1"/>
  <c r="J289" i="14"/>
  <c r="J288" i="14" s="1"/>
  <c r="O41" i="11" s="1"/>
  <c r="G94" i="20" s="1"/>
  <c r="H94" i="20" s="1"/>
  <c r="I40" i="15"/>
  <c r="M40" i="15" s="1"/>
  <c r="I50" i="16"/>
  <c r="M19" i="22"/>
  <c r="M54" i="22"/>
  <c r="I60" i="22"/>
  <c r="M71" i="22"/>
  <c r="M86" i="22"/>
  <c r="M89" i="22"/>
  <c r="K105" i="22"/>
  <c r="M132" i="22"/>
  <c r="J146" i="22"/>
  <c r="M167" i="22"/>
  <c r="M194" i="22"/>
  <c r="M193" i="22" s="1"/>
  <c r="M206" i="22"/>
  <c r="J225" i="22"/>
  <c r="K227" i="12" s="1"/>
  <c r="L234" i="22"/>
  <c r="M212" i="3" s="1"/>
  <c r="R212" i="3" s="1"/>
  <c r="M254" i="22"/>
  <c r="K320" i="22"/>
  <c r="K319" i="22" s="1"/>
  <c r="L355" i="22"/>
  <c r="M395" i="22"/>
  <c r="M394" i="22" s="1"/>
  <c r="M400" i="22"/>
  <c r="Q414" i="22"/>
  <c r="M414" i="22"/>
  <c r="I462" i="22"/>
  <c r="M459" i="22"/>
  <c r="M458" i="22" s="1"/>
  <c r="I460" i="22"/>
  <c r="M557" i="22"/>
  <c r="K557" i="22"/>
  <c r="K560" i="22"/>
  <c r="K559" i="22" s="1"/>
  <c r="M567" i="22"/>
  <c r="K567" i="22"/>
  <c r="M615" i="22"/>
  <c r="M614" i="22" s="1"/>
  <c r="K615" i="22"/>
  <c r="K614" i="22" s="1"/>
  <c r="I749" i="22"/>
  <c r="M745" i="22"/>
  <c r="I746" i="22"/>
  <c r="M779" i="22"/>
  <c r="K779" i="22"/>
  <c r="M790" i="22"/>
  <c r="K790" i="22"/>
  <c r="Z6" i="9"/>
  <c r="J8" i="12"/>
  <c r="J21" i="12"/>
  <c r="J134" i="12"/>
  <c r="J14" i="14"/>
  <c r="J79" i="14"/>
  <c r="J78" i="14" s="1"/>
  <c r="O13" i="11" s="1"/>
  <c r="H666" i="32" s="1"/>
  <c r="J666" i="32" s="1"/>
  <c r="J665" i="32" s="1"/>
  <c r="J101" i="33" s="1"/>
  <c r="O101" i="33" s="1"/>
  <c r="J124" i="14"/>
  <c r="J123" i="14" s="1"/>
  <c r="J151" i="14"/>
  <c r="J198" i="14"/>
  <c r="J197" i="14" s="1"/>
  <c r="O29" i="11" s="1"/>
  <c r="H55" i="32" s="1"/>
  <c r="J55" i="32" s="1"/>
  <c r="J225" i="14"/>
  <c r="J224" i="14" s="1"/>
  <c r="O32" i="11" s="1"/>
  <c r="P413" i="22" s="1"/>
  <c r="Q413" i="22" s="1"/>
  <c r="J253" i="14"/>
  <c r="J252" i="14" s="1"/>
  <c r="O36" i="11" s="1"/>
  <c r="P387" i="22" s="1"/>
  <c r="Q387" i="22" s="1"/>
  <c r="J280" i="14"/>
  <c r="J279" i="14" s="1"/>
  <c r="O40" i="11" s="1"/>
  <c r="J298" i="14"/>
  <c r="J297" i="14" s="1"/>
  <c r="O42" i="11" s="1"/>
  <c r="I40" i="16"/>
  <c r="I31" i="22"/>
  <c r="M30" i="22"/>
  <c r="M48" i="22"/>
  <c r="M47" i="22" s="1"/>
  <c r="M60" i="22"/>
  <c r="M59" i="22" s="1"/>
  <c r="J121" i="22"/>
  <c r="M123" i="22"/>
  <c r="M122" i="22" s="1"/>
  <c r="L163" i="22"/>
  <c r="J240" i="22"/>
  <c r="J245" i="22"/>
  <c r="M331" i="22"/>
  <c r="K331" i="22"/>
  <c r="K466" i="22"/>
  <c r="K539" i="22"/>
  <c r="K538" i="22" s="1"/>
  <c r="M555" i="22"/>
  <c r="K555" i="22"/>
  <c r="I570" i="22"/>
  <c r="M579" i="22"/>
  <c r="O84" i="33"/>
  <c r="M84" i="33"/>
  <c r="L178" i="22"/>
  <c r="J203" i="22"/>
  <c r="K255" i="12" s="1"/>
  <c r="I224" i="22"/>
  <c r="J234" i="22"/>
  <c r="K212" i="3" s="1"/>
  <c r="M231" i="22"/>
  <c r="M279" i="22"/>
  <c r="K285" i="22"/>
  <c r="M286" i="22"/>
  <c r="M298" i="22"/>
  <c r="M309" i="22"/>
  <c r="K315" i="22"/>
  <c r="M316" i="22"/>
  <c r="J341" i="22"/>
  <c r="M348" i="22"/>
  <c r="M347" i="22" s="1"/>
  <c r="M360" i="22"/>
  <c r="K366" i="22"/>
  <c r="K365" i="22" s="1"/>
  <c r="K386" i="22"/>
  <c r="M419" i="22"/>
  <c r="L433" i="22"/>
  <c r="M450" i="22"/>
  <c r="M449" i="22" s="1"/>
  <c r="I471" i="22"/>
  <c r="J469" i="22"/>
  <c r="K221" i="3" s="1"/>
  <c r="L491" i="22"/>
  <c r="K490" i="22"/>
  <c r="M515" i="22"/>
  <c r="M514" i="22" s="1"/>
  <c r="L523" i="22"/>
  <c r="M233" i="3" s="1"/>
  <c r="K525" i="22"/>
  <c r="K524" i="22" s="1"/>
  <c r="J535" i="22"/>
  <c r="M556" i="22"/>
  <c r="K581" i="22"/>
  <c r="M581" i="22"/>
  <c r="K586" i="22"/>
  <c r="K585" i="22" s="1"/>
  <c r="J621" i="22"/>
  <c r="M641" i="22"/>
  <c r="M640" i="22" s="1"/>
  <c r="M650" i="22"/>
  <c r="I699" i="22"/>
  <c r="K694" i="22"/>
  <c r="K712" i="22"/>
  <c r="I756" i="22"/>
  <c r="M753" i="22"/>
  <c r="L774" i="22"/>
  <c r="J810" i="22"/>
  <c r="I817" i="22"/>
  <c r="M819" i="22"/>
  <c r="M818" i="22" s="1"/>
  <c r="K832" i="22"/>
  <c r="K837" i="22"/>
  <c r="L847" i="22"/>
  <c r="K868" i="22"/>
  <c r="K867" i="22" s="1"/>
  <c r="M228" i="22"/>
  <c r="K309" i="22"/>
  <c r="M310" i="22"/>
  <c r="K387" i="22"/>
  <c r="M411" i="22"/>
  <c r="K419" i="22"/>
  <c r="K477" i="22"/>
  <c r="M501" i="22"/>
  <c r="M550" i="22"/>
  <c r="M549" i="22" s="1"/>
  <c r="L558" i="22"/>
  <c r="M219" i="3" s="1"/>
  <c r="R219" i="3" s="1"/>
  <c r="K580" i="22"/>
  <c r="M580" i="22"/>
  <c r="K594" i="22"/>
  <c r="K600" i="22"/>
  <c r="K599" i="22" s="1"/>
  <c r="L621" i="22"/>
  <c r="M234" i="3" s="1"/>
  <c r="M625" i="22"/>
  <c r="M690" i="22"/>
  <c r="M689" i="22" s="1"/>
  <c r="K708" i="22"/>
  <c r="M712" i="22"/>
  <c r="K734" i="22"/>
  <c r="M754" i="22"/>
  <c r="M778" i="22"/>
  <c r="I788" i="22"/>
  <c r="K791" i="22"/>
  <c r="K802" i="22"/>
  <c r="K830" i="22"/>
  <c r="M860" i="22"/>
  <c r="M859" i="22" s="1"/>
  <c r="K873" i="22"/>
  <c r="M883" i="22"/>
  <c r="M882" i="22" s="1"/>
  <c r="E20" i="36"/>
  <c r="E19" i="37"/>
  <c r="F10" i="33"/>
  <c r="M10" i="33" s="1"/>
  <c r="F14" i="22"/>
  <c r="I18" i="22" s="1"/>
  <c r="G149" i="12"/>
  <c r="J149" i="12" s="1"/>
  <c r="G52" i="12"/>
  <c r="J52" i="12" s="1"/>
  <c r="G8" i="9"/>
  <c r="J8" i="9" s="1"/>
  <c r="E36" i="36"/>
  <c r="E35" i="37"/>
  <c r="F30" i="33"/>
  <c r="F129" i="22"/>
  <c r="I132" i="22" s="1"/>
  <c r="G63" i="9"/>
  <c r="J63" i="9" s="1"/>
  <c r="G213" i="3"/>
  <c r="G84" i="3"/>
  <c r="J84" i="3" s="1"/>
  <c r="E59" i="36"/>
  <c r="E58" i="37"/>
  <c r="F57" i="33"/>
  <c r="O57" i="33" s="1"/>
  <c r="G215" i="12"/>
  <c r="J215" i="12" s="1"/>
  <c r="G170" i="12"/>
  <c r="J170" i="12" s="1"/>
  <c r="G250" i="12"/>
  <c r="G30" i="9"/>
  <c r="J30" i="9" s="1"/>
  <c r="F335" i="22"/>
  <c r="I341" i="22" s="1"/>
  <c r="E26" i="36"/>
  <c r="E25" i="37"/>
  <c r="F16" i="33"/>
  <c r="M16" i="33" s="1"/>
  <c r="G155" i="12"/>
  <c r="J155" i="12" s="1"/>
  <c r="G57" i="12"/>
  <c r="J57" i="12" s="1"/>
  <c r="F50" i="22"/>
  <c r="G13" i="9"/>
  <c r="J13" i="9" s="1"/>
  <c r="E34" i="37"/>
  <c r="G37" i="12"/>
  <c r="J37" i="12" s="1"/>
  <c r="E42" i="36"/>
  <c r="E41" i="37"/>
  <c r="F37" i="33"/>
  <c r="M37" i="33" s="1"/>
  <c r="F192" i="22"/>
  <c r="G123" i="12"/>
  <c r="J123" i="12" s="1"/>
  <c r="G255" i="12"/>
  <c r="G187" i="12"/>
  <c r="J187" i="12" s="1"/>
  <c r="G100" i="12"/>
  <c r="J100" i="12" s="1"/>
  <c r="G89" i="12"/>
  <c r="J89" i="12" s="1"/>
  <c r="G50" i="9"/>
  <c r="J50" i="9" s="1"/>
  <c r="G202" i="12"/>
  <c r="J202" i="12" s="1"/>
  <c r="G26" i="3"/>
  <c r="J26" i="3" s="1"/>
  <c r="E43" i="36"/>
  <c r="E42" i="37"/>
  <c r="F38" i="33"/>
  <c r="F204" i="22"/>
  <c r="I208" i="22" s="1"/>
  <c r="G78" i="12"/>
  <c r="J78" i="12" s="1"/>
  <c r="G243" i="12"/>
  <c r="G102" i="9"/>
  <c r="J102" i="9" s="1"/>
  <c r="G217" i="3"/>
  <c r="J217" i="3" s="1"/>
  <c r="G143" i="3"/>
  <c r="J143" i="3" s="1"/>
  <c r="G161" i="3"/>
  <c r="J161" i="3" s="1"/>
  <c r="E48" i="36"/>
  <c r="E47" i="37"/>
  <c r="F45" i="33"/>
  <c r="M45" i="33" s="1"/>
  <c r="F263" i="22"/>
  <c r="I268" i="22" s="1"/>
  <c r="G161" i="12"/>
  <c r="J161" i="12" s="1"/>
  <c r="G20" i="9"/>
  <c r="J20" i="9" s="1"/>
  <c r="G62" i="12"/>
  <c r="J62" i="12" s="1"/>
  <c r="E53" i="36"/>
  <c r="E52" i="37"/>
  <c r="F50" i="33"/>
  <c r="M50" i="33" s="1"/>
  <c r="F293" i="22"/>
  <c r="I298" i="22" s="1"/>
  <c r="G67" i="12"/>
  <c r="J67" i="12" s="1"/>
  <c r="G166" i="12"/>
  <c r="J166" i="12" s="1"/>
  <c r="G25" i="9"/>
  <c r="J25" i="9" s="1"/>
  <c r="E74" i="36"/>
  <c r="E73" i="37"/>
  <c r="F77" i="33"/>
  <c r="M77" i="33" s="1"/>
  <c r="F510" i="22"/>
  <c r="G28" i="12"/>
  <c r="J28" i="12" s="1"/>
  <c r="G77" i="9"/>
  <c r="J77" i="9" s="1"/>
  <c r="S133" i="1"/>
  <c r="G172" i="3"/>
  <c r="J172" i="3" s="1"/>
  <c r="J171" i="3" s="1"/>
  <c r="G80" i="3"/>
  <c r="J80" i="3" s="1"/>
  <c r="E91" i="36"/>
  <c r="E90" i="37"/>
  <c r="F99" i="33"/>
  <c r="F652" i="22"/>
  <c r="G47" i="12"/>
  <c r="J47" i="12" s="1"/>
  <c r="G37" i="9"/>
  <c r="J37" i="9" s="1"/>
  <c r="E115" i="36"/>
  <c r="F125" i="33"/>
  <c r="M125" i="33" s="1"/>
  <c r="E114" i="37"/>
  <c r="F853" i="22"/>
  <c r="I858" i="22" s="1"/>
  <c r="G248" i="12"/>
  <c r="G83" i="12"/>
  <c r="J83" i="12" s="1"/>
  <c r="G112" i="9"/>
  <c r="J112" i="9" s="1"/>
  <c r="G235" i="3"/>
  <c r="G167" i="3"/>
  <c r="J167" i="3" s="1"/>
  <c r="G148" i="3"/>
  <c r="J148" i="3" s="1"/>
  <c r="G158" i="3"/>
  <c r="J158" i="3" s="1"/>
  <c r="E119" i="36"/>
  <c r="F129" i="33"/>
  <c r="E118" i="37"/>
  <c r="F881" i="22"/>
  <c r="I883" i="22" s="1"/>
  <c r="G177" i="12"/>
  <c r="J177" i="12" s="1"/>
  <c r="E47" i="36"/>
  <c r="E46" i="37"/>
  <c r="F42" i="33"/>
  <c r="O42" i="33" s="1"/>
  <c r="F252" i="22"/>
  <c r="I255" i="22" s="1"/>
  <c r="G237" i="12"/>
  <c r="G23" i="12"/>
  <c r="J23" i="12" s="1"/>
  <c r="J22" i="12" s="1"/>
  <c r="G208" i="3"/>
  <c r="G93" i="3"/>
  <c r="J93" i="3" s="1"/>
  <c r="J92" i="3" s="1"/>
  <c r="G69" i="9"/>
  <c r="J69" i="9" s="1"/>
  <c r="S70" i="1"/>
  <c r="E58" i="36"/>
  <c r="E57" i="37"/>
  <c r="F56" i="33"/>
  <c r="M56" i="33" s="1"/>
  <c r="F323" i="22"/>
  <c r="I330" i="22" s="1"/>
  <c r="G256" i="12"/>
  <c r="G203" i="12"/>
  <c r="J203" i="12" s="1"/>
  <c r="G124" i="12"/>
  <c r="J124" i="12" s="1"/>
  <c r="G101" i="12"/>
  <c r="J101" i="12" s="1"/>
  <c r="G90" i="12"/>
  <c r="J90" i="12" s="1"/>
  <c r="G27" i="3"/>
  <c r="J27" i="3" s="1"/>
  <c r="G51" i="9"/>
  <c r="J51" i="9" s="1"/>
  <c r="G188" i="12"/>
  <c r="G233" i="3"/>
  <c r="E19" i="36"/>
  <c r="E18" i="37"/>
  <c r="F9" i="33"/>
  <c r="M9" i="33" s="1"/>
  <c r="F8" i="22"/>
  <c r="G51" i="12"/>
  <c r="J51" i="12" s="1"/>
  <c r="G148" i="12"/>
  <c r="J148" i="12" s="1"/>
  <c r="G7" i="9"/>
  <c r="E25" i="36"/>
  <c r="E24" i="37"/>
  <c r="F15" i="33"/>
  <c r="M15" i="33" s="1"/>
  <c r="F44" i="22"/>
  <c r="G154" i="12"/>
  <c r="J154" i="12" s="1"/>
  <c r="G56" i="12"/>
  <c r="J56" i="12" s="1"/>
  <c r="G12" i="9"/>
  <c r="J12" i="9" s="1"/>
  <c r="E29" i="36"/>
  <c r="E28" i="37"/>
  <c r="F19" i="33"/>
  <c r="F67" i="22"/>
  <c r="I69" i="22" s="1"/>
  <c r="G157" i="12"/>
  <c r="J157" i="12" s="1"/>
  <c r="G59" i="12"/>
  <c r="J59" i="12" s="1"/>
  <c r="F19" i="19"/>
  <c r="G15" i="9"/>
  <c r="J15" i="9" s="1"/>
  <c r="E32" i="36"/>
  <c r="E31" i="37"/>
  <c r="F23" i="33"/>
  <c r="M23" i="33" s="1"/>
  <c r="F91" i="22"/>
  <c r="I95" i="22" s="1"/>
  <c r="F23" i="19"/>
  <c r="G158" i="12"/>
  <c r="J158" i="12" s="1"/>
  <c r="G249" i="12"/>
  <c r="G218" i="12"/>
  <c r="J218" i="12" s="1"/>
  <c r="J217" i="12" s="1"/>
  <c r="G17" i="9"/>
  <c r="J17" i="9" s="1"/>
  <c r="F32" i="33"/>
  <c r="M32" i="33" s="1"/>
  <c r="G122" i="12"/>
  <c r="J122" i="12" s="1"/>
  <c r="G99" i="12"/>
  <c r="J99" i="12" s="1"/>
  <c r="E50" i="36"/>
  <c r="E49" i="37"/>
  <c r="F47" i="33"/>
  <c r="M47" i="33" s="1"/>
  <c r="F275" i="22"/>
  <c r="I279" i="22" s="1"/>
  <c r="G163" i="12"/>
  <c r="J163" i="12" s="1"/>
  <c r="G64" i="12"/>
  <c r="J64" i="12" s="1"/>
  <c r="G22" i="9"/>
  <c r="J22" i="9" s="1"/>
  <c r="E84" i="36"/>
  <c r="E83" i="37"/>
  <c r="F89" i="33"/>
  <c r="F592" i="22"/>
  <c r="I598" i="22" s="1"/>
  <c r="G136" i="12"/>
  <c r="J136" i="12" s="1"/>
  <c r="G41" i="12"/>
  <c r="J41" i="12" s="1"/>
  <c r="G82" i="9"/>
  <c r="J82" i="9" s="1"/>
  <c r="G224" i="3"/>
  <c r="G123" i="3"/>
  <c r="J123" i="3" s="1"/>
  <c r="G45" i="3"/>
  <c r="J45" i="3" s="1"/>
  <c r="G188" i="3"/>
  <c r="J188" i="3" s="1"/>
  <c r="G59" i="3"/>
  <c r="J59" i="3" s="1"/>
  <c r="E93" i="36"/>
  <c r="E92" i="37"/>
  <c r="F101" i="33"/>
  <c r="F662" i="22"/>
  <c r="G49" i="12"/>
  <c r="J49" i="12" s="1"/>
  <c r="G39" i="9"/>
  <c r="J39" i="9" s="1"/>
  <c r="E24" i="36"/>
  <c r="E23" i="37"/>
  <c r="F14" i="33"/>
  <c r="M14" i="33" s="1"/>
  <c r="G153" i="12"/>
  <c r="J153" i="12" s="1"/>
  <c r="F38" i="22"/>
  <c r="I43" i="22" s="1"/>
  <c r="G55" i="12"/>
  <c r="J55" i="12" s="1"/>
  <c r="F14" i="19"/>
  <c r="G11" i="9"/>
  <c r="J11" i="9" s="1"/>
  <c r="E30" i="36"/>
  <c r="E29" i="37"/>
  <c r="F21" i="33"/>
  <c r="M21" i="33" s="1"/>
  <c r="F21" i="19"/>
  <c r="G174" i="12"/>
  <c r="J174" i="12" s="1"/>
  <c r="G16" i="9"/>
  <c r="J16" i="9" s="1"/>
  <c r="F74" i="22"/>
  <c r="E56" i="36"/>
  <c r="E55" i="37"/>
  <c r="F53" i="33"/>
  <c r="L53" i="33" s="1"/>
  <c r="F311" i="22"/>
  <c r="I317" i="22" s="1"/>
  <c r="G169" i="12"/>
  <c r="J169" i="12" s="1"/>
  <c r="G28" i="9"/>
  <c r="J28" i="9" s="1"/>
  <c r="G70" i="12"/>
  <c r="J70" i="12" s="1"/>
  <c r="R21" i="1"/>
  <c r="E31" i="36"/>
  <c r="E30" i="37"/>
  <c r="F22" i="33"/>
  <c r="M22" i="33" s="1"/>
  <c r="F79" i="22"/>
  <c r="I86" i="22" s="1"/>
  <c r="G183" i="12"/>
  <c r="J183" i="12" s="1"/>
  <c r="J182" i="12" s="1"/>
  <c r="W182" i="12" s="1"/>
  <c r="G96" i="12"/>
  <c r="J96" i="12" s="1"/>
  <c r="J95" i="12" s="1"/>
  <c r="W95" i="12" s="1"/>
  <c r="G85" i="12"/>
  <c r="J85" i="12" s="1"/>
  <c r="J84" i="12" s="1"/>
  <c r="F22" i="19"/>
  <c r="G198" i="12"/>
  <c r="J198" i="12" s="1"/>
  <c r="J197" i="12" s="1"/>
  <c r="S197" i="12" s="1"/>
  <c r="G252" i="12"/>
  <c r="G46" i="9"/>
  <c r="J46" i="9" s="1"/>
  <c r="J45" i="9" s="1"/>
  <c r="G119" i="12"/>
  <c r="J119" i="12" s="1"/>
  <c r="J118" i="12" s="1"/>
  <c r="W118" i="12" s="1"/>
  <c r="G23" i="3"/>
  <c r="J23" i="3" s="1"/>
  <c r="K5" i="42"/>
  <c r="K4" i="42"/>
  <c r="E21" i="36"/>
  <c r="E20" i="37"/>
  <c r="F11" i="33"/>
  <c r="M11" i="33" s="1"/>
  <c r="F20" i="22"/>
  <c r="G53" i="12"/>
  <c r="J53" i="12" s="1"/>
  <c r="G150" i="12"/>
  <c r="G9" i="9"/>
  <c r="J9" i="9" s="1"/>
  <c r="E37" i="36"/>
  <c r="E36" i="37"/>
  <c r="F31" i="33"/>
  <c r="F135" i="22"/>
  <c r="I139" i="22" s="1"/>
  <c r="G121" i="12"/>
  <c r="J121" i="12" s="1"/>
  <c r="G253" i="12"/>
  <c r="J253" i="12" s="1"/>
  <c r="G185" i="12"/>
  <c r="J185" i="12" s="1"/>
  <c r="G98" i="12"/>
  <c r="J98" i="12" s="1"/>
  <c r="G87" i="12"/>
  <c r="J87" i="12" s="1"/>
  <c r="G48" i="9"/>
  <c r="J48" i="9" s="1"/>
  <c r="G200" i="12"/>
  <c r="J200" i="12" s="1"/>
  <c r="G24" i="3"/>
  <c r="J24" i="3" s="1"/>
  <c r="E41" i="36"/>
  <c r="E40" i="37"/>
  <c r="F36" i="33"/>
  <c r="F186" i="22"/>
  <c r="I189" i="22" s="1"/>
  <c r="G214" i="3"/>
  <c r="G65" i="9"/>
  <c r="G85" i="3"/>
  <c r="J85" i="3" s="1"/>
  <c r="E60" i="36"/>
  <c r="E59" i="37"/>
  <c r="F60" i="33"/>
  <c r="M60" i="33" s="1"/>
  <c r="F344" i="22"/>
  <c r="G125" i="12"/>
  <c r="J125" i="12" s="1"/>
  <c r="G257" i="12"/>
  <c r="G189" i="12"/>
  <c r="J189" i="12" s="1"/>
  <c r="G102" i="12"/>
  <c r="J102" i="12" s="1"/>
  <c r="G91" i="12"/>
  <c r="J91" i="12" s="1"/>
  <c r="G204" i="12"/>
  <c r="J204" i="12" s="1"/>
  <c r="G52" i="9"/>
  <c r="J52" i="9" s="1"/>
  <c r="G28" i="3"/>
  <c r="J28" i="3" s="1"/>
  <c r="E86" i="36"/>
  <c r="E85" i="37"/>
  <c r="F91" i="33"/>
  <c r="O91" i="33" s="1"/>
  <c r="F610" i="22"/>
  <c r="I613" i="22" s="1"/>
  <c r="G108" i="9"/>
  <c r="J108" i="9" s="1"/>
  <c r="G32" i="3"/>
  <c r="G71" i="3"/>
  <c r="J71" i="3" s="1"/>
  <c r="E88" i="36"/>
  <c r="F94" i="33"/>
  <c r="M94" i="33" s="1"/>
  <c r="E87" i="37"/>
  <c r="F628" i="22"/>
  <c r="I630" i="22" s="1"/>
  <c r="G72" i="12"/>
  <c r="J72" i="12" s="1"/>
  <c r="G35" i="9"/>
  <c r="J35" i="9" s="1"/>
  <c r="R87" i="1"/>
  <c r="E79" i="36"/>
  <c r="F82" i="33"/>
  <c r="E78" i="37"/>
  <c r="F553" i="22"/>
  <c r="G80" i="12"/>
  <c r="G238" i="12"/>
  <c r="J238" i="12" s="1"/>
  <c r="G219" i="3"/>
  <c r="J219" i="3" s="1"/>
  <c r="G155" i="3"/>
  <c r="J155" i="3" s="1"/>
  <c r="G145" i="3"/>
  <c r="J145" i="3" s="1"/>
  <c r="S156" i="1"/>
  <c r="R169" i="1"/>
  <c r="E94" i="36"/>
  <c r="E93" i="37"/>
  <c r="F102" i="33"/>
  <c r="O102" i="33" s="1"/>
  <c r="F667" i="22"/>
  <c r="G35" i="12"/>
  <c r="J35" i="12" s="1"/>
  <c r="J34" i="12" s="1"/>
  <c r="L34" i="12" s="1"/>
  <c r="G40" i="9"/>
  <c r="J40" i="9" s="1"/>
  <c r="N53" i="43"/>
  <c r="M61" i="43"/>
  <c r="M66" i="43" s="1"/>
  <c r="S12" i="1"/>
  <c r="R14" i="1"/>
  <c r="S21" i="1"/>
  <c r="R23" i="1"/>
  <c r="S31" i="1"/>
  <c r="R34" i="1"/>
  <c r="U61" i="1"/>
  <c r="S63" i="1"/>
  <c r="S65" i="1"/>
  <c r="S80" i="1"/>
  <c r="S87" i="1"/>
  <c r="S94" i="1"/>
  <c r="R97" i="1"/>
  <c r="S141" i="1"/>
  <c r="S143" i="1"/>
  <c r="U156" i="1"/>
  <c r="S158" i="1"/>
  <c r="R165" i="1"/>
  <c r="S169" i="1"/>
  <c r="R175" i="1"/>
  <c r="S200" i="1"/>
  <c r="G104" i="3"/>
  <c r="J104" i="3" s="1"/>
  <c r="G116" i="3"/>
  <c r="J116" i="3" s="1"/>
  <c r="G200" i="3"/>
  <c r="J200" i="3" s="1"/>
  <c r="Y18" i="4"/>
  <c r="M14" i="2" s="1"/>
  <c r="Y34" i="4"/>
  <c r="M30" i="2" s="1"/>
  <c r="Y50" i="4"/>
  <c r="M46" i="2" s="1"/>
  <c r="N7" i="5"/>
  <c r="N8" i="5" s="1"/>
  <c r="N60" i="5"/>
  <c r="M77" i="5"/>
  <c r="O76" i="5"/>
  <c r="P76" i="5" s="1"/>
  <c r="H58" i="32"/>
  <c r="J58" i="32" s="1"/>
  <c r="J57" i="32" s="1"/>
  <c r="I17" i="33" s="1"/>
  <c r="N17" i="33" s="1"/>
  <c r="H28" i="32"/>
  <c r="J28" i="32" s="1"/>
  <c r="J27" i="32" s="1"/>
  <c r="I12" i="33" s="1"/>
  <c r="N12" i="33" s="1"/>
  <c r="G56" i="20"/>
  <c r="H56" i="20" s="1"/>
  <c r="P58" i="22"/>
  <c r="Q58" i="22" s="1"/>
  <c r="Q57" i="22" s="1"/>
  <c r="P28" i="22"/>
  <c r="Q28" i="22" s="1"/>
  <c r="Q27" i="22" s="1"/>
  <c r="X42" i="9"/>
  <c r="Z42" i="9" s="1"/>
  <c r="H139" i="18"/>
  <c r="J139" i="18" s="1"/>
  <c r="J138" i="18" s="1"/>
  <c r="P27" i="1" s="1"/>
  <c r="T27" i="1" s="1"/>
  <c r="H812" i="32"/>
  <c r="J812" i="32" s="1"/>
  <c r="J811" i="32" s="1"/>
  <c r="I120" i="33" s="1"/>
  <c r="N120" i="33" s="1"/>
  <c r="H537" i="32"/>
  <c r="J537" i="32" s="1"/>
  <c r="J536" i="32" s="1"/>
  <c r="I79" i="33" s="1"/>
  <c r="N79" i="33" s="1"/>
  <c r="H471" i="32"/>
  <c r="H327" i="32"/>
  <c r="J327" i="32" s="1"/>
  <c r="J326" i="32" s="1"/>
  <c r="I56" i="33" s="1"/>
  <c r="H139" i="32"/>
  <c r="J139" i="32" s="1"/>
  <c r="J138" i="32" s="1"/>
  <c r="I31" i="33" s="1"/>
  <c r="H866" i="32"/>
  <c r="J866" i="32" s="1"/>
  <c r="J865" i="32" s="1"/>
  <c r="I126" i="33" s="1"/>
  <c r="H366" i="32"/>
  <c r="J366" i="32" s="1"/>
  <c r="J365" i="32" s="1"/>
  <c r="I62" i="33" s="1"/>
  <c r="H348" i="32"/>
  <c r="J348" i="32" s="1"/>
  <c r="J347" i="32" s="1"/>
  <c r="I60" i="33" s="1"/>
  <c r="N60" i="33" s="1"/>
  <c r="H196" i="32"/>
  <c r="J196" i="32" s="1"/>
  <c r="J195" i="32" s="1"/>
  <c r="I37" i="33" s="1"/>
  <c r="H151" i="32"/>
  <c r="J151" i="32" s="1"/>
  <c r="J150" i="32" s="1"/>
  <c r="I32" i="33" s="1"/>
  <c r="H542" i="32"/>
  <c r="J542" i="32" s="1"/>
  <c r="J541" i="32" s="1"/>
  <c r="P866" i="22"/>
  <c r="Q866" i="22" s="1"/>
  <c r="Q865" i="22" s="1"/>
  <c r="H817" i="32"/>
  <c r="J817" i="32" s="1"/>
  <c r="J816" i="32" s="1"/>
  <c r="P817" i="22"/>
  <c r="Q817" i="22" s="1"/>
  <c r="Q816" i="22" s="1"/>
  <c r="P800" i="22"/>
  <c r="P812" i="22"/>
  <c r="Q812" i="22" s="1"/>
  <c r="Q811" i="22" s="1"/>
  <c r="H800" i="32"/>
  <c r="J800" i="32" s="1"/>
  <c r="J799" i="32" s="1"/>
  <c r="I119" i="33" s="1"/>
  <c r="N119" i="33" s="1"/>
  <c r="P542" i="22"/>
  <c r="Q542" i="22" s="1"/>
  <c r="Q541" i="22" s="1"/>
  <c r="P537" i="22"/>
  <c r="Q537" i="22" s="1"/>
  <c r="Q536" i="22" s="1"/>
  <c r="P471" i="22"/>
  <c r="Q471" i="22" s="1"/>
  <c r="Q470" i="22" s="1"/>
  <c r="P139" i="22"/>
  <c r="Q139" i="22" s="1"/>
  <c r="Q138" i="22" s="1"/>
  <c r="G58" i="20"/>
  <c r="H58" i="20" s="1"/>
  <c r="P366" i="22"/>
  <c r="P348" i="22"/>
  <c r="Q348" i="22" s="1"/>
  <c r="Q347" i="22" s="1"/>
  <c r="P327" i="22"/>
  <c r="Q327" i="22" s="1"/>
  <c r="Q326" i="22" s="1"/>
  <c r="P196" i="22"/>
  <c r="Q196" i="22" s="1"/>
  <c r="Q195" i="22" s="1"/>
  <c r="P151" i="22"/>
  <c r="X47" i="9"/>
  <c r="Z47" i="9" s="1"/>
  <c r="H960" i="18"/>
  <c r="J960" i="18" s="1"/>
  <c r="J959" i="18" s="1"/>
  <c r="P128" i="1" s="1"/>
  <c r="T128" i="1" s="1"/>
  <c r="H1791" i="18"/>
  <c r="J1791" i="18" s="1"/>
  <c r="J1790" i="18" s="1"/>
  <c r="H1681" i="18"/>
  <c r="J1681" i="18" s="1"/>
  <c r="J1680" i="18" s="1"/>
  <c r="P195" i="1" s="1"/>
  <c r="T195" i="1" s="1"/>
  <c r="H1080" i="18"/>
  <c r="J1080" i="18" s="1"/>
  <c r="J1079" i="18" s="1"/>
  <c r="P138" i="1" s="1"/>
  <c r="T138" i="1" s="1"/>
  <c r="H782" i="18"/>
  <c r="J782" i="18" s="1"/>
  <c r="J781" i="18" s="1"/>
  <c r="P109" i="1" s="1"/>
  <c r="T109" i="1" s="1"/>
  <c r="H317" i="18"/>
  <c r="J317" i="18" s="1"/>
  <c r="J316" i="18" s="1"/>
  <c r="P51" i="1" s="1"/>
  <c r="T51" i="1" s="1"/>
  <c r="H1696" i="18"/>
  <c r="J1696" i="18" s="1"/>
  <c r="J1695" i="18" s="1"/>
  <c r="H1095" i="18"/>
  <c r="J1095" i="18" s="1"/>
  <c r="J1094" i="18" s="1"/>
  <c r="P139" i="1" s="1"/>
  <c r="T139" i="1" s="1"/>
  <c r="H690" i="32"/>
  <c r="J690" i="32" s="1"/>
  <c r="J689" i="32" s="1"/>
  <c r="I105" i="33" s="1"/>
  <c r="N105" i="33" s="1"/>
  <c r="H615" i="32"/>
  <c r="J615" i="32" s="1"/>
  <c r="J614" i="32" s="1"/>
  <c r="I91" i="33" s="1"/>
  <c r="H860" i="32"/>
  <c r="J860" i="32" s="1"/>
  <c r="J859" i="32" s="1"/>
  <c r="I125" i="33" s="1"/>
  <c r="H623" i="32"/>
  <c r="J623" i="32" s="1"/>
  <c r="J622" i="32" s="1"/>
  <c r="I92" i="33" s="1"/>
  <c r="H525" i="32"/>
  <c r="J525" i="32" s="1"/>
  <c r="J524" i="32" s="1"/>
  <c r="I78" i="33" s="1"/>
  <c r="H381" i="32"/>
  <c r="J381" i="32" s="1"/>
  <c r="H210" i="32"/>
  <c r="J210" i="32" s="1"/>
  <c r="J209" i="32" s="1"/>
  <c r="I38" i="33" s="1"/>
  <c r="H165" i="32"/>
  <c r="J165" i="32" s="1"/>
  <c r="J164" i="32" s="1"/>
  <c r="I33" i="33" s="1"/>
  <c r="H849" i="32"/>
  <c r="J849" i="32" s="1"/>
  <c r="J848" i="32" s="1"/>
  <c r="I124" i="33" s="1"/>
  <c r="H462" i="32"/>
  <c r="J462" i="32" s="1"/>
  <c r="J461" i="32" s="1"/>
  <c r="I72" i="33" s="1"/>
  <c r="N72" i="33" s="1"/>
  <c r="H422" i="32"/>
  <c r="J422" i="32" s="1"/>
  <c r="P849" i="22"/>
  <c r="Q849" i="22" s="1"/>
  <c r="Q848" i="22" s="1"/>
  <c r="H560" i="32"/>
  <c r="J560" i="32" s="1"/>
  <c r="J559" i="32" s="1"/>
  <c r="I82" i="33" s="1"/>
  <c r="P690" i="22"/>
  <c r="Q690" i="22" s="1"/>
  <c r="Q689" i="22" s="1"/>
  <c r="P623" i="22"/>
  <c r="P615" i="22"/>
  <c r="Q615" i="22" s="1"/>
  <c r="Q614" i="22" s="1"/>
  <c r="P422" i="22"/>
  <c r="Q422" i="22" s="1"/>
  <c r="P381" i="22"/>
  <c r="Q381" i="22" s="1"/>
  <c r="P860" i="22"/>
  <c r="Q860" i="22" s="1"/>
  <c r="Q859" i="22" s="1"/>
  <c r="P560" i="22"/>
  <c r="Q560" i="22" s="1"/>
  <c r="Q559" i="22" s="1"/>
  <c r="P462" i="22"/>
  <c r="Q462" i="22" s="1"/>
  <c r="Q461" i="22" s="1"/>
  <c r="P165" i="22"/>
  <c r="Q165" i="22" s="1"/>
  <c r="Q164" i="22" s="1"/>
  <c r="G60" i="20"/>
  <c r="H60" i="20" s="1"/>
  <c r="P210" i="22"/>
  <c r="Q210" i="22" s="1"/>
  <c r="Q209" i="22" s="1"/>
  <c r="P525" i="22"/>
  <c r="Q525" i="22" s="1"/>
  <c r="Q524" i="22" s="1"/>
  <c r="X100" i="9"/>
  <c r="Z100" i="9" s="1"/>
  <c r="H1059" i="18"/>
  <c r="H941" i="18"/>
  <c r="J941" i="18" s="1"/>
  <c r="J940" i="18" s="1"/>
  <c r="P127" i="1" s="1"/>
  <c r="T127" i="1" s="1"/>
  <c r="H806" i="18"/>
  <c r="J806" i="18" s="1"/>
  <c r="H1755" i="18"/>
  <c r="J1755" i="18" s="1"/>
  <c r="J1754" i="18" s="1"/>
  <c r="P200" i="1" s="1"/>
  <c r="T200" i="1" s="1"/>
  <c r="H1426" i="18"/>
  <c r="J1426" i="18" s="1"/>
  <c r="J1425" i="18" s="1"/>
  <c r="P179" i="1" s="1"/>
  <c r="T179" i="1" s="1"/>
  <c r="H1272" i="18"/>
  <c r="J1272" i="18" s="1"/>
  <c r="J1271" i="18" s="1"/>
  <c r="P158" i="1" s="1"/>
  <c r="T158" i="1" s="1"/>
  <c r="H1254" i="18"/>
  <c r="J1254" i="18" s="1"/>
  <c r="J1253" i="18" s="1"/>
  <c r="P156" i="1" s="1"/>
  <c r="T156" i="1" s="1"/>
  <c r="H1131" i="18"/>
  <c r="J1131" i="18" s="1"/>
  <c r="J1130" i="18" s="1"/>
  <c r="P143" i="1" s="1"/>
  <c r="T143" i="1" s="1"/>
  <c r="H443" i="18"/>
  <c r="J443" i="18" s="1"/>
  <c r="J442" i="18" s="1"/>
  <c r="P65" i="1" s="1"/>
  <c r="T65" i="1" s="1"/>
  <c r="H1775" i="18"/>
  <c r="J1775" i="18" s="1"/>
  <c r="J1774" i="18" s="1"/>
  <c r="P202" i="1" s="1"/>
  <c r="T202" i="1" s="1"/>
  <c r="H874" i="18"/>
  <c r="J874" i="18" s="1"/>
  <c r="G23" i="9"/>
  <c r="J23" i="9" s="1"/>
  <c r="E57" i="36"/>
  <c r="E56" i="37"/>
  <c r="F55" i="33"/>
  <c r="M55" i="33" s="1"/>
  <c r="F318" i="22"/>
  <c r="F56" i="19"/>
  <c r="G175" i="12"/>
  <c r="J175" i="12" s="1"/>
  <c r="E78" i="36"/>
  <c r="F81" i="33"/>
  <c r="M81" i="33" s="1"/>
  <c r="E77" i="37"/>
  <c r="F545" i="22"/>
  <c r="I550" i="22" s="1"/>
  <c r="G29" i="12"/>
  <c r="J29" i="12" s="1"/>
  <c r="G78" i="9"/>
  <c r="J78" i="9" s="1"/>
  <c r="G81" i="3"/>
  <c r="J81" i="3" s="1"/>
  <c r="E90" i="36"/>
  <c r="E89" i="37"/>
  <c r="F97" i="33"/>
  <c r="O97" i="33" s="1"/>
  <c r="F645" i="22"/>
  <c r="I647" i="22" s="1"/>
  <c r="G105" i="12"/>
  <c r="J105" i="12" s="1"/>
  <c r="G7" i="12"/>
  <c r="J7" i="12" s="1"/>
  <c r="J6" i="12" s="1"/>
  <c r="N6" i="12" s="1"/>
  <c r="G36" i="9"/>
  <c r="J36" i="9" s="1"/>
  <c r="E105" i="36"/>
  <c r="E104" i="37"/>
  <c r="F114" i="33"/>
  <c r="O114" i="33" s="1"/>
  <c r="F757" i="22"/>
  <c r="G94" i="9"/>
  <c r="J94" i="9" s="1"/>
  <c r="G245" i="3"/>
  <c r="G137" i="3"/>
  <c r="J137" i="3" s="1"/>
  <c r="J136" i="3" s="1"/>
  <c r="L136" i="3" s="1"/>
  <c r="G99" i="3"/>
  <c r="J99" i="3" s="1"/>
  <c r="J98" i="3" s="1"/>
  <c r="G146" i="3"/>
  <c r="J146" i="3" s="1"/>
  <c r="M44" i="5"/>
  <c r="M45" i="5" s="1"/>
  <c r="N43" i="5"/>
  <c r="O43" i="5" s="1"/>
  <c r="S14" i="1"/>
  <c r="R16" i="1"/>
  <c r="S23" i="1"/>
  <c r="R25" i="1"/>
  <c r="E28" i="36"/>
  <c r="E27" i="37"/>
  <c r="F18" i="33"/>
  <c r="M18" i="33" s="1"/>
  <c r="F61" i="22"/>
  <c r="I66" i="22" s="1"/>
  <c r="F18" i="19"/>
  <c r="G156" i="12"/>
  <c r="J156" i="12" s="1"/>
  <c r="G14" i="9"/>
  <c r="J14" i="9" s="1"/>
  <c r="G58" i="12"/>
  <c r="J58" i="12" s="1"/>
  <c r="S34" i="1"/>
  <c r="S36" i="1"/>
  <c r="R38" i="1"/>
  <c r="E34" i="36"/>
  <c r="E33" i="37"/>
  <c r="F27" i="33"/>
  <c r="F106" i="22"/>
  <c r="G61" i="12"/>
  <c r="J61" i="12" s="1"/>
  <c r="G160" i="12"/>
  <c r="J160" i="12" s="1"/>
  <c r="G19" i="9"/>
  <c r="J19" i="9" s="1"/>
  <c r="S49" i="1"/>
  <c r="R76" i="1"/>
  <c r="E49" i="36"/>
  <c r="E48" i="37"/>
  <c r="F46" i="33"/>
  <c r="M46" i="33" s="1"/>
  <c r="F269" i="22"/>
  <c r="I274" i="22" s="1"/>
  <c r="G63" i="12"/>
  <c r="J63" i="12" s="1"/>
  <c r="G162" i="12"/>
  <c r="J162" i="12" s="1"/>
  <c r="G21" i="9"/>
  <c r="J21" i="9" s="1"/>
  <c r="E52" i="36"/>
  <c r="E51" i="37"/>
  <c r="F49" i="33"/>
  <c r="M49" i="33" s="1"/>
  <c r="F287" i="22"/>
  <c r="I292" i="22" s="1"/>
  <c r="G165" i="12"/>
  <c r="J165" i="12" s="1"/>
  <c r="G66" i="12"/>
  <c r="J66" i="12" s="1"/>
  <c r="G24" i="9"/>
  <c r="J24" i="9" s="1"/>
  <c r="E55" i="36"/>
  <c r="E54" i="37"/>
  <c r="F52" i="33"/>
  <c r="M52" i="33" s="1"/>
  <c r="F305" i="22"/>
  <c r="G69" i="12"/>
  <c r="J69" i="12" s="1"/>
  <c r="G168" i="12"/>
  <c r="J168" i="12" s="1"/>
  <c r="G27" i="9"/>
  <c r="J27" i="9" s="1"/>
  <c r="S97" i="1"/>
  <c r="S99" i="1"/>
  <c r="R101" i="1"/>
  <c r="E61" i="36"/>
  <c r="F61" i="33"/>
  <c r="M61" i="33" s="1"/>
  <c r="E60" i="37"/>
  <c r="F356" i="22"/>
  <c r="I360" i="22" s="1"/>
  <c r="G171" i="12"/>
  <c r="J171" i="12" s="1"/>
  <c r="G71" i="12"/>
  <c r="J71" i="12" s="1"/>
  <c r="G31" i="9"/>
  <c r="J31" i="9" s="1"/>
  <c r="E77" i="36"/>
  <c r="E76" i="37"/>
  <c r="F80" i="33"/>
  <c r="M80" i="33" s="1"/>
  <c r="F540" i="22"/>
  <c r="I544" i="22" s="1"/>
  <c r="G56" i="9"/>
  <c r="J56" i="9" s="1"/>
  <c r="G10" i="12"/>
  <c r="J10" i="12" s="1"/>
  <c r="S152" i="1"/>
  <c r="E85" i="36"/>
  <c r="E84" i="37"/>
  <c r="F90" i="33"/>
  <c r="O90" i="33" s="1"/>
  <c r="F604" i="22"/>
  <c r="G83" i="9"/>
  <c r="J83" i="9" s="1"/>
  <c r="G215" i="3"/>
  <c r="J215" i="3" s="1"/>
  <c r="G86" i="3"/>
  <c r="J86" i="3" s="1"/>
  <c r="R161" i="1"/>
  <c r="S165" i="1"/>
  <c r="E92" i="36"/>
  <c r="E91" i="37"/>
  <c r="F100" i="33"/>
  <c r="F657" i="22"/>
  <c r="G48" i="12"/>
  <c r="J48" i="12" s="1"/>
  <c r="G38" i="9"/>
  <c r="J38" i="9" s="1"/>
  <c r="R173" i="1"/>
  <c r="S175" i="1"/>
  <c r="E113" i="36"/>
  <c r="F123" i="33"/>
  <c r="E112" i="37"/>
  <c r="F834" i="22"/>
  <c r="G98" i="9"/>
  <c r="J98" i="9" s="1"/>
  <c r="G30" i="12"/>
  <c r="J30" i="12" s="1"/>
  <c r="G170" i="3"/>
  <c r="J170" i="3" s="1"/>
  <c r="J168" i="3" s="1"/>
  <c r="S202" i="1"/>
  <c r="R209" i="1"/>
  <c r="G40" i="3"/>
  <c r="J40" i="3" s="1"/>
  <c r="G182" i="3"/>
  <c r="J182" i="3" s="1"/>
  <c r="N17" i="5"/>
  <c r="M24" i="5"/>
  <c r="M58" i="5"/>
  <c r="N57" i="5"/>
  <c r="G107" i="9"/>
  <c r="J107" i="9" s="1"/>
  <c r="R94" i="1"/>
  <c r="E87" i="36"/>
  <c r="E86" i="37"/>
  <c r="F92" i="33"/>
  <c r="M92" i="33" s="1"/>
  <c r="F616" i="22"/>
  <c r="I627" i="22" s="1"/>
  <c r="G109" i="9"/>
  <c r="J109" i="9" s="1"/>
  <c r="G247" i="12"/>
  <c r="G81" i="12"/>
  <c r="J81" i="12" s="1"/>
  <c r="G234" i="3"/>
  <c r="G165" i="3"/>
  <c r="J165" i="3" s="1"/>
  <c r="E114" i="36"/>
  <c r="F124" i="33"/>
  <c r="M124" i="33" s="1"/>
  <c r="E113" i="37"/>
  <c r="F842" i="22"/>
  <c r="I852" i="22" s="1"/>
  <c r="G82" i="12"/>
  <c r="J82" i="12" s="1"/>
  <c r="G239" i="12"/>
  <c r="G111" i="9"/>
  <c r="G220" i="3"/>
  <c r="G157" i="3"/>
  <c r="J157" i="3" s="1"/>
  <c r="G147" i="3"/>
  <c r="J147" i="3" s="1"/>
  <c r="M38" i="5"/>
  <c r="M39" i="5" s="1"/>
  <c r="N37" i="5"/>
  <c r="O37" i="5" s="1"/>
  <c r="N93" i="5"/>
  <c r="M94" i="5"/>
  <c r="M95" i="5" s="1"/>
  <c r="S16" i="1"/>
  <c r="S25" i="1"/>
  <c r="R29" i="1"/>
  <c r="S38" i="1"/>
  <c r="R43" i="1"/>
  <c r="U49" i="1"/>
  <c r="S51" i="1"/>
  <c r="S53" i="1"/>
  <c r="E39" i="36"/>
  <c r="E38" i="37"/>
  <c r="F33" i="33"/>
  <c r="O33" i="33" s="1"/>
  <c r="F159" i="22"/>
  <c r="I162" i="22" s="1"/>
  <c r="G77" i="12"/>
  <c r="J77" i="12" s="1"/>
  <c r="G101" i="9"/>
  <c r="J101" i="9" s="1"/>
  <c r="G242" i="12"/>
  <c r="G216" i="3"/>
  <c r="G160" i="3"/>
  <c r="J160" i="3" s="1"/>
  <c r="E40" i="36"/>
  <c r="E39" i="37"/>
  <c r="F35" i="33"/>
  <c r="F170" i="22"/>
  <c r="I185" i="22" s="1"/>
  <c r="G132" i="12"/>
  <c r="J132" i="12" s="1"/>
  <c r="G38" i="12"/>
  <c r="J38" i="12" s="1"/>
  <c r="G33" i="12"/>
  <c r="J33" i="12" s="1"/>
  <c r="G64" i="9"/>
  <c r="J64" i="9" s="1"/>
  <c r="G233" i="12"/>
  <c r="G232" i="3"/>
  <c r="G89" i="3"/>
  <c r="J89" i="3" s="1"/>
  <c r="G63" i="3"/>
  <c r="J63" i="3" s="1"/>
  <c r="S76" i="1"/>
  <c r="R78" i="1"/>
  <c r="R85" i="1"/>
  <c r="R92" i="1"/>
  <c r="S101" i="1"/>
  <c r="S105" i="1"/>
  <c r="R107" i="1"/>
  <c r="E62" i="36"/>
  <c r="E61" i="37"/>
  <c r="F62" i="33"/>
  <c r="M62" i="33" s="1"/>
  <c r="F362" i="22"/>
  <c r="I371" i="22" s="1"/>
  <c r="G258" i="12"/>
  <c r="G205" i="12"/>
  <c r="J205" i="12" s="1"/>
  <c r="G126" i="12"/>
  <c r="J126" i="12" s="1"/>
  <c r="G190" i="12"/>
  <c r="J190" i="12" s="1"/>
  <c r="G103" i="12"/>
  <c r="J103" i="12" s="1"/>
  <c r="G53" i="9"/>
  <c r="J53" i="9" s="1"/>
  <c r="G92" i="12"/>
  <c r="J92" i="12" s="1"/>
  <c r="G29" i="3"/>
  <c r="J29" i="3" s="1"/>
  <c r="E63" i="36"/>
  <c r="E62" i="37"/>
  <c r="F63" i="33"/>
  <c r="M63" i="33" s="1"/>
  <c r="F374" i="22"/>
  <c r="I385" i="22" s="1"/>
  <c r="G220" i="12"/>
  <c r="G192" i="12"/>
  <c r="J192" i="12" s="1"/>
  <c r="G259" i="12"/>
  <c r="G212" i="12"/>
  <c r="J212" i="12" s="1"/>
  <c r="J211" i="12" s="1"/>
  <c r="W211" i="12" s="1"/>
  <c r="G93" i="12"/>
  <c r="J93" i="12" s="1"/>
  <c r="G128" i="12"/>
  <c r="J128" i="12" s="1"/>
  <c r="G223" i="12"/>
  <c r="J223" i="12" s="1"/>
  <c r="G206" i="12"/>
  <c r="J206" i="12" s="1"/>
  <c r="G32" i="9"/>
  <c r="J32" i="9" s="1"/>
  <c r="G195" i="12"/>
  <c r="J195" i="12" s="1"/>
  <c r="G103" i="9"/>
  <c r="J103" i="9" s="1"/>
  <c r="G236" i="3"/>
  <c r="J236" i="3" s="1"/>
  <c r="G181" i="3"/>
  <c r="J181" i="3" s="1"/>
  <c r="G115" i="3"/>
  <c r="J115" i="3" s="1"/>
  <c r="E64" i="36"/>
  <c r="E63" i="37"/>
  <c r="F64" i="33"/>
  <c r="M64" i="33" s="1"/>
  <c r="F393" i="22"/>
  <c r="I397" i="22" s="1"/>
  <c r="G114" i="12"/>
  <c r="J114" i="12" s="1"/>
  <c r="G111" i="12"/>
  <c r="J111" i="12" s="1"/>
  <c r="G70" i="9"/>
  <c r="J70" i="9" s="1"/>
  <c r="G244" i="12"/>
  <c r="G108" i="3"/>
  <c r="J108" i="3" s="1"/>
  <c r="E65" i="36"/>
  <c r="E64" i="37"/>
  <c r="F65" i="33"/>
  <c r="M65" i="33" s="1"/>
  <c r="F402" i="22"/>
  <c r="I411" i="22" s="1"/>
  <c r="G180" i="12"/>
  <c r="J180" i="12" s="1"/>
  <c r="G209" i="12"/>
  <c r="J209" i="12" s="1"/>
  <c r="G115" i="12"/>
  <c r="J115" i="12" s="1"/>
  <c r="G71" i="9"/>
  <c r="J71" i="9" s="1"/>
  <c r="E66" i="36"/>
  <c r="E65" i="37"/>
  <c r="F67" i="33"/>
  <c r="M67" i="33" s="1"/>
  <c r="F415" i="22"/>
  <c r="I430" i="22" s="1"/>
  <c r="F68" i="19"/>
  <c r="G260" i="12"/>
  <c r="G224" i="12"/>
  <c r="J224" i="12" s="1"/>
  <c r="G207" i="12"/>
  <c r="J207" i="12" s="1"/>
  <c r="G196" i="12"/>
  <c r="J196" i="12" s="1"/>
  <c r="G129" i="12"/>
  <c r="J129" i="12" s="1"/>
  <c r="G221" i="12"/>
  <c r="J221" i="12" s="1"/>
  <c r="G193" i="12"/>
  <c r="J193" i="12" s="1"/>
  <c r="G104" i="9"/>
  <c r="J104" i="9" s="1"/>
  <c r="G94" i="12"/>
  <c r="J94" i="12" s="1"/>
  <c r="G237" i="3"/>
  <c r="G140" i="3"/>
  <c r="J140" i="3" s="1"/>
  <c r="G33" i="9"/>
  <c r="J33" i="9" s="1"/>
  <c r="E67" i="36"/>
  <c r="E66" i="37"/>
  <c r="F68" i="33"/>
  <c r="M68" i="33" s="1"/>
  <c r="F434" i="22"/>
  <c r="I442" i="22" s="1"/>
  <c r="F69" i="19"/>
  <c r="G116" i="12"/>
  <c r="J116" i="12" s="1"/>
  <c r="G112" i="12"/>
  <c r="J112" i="12" s="1"/>
  <c r="G245" i="12"/>
  <c r="J245" i="12" s="1"/>
  <c r="G72" i="9"/>
  <c r="J72" i="9" s="1"/>
  <c r="G110" i="3"/>
  <c r="J110" i="3" s="1"/>
  <c r="E68" i="36"/>
  <c r="E67" i="37"/>
  <c r="F69" i="33"/>
  <c r="O69" i="33" s="1"/>
  <c r="F443" i="22"/>
  <c r="F70" i="19"/>
  <c r="G210" i="12"/>
  <c r="J210" i="12" s="1"/>
  <c r="G117" i="12"/>
  <c r="J117" i="12" s="1"/>
  <c r="G181" i="12"/>
  <c r="J181" i="12" s="1"/>
  <c r="G73" i="9"/>
  <c r="J73" i="9" s="1"/>
  <c r="G204" i="3"/>
  <c r="J204" i="3" s="1"/>
  <c r="G201" i="3"/>
  <c r="J201" i="3" s="1"/>
  <c r="G198" i="3"/>
  <c r="J198" i="3" s="1"/>
  <c r="R139" i="1"/>
  <c r="E83" i="36"/>
  <c r="E82" i="37"/>
  <c r="F87" i="33"/>
  <c r="L87" i="33" s="1"/>
  <c r="F584" i="22"/>
  <c r="I588" i="22" s="1"/>
  <c r="G216" i="12"/>
  <c r="J216" i="12" s="1"/>
  <c r="G172" i="12"/>
  <c r="J172" i="12" s="1"/>
  <c r="G251" i="12"/>
  <c r="J251" i="12" s="1"/>
  <c r="W251" i="12" s="1"/>
  <c r="G34" i="9"/>
  <c r="J34" i="9" s="1"/>
  <c r="S154" i="1"/>
  <c r="S161" i="1"/>
  <c r="R171" i="1"/>
  <c r="S173" i="1"/>
  <c r="U188" i="1"/>
  <c r="S209" i="1"/>
  <c r="M211" i="1"/>
  <c r="J59" i="18"/>
  <c r="J58" i="18" s="1"/>
  <c r="P18" i="1" s="1"/>
  <c r="T18" i="1" s="1"/>
  <c r="J282" i="18"/>
  <c r="J281" i="18" s="1"/>
  <c r="P46" i="1" s="1"/>
  <c r="J385" i="18"/>
  <c r="J384" i="18" s="1"/>
  <c r="P59" i="1" s="1"/>
  <c r="T59" i="1" s="1"/>
  <c r="G82" i="3"/>
  <c r="J82" i="3" s="1"/>
  <c r="G111" i="3"/>
  <c r="J111" i="3" s="1"/>
  <c r="G139" i="3"/>
  <c r="J139" i="3" s="1"/>
  <c r="G164" i="3"/>
  <c r="J164" i="3" s="1"/>
  <c r="G180" i="3"/>
  <c r="J180" i="3" s="1"/>
  <c r="Y10" i="4"/>
  <c r="M6" i="2" s="1"/>
  <c r="Y26" i="4"/>
  <c r="M22" i="2" s="1"/>
  <c r="Y42" i="4"/>
  <c r="M38" i="2" s="1"/>
  <c r="N11" i="5"/>
  <c r="N12" i="5" s="1"/>
  <c r="N13" i="5" s="1"/>
  <c r="O14" i="5"/>
  <c r="P14" i="5" s="1"/>
  <c r="M15" i="5"/>
  <c r="M41" i="5"/>
  <c r="N40" i="5"/>
  <c r="O40" i="5" s="1"/>
  <c r="N47" i="5"/>
  <c r="O47" i="5" s="1"/>
  <c r="P47" i="5" s="1"/>
  <c r="N62" i="5"/>
  <c r="O61" i="5"/>
  <c r="P61" i="5" s="1"/>
  <c r="M114" i="5"/>
  <c r="N113" i="5"/>
  <c r="J981" i="18"/>
  <c r="J980" i="18" s="1"/>
  <c r="P129" i="1" s="1"/>
  <c r="T129" i="1" s="1"/>
  <c r="J1550" i="18"/>
  <c r="J1549" i="18" s="1"/>
  <c r="P186" i="1" s="1"/>
  <c r="T186" i="1" s="1"/>
  <c r="J1736" i="18"/>
  <c r="J1735" i="18" s="1"/>
  <c r="P198" i="1" s="1"/>
  <c r="T198" i="1" s="1"/>
  <c r="U45" i="2"/>
  <c r="V45" i="2" s="1"/>
  <c r="J42" i="3"/>
  <c r="J44" i="3"/>
  <c r="J46" i="3"/>
  <c r="J48" i="3"/>
  <c r="J50" i="3"/>
  <c r="J52" i="3"/>
  <c r="J54" i="3"/>
  <c r="J64" i="3"/>
  <c r="J66" i="3"/>
  <c r="J68" i="3"/>
  <c r="J74" i="3"/>
  <c r="J106" i="3"/>
  <c r="J114" i="3"/>
  <c r="J118" i="3"/>
  <c r="J120" i="3"/>
  <c r="J122" i="3"/>
  <c r="J124" i="3"/>
  <c r="J126" i="3"/>
  <c r="J128" i="3"/>
  <c r="J130" i="3"/>
  <c r="J132" i="3"/>
  <c r="J142" i="3"/>
  <c r="J156" i="3"/>
  <c r="J166" i="3"/>
  <c r="J184" i="3"/>
  <c r="J186" i="3"/>
  <c r="J190" i="3"/>
  <c r="J192" i="3"/>
  <c r="J194" i="3"/>
  <c r="J206" i="3"/>
  <c r="J205" i="3" s="1"/>
  <c r="L205" i="3" s="1"/>
  <c r="O6" i="5"/>
  <c r="P6" i="5" s="1"/>
  <c r="M7" i="5"/>
  <c r="O10" i="5"/>
  <c r="P10" i="5" s="1"/>
  <c r="M12" i="5"/>
  <c r="P26" i="5"/>
  <c r="N27" i="5"/>
  <c r="N32" i="5"/>
  <c r="N33" i="5" s="1"/>
  <c r="O34" i="5"/>
  <c r="P34" i="5" s="1"/>
  <c r="AL34" i="5" s="1"/>
  <c r="AN34" i="5" s="1"/>
  <c r="AO34" i="5" s="1"/>
  <c r="N12" i="2" s="1"/>
  <c r="N68" i="5"/>
  <c r="N70" i="5"/>
  <c r="O70" i="5" s="1"/>
  <c r="N80" i="5"/>
  <c r="O80" i="5" s="1"/>
  <c r="P80" i="5" s="1"/>
  <c r="P82" i="5"/>
  <c r="M83" i="5"/>
  <c r="T209" i="1"/>
  <c r="J507" i="18"/>
  <c r="J506" i="18" s="1"/>
  <c r="J852" i="18"/>
  <c r="J851" i="18" s="1"/>
  <c r="P115" i="1" s="1"/>
  <c r="T115" i="1" s="1"/>
  <c r="J899" i="18"/>
  <c r="J898" i="18" s="1"/>
  <c r="P120" i="1" s="1"/>
  <c r="T120" i="1" s="1"/>
  <c r="J1020" i="18"/>
  <c r="J1019" i="18" s="1"/>
  <c r="P132" i="1" s="1"/>
  <c r="T132" i="1" s="1"/>
  <c r="J1040" i="18"/>
  <c r="J1039" i="18" s="1"/>
  <c r="P133" i="1" s="1"/>
  <c r="T133" i="1" s="1"/>
  <c r="J1059" i="18"/>
  <c r="J1058" i="18" s="1"/>
  <c r="P135" i="1" s="1"/>
  <c r="J1166" i="18"/>
  <c r="J1165" i="18" s="1"/>
  <c r="P147" i="1" s="1"/>
  <c r="T147" i="1" s="1"/>
  <c r="J7" i="3"/>
  <c r="J6" i="3" s="1"/>
  <c r="S6" i="3" s="1"/>
  <c r="J11" i="3"/>
  <c r="J10" i="3" s="1"/>
  <c r="J15" i="3"/>
  <c r="J14" i="3" s="1"/>
  <c r="S14" i="3" s="1"/>
  <c r="J19" i="3"/>
  <c r="J18" i="3" s="1"/>
  <c r="N18" i="3" s="1"/>
  <c r="J35" i="3"/>
  <c r="J34" i="3" s="1"/>
  <c r="S34" i="3" s="1"/>
  <c r="J41" i="3"/>
  <c r="J43" i="3"/>
  <c r="J47" i="3"/>
  <c r="J49" i="3"/>
  <c r="J51" i="3"/>
  <c r="J53" i="3"/>
  <c r="J55" i="3"/>
  <c r="J65" i="3"/>
  <c r="J67" i="3"/>
  <c r="J75" i="3"/>
  <c r="J105" i="3"/>
  <c r="J117" i="3"/>
  <c r="J119" i="3"/>
  <c r="J121" i="3"/>
  <c r="J125" i="3"/>
  <c r="J127" i="3"/>
  <c r="J129" i="3"/>
  <c r="J131" i="3"/>
  <c r="J133" i="3"/>
  <c r="J183" i="3"/>
  <c r="J185" i="3"/>
  <c r="J187" i="3"/>
  <c r="J189" i="3"/>
  <c r="J191" i="3"/>
  <c r="J193" i="3"/>
  <c r="J195" i="3"/>
  <c r="N35" i="5"/>
  <c r="O49" i="5"/>
  <c r="P49" i="5" s="1"/>
  <c r="P67" i="5"/>
  <c r="AL67" i="5" s="1"/>
  <c r="AN67" i="5" s="1"/>
  <c r="AO67" i="5" s="1"/>
  <c r="N27" i="2" s="1"/>
  <c r="M73" i="5"/>
  <c r="N86" i="5"/>
  <c r="M101" i="5"/>
  <c r="O112" i="5"/>
  <c r="M121" i="5"/>
  <c r="J526" i="18"/>
  <c r="J525" i="18" s="1"/>
  <c r="P70" i="1" s="1"/>
  <c r="T70" i="1" s="1"/>
  <c r="J705" i="18"/>
  <c r="J704" i="18" s="1"/>
  <c r="P99" i="1" s="1"/>
  <c r="T99" i="1" s="1"/>
  <c r="J807" i="18"/>
  <c r="J1183" i="18"/>
  <c r="J1182" i="18" s="1"/>
  <c r="P148" i="1" s="1"/>
  <c r="T148" i="1" s="1"/>
  <c r="J1409" i="18"/>
  <c r="J1408" i="18" s="1"/>
  <c r="P178" i="1" s="1"/>
  <c r="T178" i="1" s="1"/>
  <c r="J1584" i="18"/>
  <c r="J1583" i="18" s="1"/>
  <c r="P188" i="1" s="1"/>
  <c r="T188" i="1" s="1"/>
  <c r="J1618" i="18"/>
  <c r="J1617" i="18" s="1"/>
  <c r="P192" i="1" s="1"/>
  <c r="T192" i="1" s="1"/>
  <c r="J1660" i="18"/>
  <c r="J1659" i="18" s="1"/>
  <c r="P194" i="1" s="1"/>
  <c r="T194" i="1" s="1"/>
  <c r="J32" i="3"/>
  <c r="J58" i="3"/>
  <c r="J60" i="3"/>
  <c r="J70" i="3"/>
  <c r="J72" i="3"/>
  <c r="J78" i="3"/>
  <c r="J76" i="3" s="1"/>
  <c r="N76" i="3" s="1"/>
  <c r="J96" i="3"/>
  <c r="J150" i="3"/>
  <c r="J152" i="3"/>
  <c r="J174" i="3"/>
  <c r="J176" i="3"/>
  <c r="J210" i="3"/>
  <c r="W210" i="3" s="1"/>
  <c r="J211" i="3"/>
  <c r="W211" i="3" s="1"/>
  <c r="J213" i="3"/>
  <c r="W213" i="3" s="1"/>
  <c r="J222" i="3"/>
  <c r="J223" i="3"/>
  <c r="W223" i="3" s="1"/>
  <c r="J238" i="3"/>
  <c r="S238" i="3" s="1"/>
  <c r="J239" i="3"/>
  <c r="N239" i="3" s="1"/>
  <c r="J242" i="3"/>
  <c r="J244" i="3"/>
  <c r="W244" i="3" s="1"/>
  <c r="M48" i="5"/>
  <c r="M56" i="5"/>
  <c r="N55" i="5"/>
  <c r="O55" i="5" s="1"/>
  <c r="M107" i="5"/>
  <c r="O105" i="5"/>
  <c r="P105" i="5" s="1"/>
  <c r="N11" i="10"/>
  <c r="M11" i="10"/>
  <c r="L11" i="10"/>
  <c r="Q151" i="22"/>
  <c r="Q150" i="22" s="1"/>
  <c r="K151" i="22"/>
  <c r="K150" i="22" s="1"/>
  <c r="M151" i="22"/>
  <c r="M150" i="22" s="1"/>
  <c r="P71" i="5"/>
  <c r="N78" i="5"/>
  <c r="N83" i="5"/>
  <c r="N84" i="5" s="1"/>
  <c r="M91" i="5"/>
  <c r="M92" i="5" s="1"/>
  <c r="M103" i="5"/>
  <c r="O106" i="5"/>
  <c r="P106" i="5" s="1"/>
  <c r="O115" i="5"/>
  <c r="P115" i="5" s="1"/>
  <c r="J29" i="9"/>
  <c r="J41" i="9"/>
  <c r="J43" i="9"/>
  <c r="J54" i="9"/>
  <c r="J55" i="9"/>
  <c r="J58" i="9"/>
  <c r="J59" i="9"/>
  <c r="J65" i="9"/>
  <c r="J68" i="9"/>
  <c r="J76" i="9"/>
  <c r="J80" i="9"/>
  <c r="J81" i="9"/>
  <c r="J84" i="9"/>
  <c r="J85" i="9"/>
  <c r="J88" i="9"/>
  <c r="J89" i="9"/>
  <c r="J92" i="9"/>
  <c r="J93" i="9"/>
  <c r="J96" i="9"/>
  <c r="J97" i="9"/>
  <c r="J110" i="9"/>
  <c r="J111" i="9"/>
  <c r="N9" i="10"/>
  <c r="M12" i="10"/>
  <c r="N13" i="10"/>
  <c r="J20" i="12"/>
  <c r="J97" i="14"/>
  <c r="J96" i="14" s="1"/>
  <c r="O15" i="11" s="1"/>
  <c r="J179" i="14"/>
  <c r="O27" i="11" s="1"/>
  <c r="P802" i="22" s="1"/>
  <c r="Q802" i="22" s="1"/>
  <c r="J247" i="14"/>
  <c r="I36" i="16"/>
  <c r="M40" i="16"/>
  <c r="K45" i="16"/>
  <c r="O45" i="16"/>
  <c r="M18" i="22"/>
  <c r="K260" i="22"/>
  <c r="K237" i="12"/>
  <c r="O237" i="12" s="1"/>
  <c r="K274" i="22"/>
  <c r="M274" i="22"/>
  <c r="M272" i="22" s="1"/>
  <c r="N53" i="5"/>
  <c r="N119" i="5"/>
  <c r="H669" i="32"/>
  <c r="J669" i="32" s="1"/>
  <c r="J668" i="32" s="1"/>
  <c r="I102" i="33" s="1"/>
  <c r="H647" i="32"/>
  <c r="J647" i="32" s="1"/>
  <c r="J646" i="32" s="1"/>
  <c r="I97" i="33" s="1"/>
  <c r="H382" i="32"/>
  <c r="J382" i="32" s="1"/>
  <c r="H301" i="32"/>
  <c r="J301" i="32" s="1"/>
  <c r="J300" i="32" s="1"/>
  <c r="I51" i="33" s="1"/>
  <c r="H277" i="32"/>
  <c r="J277" i="32" s="1"/>
  <c r="J276" i="32" s="1"/>
  <c r="I47" i="33" s="1"/>
  <c r="H63" i="32"/>
  <c r="J63" i="32" s="1"/>
  <c r="J62" i="32" s="1"/>
  <c r="H40" i="32"/>
  <c r="J40" i="32" s="1"/>
  <c r="J39" i="32" s="1"/>
  <c r="H16" i="32"/>
  <c r="J16" i="32" s="1"/>
  <c r="J15" i="32" s="1"/>
  <c r="I10" i="33" s="1"/>
  <c r="H664" i="32"/>
  <c r="J664" i="32" s="1"/>
  <c r="J663" i="32" s="1"/>
  <c r="I101" i="33" s="1"/>
  <c r="H586" i="32"/>
  <c r="J586" i="32" s="1"/>
  <c r="J585" i="32" s="1"/>
  <c r="H337" i="32"/>
  <c r="J337" i="32" s="1"/>
  <c r="J336" i="32" s="1"/>
  <c r="H320" i="32"/>
  <c r="J320" i="32" s="1"/>
  <c r="J319" i="32" s="1"/>
  <c r="I55" i="33" s="1"/>
  <c r="H295" i="32"/>
  <c r="J295" i="32" s="1"/>
  <c r="J294" i="32" s="1"/>
  <c r="I50" i="33" s="1"/>
  <c r="H271" i="32"/>
  <c r="J271" i="32" s="1"/>
  <c r="J270" i="32" s="1"/>
  <c r="I46" i="33" s="1"/>
  <c r="H34" i="32"/>
  <c r="J34" i="32" s="1"/>
  <c r="J33" i="32" s="1"/>
  <c r="I13" i="33" s="1"/>
  <c r="N13" i="33" s="1"/>
  <c r="H10" i="32"/>
  <c r="J10" i="32" s="1"/>
  <c r="J9" i="32" s="1"/>
  <c r="I9" i="33" s="1"/>
  <c r="N9" i="33" s="1"/>
  <c r="H877" i="32"/>
  <c r="J877" i="32" s="1"/>
  <c r="J876" i="32" s="1"/>
  <c r="I128" i="33" s="1"/>
  <c r="N128" i="33" s="1"/>
  <c r="H659" i="32"/>
  <c r="H630" i="32"/>
  <c r="J630" i="32" s="1"/>
  <c r="J629" i="32" s="1"/>
  <c r="H423" i="32"/>
  <c r="J423" i="32" s="1"/>
  <c r="H313" i="32"/>
  <c r="J313" i="32" s="1"/>
  <c r="J312" i="32" s="1"/>
  <c r="I53" i="33" s="1"/>
  <c r="H289" i="32"/>
  <c r="J289" i="32" s="1"/>
  <c r="J288" i="32" s="1"/>
  <c r="I49" i="33" s="1"/>
  <c r="H265" i="32"/>
  <c r="J265" i="32" s="1"/>
  <c r="J264" i="32" s="1"/>
  <c r="I45" i="33" s="1"/>
  <c r="N45" i="33" s="1"/>
  <c r="H108" i="32"/>
  <c r="J108" i="32" s="1"/>
  <c r="J107" i="32" s="1"/>
  <c r="J106" i="32" s="1"/>
  <c r="H93" i="32"/>
  <c r="J93" i="32" s="1"/>
  <c r="J92" i="32" s="1"/>
  <c r="I23" i="33" s="1"/>
  <c r="H76" i="32"/>
  <c r="J76" i="32" s="1"/>
  <c r="J75" i="32" s="1"/>
  <c r="I21" i="33" s="1"/>
  <c r="N21" i="33" s="1"/>
  <c r="H52" i="32"/>
  <c r="J52" i="32" s="1"/>
  <c r="J51" i="32" s="1"/>
  <c r="I16" i="33" s="1"/>
  <c r="N16" i="33" s="1"/>
  <c r="H307" i="32"/>
  <c r="J307" i="32" s="1"/>
  <c r="J306" i="32" s="1"/>
  <c r="I52" i="33" s="1"/>
  <c r="N52" i="33" s="1"/>
  <c r="H102" i="32"/>
  <c r="J102" i="32" s="1"/>
  <c r="J101" i="32" s="1"/>
  <c r="H69" i="32"/>
  <c r="J69" i="32" s="1"/>
  <c r="J68" i="32" s="1"/>
  <c r="P877" i="22"/>
  <c r="Q877" i="22" s="1"/>
  <c r="Q876" i="22" s="1"/>
  <c r="H654" i="32"/>
  <c r="J654" i="32" s="1"/>
  <c r="J653" i="32" s="1"/>
  <c r="I99" i="33" s="1"/>
  <c r="N99" i="33" s="1"/>
  <c r="H283" i="32"/>
  <c r="J283" i="32" s="1"/>
  <c r="J282" i="32" s="1"/>
  <c r="I48" i="33" s="1"/>
  <c r="H46" i="32"/>
  <c r="J46" i="32" s="1"/>
  <c r="J45" i="32" s="1"/>
  <c r="H22" i="32"/>
  <c r="J22" i="32" s="1"/>
  <c r="J21" i="32" s="1"/>
  <c r="I11" i="33" s="1"/>
  <c r="P669" i="22"/>
  <c r="Q669" i="22" s="1"/>
  <c r="Q668" i="22" s="1"/>
  <c r="P337" i="22"/>
  <c r="Q337" i="22" s="1"/>
  <c r="Q336" i="22" s="1"/>
  <c r="P295" i="22"/>
  <c r="Q295" i="22" s="1"/>
  <c r="Q294" i="22" s="1"/>
  <c r="P271" i="22"/>
  <c r="Q271" i="22" s="1"/>
  <c r="Q270" i="22" s="1"/>
  <c r="H358" i="32"/>
  <c r="J358" i="32" s="1"/>
  <c r="J357" i="32" s="1"/>
  <c r="I61" i="33" s="1"/>
  <c r="P664" i="22"/>
  <c r="Q664" i="22" s="1"/>
  <c r="Q663" i="22" s="1"/>
  <c r="P659" i="22"/>
  <c r="Q659" i="22" s="1"/>
  <c r="Q658" i="22" s="1"/>
  <c r="P647" i="22"/>
  <c r="P630" i="22"/>
  <c r="Q630" i="22" s="1"/>
  <c r="Q629" i="22" s="1"/>
  <c r="P382" i="22"/>
  <c r="Q382" i="22" s="1"/>
  <c r="P320" i="22"/>
  <c r="Q320" i="22" s="1"/>
  <c r="Q319" i="22" s="1"/>
  <c r="P307" i="22"/>
  <c r="Q307" i="22" s="1"/>
  <c r="Q306" i="22" s="1"/>
  <c r="P283" i="22"/>
  <c r="Q283" i="22" s="1"/>
  <c r="Q282" i="22" s="1"/>
  <c r="P654" i="22"/>
  <c r="Q654" i="22" s="1"/>
  <c r="Q653" i="22" s="1"/>
  <c r="P586" i="22"/>
  <c r="Q586" i="22" s="1"/>
  <c r="Q585" i="22" s="1"/>
  <c r="P423" i="22"/>
  <c r="P358" i="22"/>
  <c r="Q358" i="22" s="1"/>
  <c r="Q357" i="22" s="1"/>
  <c r="P313" i="22"/>
  <c r="Q313" i="22" s="1"/>
  <c r="Q312" i="22" s="1"/>
  <c r="P265" i="22"/>
  <c r="Q265" i="22" s="1"/>
  <c r="Q264" i="22" s="1"/>
  <c r="P93" i="22"/>
  <c r="Q93" i="22" s="1"/>
  <c r="Q92" i="22" s="1"/>
  <c r="P76" i="22"/>
  <c r="Q76" i="22" s="1"/>
  <c r="Q75" i="22" s="1"/>
  <c r="P63" i="22"/>
  <c r="Q63" i="22" s="1"/>
  <c r="Q62" i="22" s="1"/>
  <c r="P46" i="22"/>
  <c r="Q46" i="22" s="1"/>
  <c r="Q45" i="22" s="1"/>
  <c r="P22" i="22"/>
  <c r="Q22" i="22" s="1"/>
  <c r="Q21" i="22" s="1"/>
  <c r="P277" i="22"/>
  <c r="Q277" i="22" s="1"/>
  <c r="Q276" i="22" s="1"/>
  <c r="P108" i="22"/>
  <c r="Q108" i="22" s="1"/>
  <c r="Q107" i="22" s="1"/>
  <c r="P289" i="22"/>
  <c r="Q289" i="22" s="1"/>
  <c r="Q288" i="22" s="1"/>
  <c r="P102" i="22"/>
  <c r="Q102" i="22" s="1"/>
  <c r="Q101" i="22" s="1"/>
  <c r="P34" i="22"/>
  <c r="Q34" i="22" s="1"/>
  <c r="Q33" i="22" s="1"/>
  <c r="P10" i="22"/>
  <c r="Q10" i="22" s="1"/>
  <c r="Q9" i="22" s="1"/>
  <c r="G55" i="20"/>
  <c r="P69" i="22"/>
  <c r="P52" i="22"/>
  <c r="P16" i="22"/>
  <c r="Q16" i="22" s="1"/>
  <c r="Q15" i="22" s="1"/>
  <c r="H83" i="32"/>
  <c r="J83" i="32" s="1"/>
  <c r="J82" i="32" s="1"/>
  <c r="I22" i="33" s="1"/>
  <c r="G57" i="20"/>
  <c r="H57" i="20" s="1"/>
  <c r="P83" i="22"/>
  <c r="Q83" i="22" s="1"/>
  <c r="Q82" i="22" s="1"/>
  <c r="H828" i="32"/>
  <c r="J828" i="32" s="1"/>
  <c r="J827" i="32" s="1"/>
  <c r="I122" i="33" s="1"/>
  <c r="N122" i="33" s="1"/>
  <c r="H756" i="32"/>
  <c r="J756" i="32" s="1"/>
  <c r="J755" i="32" s="1"/>
  <c r="I113" i="33" s="1"/>
  <c r="N113" i="33" s="1"/>
  <c r="H705" i="32"/>
  <c r="J705" i="32" s="1"/>
  <c r="J704" i="32" s="1"/>
  <c r="I107" i="33" s="1"/>
  <c r="N107" i="33" s="1"/>
  <c r="H600" i="32"/>
  <c r="J600" i="32" s="1"/>
  <c r="J599" i="32" s="1"/>
  <c r="I89" i="33" s="1"/>
  <c r="H515" i="32"/>
  <c r="J515" i="32" s="1"/>
  <c r="J514" i="32" s="1"/>
  <c r="I77" i="33" s="1"/>
  <c r="H450" i="32"/>
  <c r="H221" i="32"/>
  <c r="J221" i="32" s="1"/>
  <c r="J220" i="32" s="1"/>
  <c r="I39" i="33" s="1"/>
  <c r="N39" i="33" s="1"/>
  <c r="H180" i="32"/>
  <c r="J180" i="32" s="1"/>
  <c r="J179" i="32" s="1"/>
  <c r="I35" i="33" s="1"/>
  <c r="H871" i="32"/>
  <c r="J871" i="32" s="1"/>
  <c r="J870" i="32" s="1"/>
  <c r="I127" i="33" s="1"/>
  <c r="N127" i="33" s="1"/>
  <c r="H839" i="32"/>
  <c r="J839" i="32" s="1"/>
  <c r="J838" i="32" s="1"/>
  <c r="I123" i="33" s="1"/>
  <c r="H776" i="32"/>
  <c r="J776" i="32" s="1"/>
  <c r="J775" i="32" s="1"/>
  <c r="I117" i="33" s="1"/>
  <c r="N117" i="33" s="1"/>
  <c r="H763" i="32"/>
  <c r="J763" i="32" s="1"/>
  <c r="J762" i="32" s="1"/>
  <c r="I114" i="33" s="1"/>
  <c r="H749" i="32"/>
  <c r="J749" i="32" s="1"/>
  <c r="J748" i="32" s="1"/>
  <c r="I112" i="33" s="1"/>
  <c r="N112" i="33" s="1"/>
  <c r="H732" i="32"/>
  <c r="J732" i="32" s="1"/>
  <c r="J731" i="32" s="1"/>
  <c r="I110" i="33" s="1"/>
  <c r="N110" i="33" s="1"/>
  <c r="H696" i="32"/>
  <c r="J696" i="32" s="1"/>
  <c r="J695" i="32" s="1"/>
  <c r="I106" i="33" s="1"/>
  <c r="N106" i="33" s="1"/>
  <c r="H682" i="32"/>
  <c r="J682" i="32" s="1"/>
  <c r="J681" i="32" s="1"/>
  <c r="I104" i="33" s="1"/>
  <c r="N104" i="33" s="1"/>
  <c r="H641" i="32"/>
  <c r="J641" i="32" s="1"/>
  <c r="J640" i="32" s="1"/>
  <c r="I95" i="33" s="1"/>
  <c r="N95" i="33" s="1"/>
  <c r="H609" i="32"/>
  <c r="J609" i="32" s="1"/>
  <c r="J608" i="32" s="1"/>
  <c r="I90" i="33" s="1"/>
  <c r="H483" i="32"/>
  <c r="J483" i="32" s="1"/>
  <c r="J482" i="32" s="1"/>
  <c r="I74" i="33" s="1"/>
  <c r="N74" i="33" s="1"/>
  <c r="H397" i="32"/>
  <c r="J397" i="32" s="1"/>
  <c r="J396" i="32" s="1"/>
  <c r="I64" i="33" s="1"/>
  <c r="H257" i="32"/>
  <c r="J257" i="32" s="1"/>
  <c r="J256" i="32" s="1"/>
  <c r="I42" i="33" s="1"/>
  <c r="H788" i="32"/>
  <c r="J788" i="32" s="1"/>
  <c r="J787" i="32" s="1"/>
  <c r="I118" i="33" s="1"/>
  <c r="H742" i="32"/>
  <c r="J742" i="32" s="1"/>
  <c r="J741" i="32" s="1"/>
  <c r="I111" i="33" s="1"/>
  <c r="N111" i="33" s="1"/>
  <c r="H723" i="32"/>
  <c r="J723" i="32" s="1"/>
  <c r="J722" i="32" s="1"/>
  <c r="I109" i="33" s="1"/>
  <c r="N109" i="33" s="1"/>
  <c r="H583" i="32"/>
  <c r="J583" i="32" s="1"/>
  <c r="J582" i="32" s="1"/>
  <c r="I86" i="33" s="1"/>
  <c r="N86" i="33" s="1"/>
  <c r="H570" i="32"/>
  <c r="J570" i="32" s="1"/>
  <c r="J569" i="32" s="1"/>
  <c r="I84" i="33" s="1"/>
  <c r="N84" i="33" s="1"/>
  <c r="H550" i="32"/>
  <c r="J550" i="32" s="1"/>
  <c r="J549" i="32" s="1"/>
  <c r="I81" i="33" s="1"/>
  <c r="H493" i="32"/>
  <c r="J493" i="32" s="1"/>
  <c r="J492" i="32" s="1"/>
  <c r="I75" i="33" s="1"/>
  <c r="N75" i="33" s="1"/>
  <c r="H409" i="32"/>
  <c r="J409" i="32" s="1"/>
  <c r="J408" i="32" s="1"/>
  <c r="I65" i="33" s="1"/>
  <c r="H247" i="32"/>
  <c r="J247" i="32" s="1"/>
  <c r="J246" i="32" s="1"/>
  <c r="I41" i="33" s="1"/>
  <c r="N41" i="33" s="1"/>
  <c r="H134" i="32"/>
  <c r="J134" i="32" s="1"/>
  <c r="J133" i="32" s="1"/>
  <c r="I30" i="33" s="1"/>
  <c r="P776" i="22"/>
  <c r="Q776" i="22" s="1"/>
  <c r="Q775" i="22" s="1"/>
  <c r="P742" i="22"/>
  <c r="Q742" i="22" s="1"/>
  <c r="Q741" i="22" s="1"/>
  <c r="P723" i="22"/>
  <c r="Q723" i="22" s="1"/>
  <c r="Q722" i="22" s="1"/>
  <c r="P705" i="22"/>
  <c r="Q705" i="22" s="1"/>
  <c r="Q704" i="22" s="1"/>
  <c r="H714" i="32"/>
  <c r="J714" i="32" s="1"/>
  <c r="J713" i="32" s="1"/>
  <c r="I108" i="33" s="1"/>
  <c r="N108" i="33" s="1"/>
  <c r="H576" i="32"/>
  <c r="J576" i="32" s="1"/>
  <c r="J575" i="32" s="1"/>
  <c r="I85" i="33" s="1"/>
  <c r="N85" i="33" s="1"/>
  <c r="H236" i="32"/>
  <c r="J236" i="32" s="1"/>
  <c r="J235" i="32" s="1"/>
  <c r="I40" i="33" s="1"/>
  <c r="N40" i="33" s="1"/>
  <c r="H191" i="32"/>
  <c r="J191" i="32" s="1"/>
  <c r="J190" i="32" s="1"/>
  <c r="I36" i="33" s="1"/>
  <c r="P839" i="22"/>
  <c r="Q839" i="22" s="1"/>
  <c r="Q838" i="22" s="1"/>
  <c r="P828" i="22"/>
  <c r="Q828" i="22" s="1"/>
  <c r="Q827" i="22" s="1"/>
  <c r="P788" i="22"/>
  <c r="Q788" i="22" s="1"/>
  <c r="Q787" i="22" s="1"/>
  <c r="P749" i="22"/>
  <c r="H504" i="32"/>
  <c r="J504" i="32" s="1"/>
  <c r="J503" i="32" s="1"/>
  <c r="I76" i="33" s="1"/>
  <c r="N76" i="33" s="1"/>
  <c r="H438" i="32"/>
  <c r="J438" i="32" s="1"/>
  <c r="J437" i="32" s="1"/>
  <c r="I68" i="33" s="1"/>
  <c r="H123" i="32"/>
  <c r="J123" i="32" s="1"/>
  <c r="J122" i="32" s="1"/>
  <c r="I29" i="33" s="1"/>
  <c r="P871" i="22"/>
  <c r="Q871" i="22" s="1"/>
  <c r="Q870" i="22" s="1"/>
  <c r="P756" i="22"/>
  <c r="Q756" i="22" s="1"/>
  <c r="Q755" i="22" s="1"/>
  <c r="P682" i="22"/>
  <c r="Q682" i="22" s="1"/>
  <c r="Q681" i="22" s="1"/>
  <c r="P576" i="22"/>
  <c r="Q576" i="22" s="1"/>
  <c r="Q575" i="22" s="1"/>
  <c r="P504" i="22"/>
  <c r="Q504" i="22" s="1"/>
  <c r="Q503" i="22" s="1"/>
  <c r="P493" i="22"/>
  <c r="Q493" i="22" s="1"/>
  <c r="Q492" i="22" s="1"/>
  <c r="P483" i="22"/>
  <c r="Q483" i="22" s="1"/>
  <c r="Q482" i="22" s="1"/>
  <c r="P763" i="22"/>
  <c r="Q763" i="22" s="1"/>
  <c r="Q762" i="22" s="1"/>
  <c r="P609" i="22"/>
  <c r="Q609" i="22" s="1"/>
  <c r="Q608" i="22" s="1"/>
  <c r="P583" i="22"/>
  <c r="Q583" i="22" s="1"/>
  <c r="Q582" i="22" s="1"/>
  <c r="P732" i="22"/>
  <c r="Q732" i="22" s="1"/>
  <c r="Q731" i="22" s="1"/>
  <c r="P696" i="22"/>
  <c r="Q696" i="22" s="1"/>
  <c r="Q695" i="22" s="1"/>
  <c r="P570" i="22"/>
  <c r="Q570" i="22" s="1"/>
  <c r="Q569" i="22" s="1"/>
  <c r="P515" i="22"/>
  <c r="Q515" i="22" s="1"/>
  <c r="Q514" i="22" s="1"/>
  <c r="P450" i="22"/>
  <c r="Q450" i="22" s="1"/>
  <c r="Q449" i="22" s="1"/>
  <c r="P409" i="22"/>
  <c r="Q409" i="22" s="1"/>
  <c r="Q408" i="22" s="1"/>
  <c r="P257" i="22"/>
  <c r="Q257" i="22" s="1"/>
  <c r="Q256" i="22" s="1"/>
  <c r="P236" i="22"/>
  <c r="Q236" i="22" s="1"/>
  <c r="Q235" i="22" s="1"/>
  <c r="P714" i="22"/>
  <c r="Q714" i="22" s="1"/>
  <c r="Q713" i="22" s="1"/>
  <c r="P641" i="22"/>
  <c r="Q641" i="22" s="1"/>
  <c r="Q640" i="22" s="1"/>
  <c r="P600" i="22"/>
  <c r="Q600" i="22" s="1"/>
  <c r="Q599" i="22" s="1"/>
  <c r="P550" i="22"/>
  <c r="Q550" i="22" s="1"/>
  <c r="Q549" i="22" s="1"/>
  <c r="P191" i="22"/>
  <c r="Q191" i="22" s="1"/>
  <c r="Q190" i="22" s="1"/>
  <c r="P438" i="22"/>
  <c r="Q438" i="22" s="1"/>
  <c r="Q437" i="22" s="1"/>
  <c r="P397" i="22"/>
  <c r="Q397" i="22" s="1"/>
  <c r="Q396" i="22" s="1"/>
  <c r="P221" i="22"/>
  <c r="Q221" i="22" s="1"/>
  <c r="Q220" i="22" s="1"/>
  <c r="P180" i="22"/>
  <c r="Q180" i="22" s="1"/>
  <c r="Q179" i="22" s="1"/>
  <c r="G59" i="20"/>
  <c r="H59" i="20" s="1"/>
  <c r="P134" i="22"/>
  <c r="P123" i="22"/>
  <c r="Q123" i="22" s="1"/>
  <c r="Q122" i="22" s="1"/>
  <c r="P247" i="22"/>
  <c r="Q247" i="22" s="1"/>
  <c r="Q246" i="22" s="1"/>
  <c r="W113" i="9"/>
  <c r="X45" i="9"/>
  <c r="Z45" i="9" s="1"/>
  <c r="X61" i="9"/>
  <c r="Z61" i="9" s="1"/>
  <c r="N12" i="10"/>
  <c r="J7" i="14"/>
  <c r="J6" i="14" s="1"/>
  <c r="O5" i="11" s="1"/>
  <c r="J61" i="14"/>
  <c r="J60" i="14" s="1"/>
  <c r="O11" i="11" s="1"/>
  <c r="G69" i="20" s="1"/>
  <c r="H69" i="20" s="1"/>
  <c r="J88" i="14"/>
  <c r="J87" i="14" s="1"/>
  <c r="O14" i="11" s="1"/>
  <c r="H36" i="32" s="1"/>
  <c r="J36" i="32" s="1"/>
  <c r="J155" i="14"/>
  <c r="J171" i="14"/>
  <c r="J170" i="14" s="1"/>
  <c r="O26" i="11" s="1"/>
  <c r="P432" i="22" s="1"/>
  <c r="Q432" i="22" s="1"/>
  <c r="J207" i="14"/>
  <c r="J206" i="14" s="1"/>
  <c r="O30" i="11" s="1"/>
  <c r="X173" i="12" s="1"/>
  <c r="Z173" i="12" s="1"/>
  <c r="J243" i="14"/>
  <c r="J317" i="14"/>
  <c r="J316" i="14" s="1"/>
  <c r="O44" i="11" s="1"/>
  <c r="G97" i="20" s="1"/>
  <c r="H97" i="20" s="1"/>
  <c r="I16" i="16"/>
  <c r="P40" i="22"/>
  <c r="Q40" i="22" s="1"/>
  <c r="Q39" i="22" s="1"/>
  <c r="P301" i="22"/>
  <c r="Q301" i="22" s="1"/>
  <c r="Q300" i="22" s="1"/>
  <c r="J7" i="9"/>
  <c r="J10" i="9"/>
  <c r="J18" i="9"/>
  <c r="J44" i="9"/>
  <c r="AA44" i="9" s="1"/>
  <c r="J57" i="9"/>
  <c r="J60" i="9"/>
  <c r="J66" i="9"/>
  <c r="J67" i="9"/>
  <c r="J74" i="9"/>
  <c r="J75" i="9"/>
  <c r="J79" i="9"/>
  <c r="J86" i="9"/>
  <c r="J87" i="9"/>
  <c r="J90" i="9"/>
  <c r="J91" i="9"/>
  <c r="J95" i="9"/>
  <c r="J99" i="9"/>
  <c r="J105" i="9"/>
  <c r="AA105" i="9" s="1"/>
  <c r="J220" i="12"/>
  <c r="J114" i="14"/>
  <c r="M43" i="16"/>
  <c r="K43" i="16"/>
  <c r="K88" i="22"/>
  <c r="M88" i="22"/>
  <c r="K223" i="22"/>
  <c r="M223" i="22"/>
  <c r="K291" i="22"/>
  <c r="M291" i="22"/>
  <c r="M290" i="22" s="1"/>
  <c r="J11" i="12"/>
  <c r="J13" i="12"/>
  <c r="J15" i="12"/>
  <c r="J17" i="12"/>
  <c r="J26" i="12"/>
  <c r="J54" i="12"/>
  <c r="J60" i="12"/>
  <c r="J75" i="12"/>
  <c r="J73" i="12" s="1"/>
  <c r="J108" i="12"/>
  <c r="J110" i="12"/>
  <c r="J133" i="12"/>
  <c r="J135" i="12"/>
  <c r="J137" i="12"/>
  <c r="J139" i="12"/>
  <c r="J141" i="12"/>
  <c r="J188" i="12"/>
  <c r="J227" i="12"/>
  <c r="J230" i="12"/>
  <c r="S230" i="12" s="1"/>
  <c r="J241" i="12"/>
  <c r="K13" i="22"/>
  <c r="M24" i="22"/>
  <c r="K30" i="22"/>
  <c r="M36" i="22"/>
  <c r="K42" i="22"/>
  <c r="M55" i="22"/>
  <c r="K66" i="22"/>
  <c r="J90" i="22"/>
  <c r="K252" i="12" s="1"/>
  <c r="M404" i="22"/>
  <c r="K404" i="22"/>
  <c r="K413" i="22"/>
  <c r="M413" i="22"/>
  <c r="K522" i="22"/>
  <c r="M522" i="22"/>
  <c r="J25" i="12"/>
  <c r="J27" i="12"/>
  <c r="J106" i="12"/>
  <c r="J109" i="12"/>
  <c r="J150" i="12"/>
  <c r="J152" i="12"/>
  <c r="M12" i="22"/>
  <c r="M31" i="22"/>
  <c r="M43" i="22"/>
  <c r="M65" i="22"/>
  <c r="K104" i="22"/>
  <c r="M104" i="22"/>
  <c r="M105" i="22"/>
  <c r="M110" i="22"/>
  <c r="M111" i="22"/>
  <c r="K137" i="22"/>
  <c r="K136" i="22" s="1"/>
  <c r="M137" i="22"/>
  <c r="M136" i="22" s="1"/>
  <c r="K390" i="22"/>
  <c r="M390" i="22"/>
  <c r="J40" i="12"/>
  <c r="J42" i="12"/>
  <c r="J44" i="12"/>
  <c r="J80" i="12"/>
  <c r="J144" i="12"/>
  <c r="J146" i="12"/>
  <c r="J151" i="12"/>
  <c r="J159" i="12"/>
  <c r="K493" i="22"/>
  <c r="K492" i="22" s="1"/>
  <c r="M493" i="22"/>
  <c r="M492" i="22" s="1"/>
  <c r="K24" i="22"/>
  <c r="K31" i="22"/>
  <c r="K48" i="22"/>
  <c r="Q52" i="22"/>
  <c r="Q51" i="22" s="1"/>
  <c r="K55" i="22"/>
  <c r="K65" i="22"/>
  <c r="Q69" i="22"/>
  <c r="Q68" i="22" s="1"/>
  <c r="K71" i="22"/>
  <c r="K85" i="22"/>
  <c r="K89" i="22"/>
  <c r="L97" i="22"/>
  <c r="K123" i="22"/>
  <c r="K122" i="22" s="1"/>
  <c r="J128" i="22"/>
  <c r="J163" i="22"/>
  <c r="J185" i="22"/>
  <c r="K224" i="22"/>
  <c r="K228" i="22"/>
  <c r="K229" i="22"/>
  <c r="K230" i="22"/>
  <c r="K231" i="22"/>
  <c r="K233" i="22"/>
  <c r="M233" i="22"/>
  <c r="M268" i="22"/>
  <c r="K286" i="22"/>
  <c r="M297" i="22"/>
  <c r="K303" i="22"/>
  <c r="K316" i="22"/>
  <c r="K330" i="22"/>
  <c r="M332" i="22"/>
  <c r="K361" i="22"/>
  <c r="M386" i="22"/>
  <c r="M405" i="22"/>
  <c r="K405" i="22"/>
  <c r="K422" i="22"/>
  <c r="J481" i="22"/>
  <c r="K228" i="3" s="1"/>
  <c r="O228" i="3" s="1"/>
  <c r="K478" i="22"/>
  <c r="M539" i="22"/>
  <c r="M538" i="22" s="1"/>
  <c r="L90" i="22"/>
  <c r="M252" i="12" s="1"/>
  <c r="R252" i="12" s="1"/>
  <c r="L128" i="22"/>
  <c r="J158" i="22"/>
  <c r="L185" i="22"/>
  <c r="K189" i="22"/>
  <c r="K213" i="22"/>
  <c r="J219" i="22"/>
  <c r="K232" i="22"/>
  <c r="M232" i="22"/>
  <c r="I250" i="22"/>
  <c r="M285" i="22"/>
  <c r="M304" i="22"/>
  <c r="M315" i="22"/>
  <c r="M406" i="22"/>
  <c r="K406" i="22"/>
  <c r="M520" i="22"/>
  <c r="K520" i="22"/>
  <c r="I37" i="22"/>
  <c r="I102" i="22"/>
  <c r="K132" i="22"/>
  <c r="L158" i="22"/>
  <c r="J178" i="22"/>
  <c r="M189" i="22"/>
  <c r="M213" i="22"/>
  <c r="L219" i="22"/>
  <c r="I240" i="22"/>
  <c r="I228" i="22"/>
  <c r="I229" i="22"/>
  <c r="I230" i="22"/>
  <c r="I231" i="22"/>
  <c r="I232" i="22"/>
  <c r="M366" i="22"/>
  <c r="M365" i="22" s="1"/>
  <c r="L373" i="22"/>
  <c r="M389" i="22"/>
  <c r="M407" i="22"/>
  <c r="K407" i="22"/>
  <c r="M412" i="22"/>
  <c r="M423" i="22"/>
  <c r="K480" i="22"/>
  <c r="K483" i="22"/>
  <c r="K482" i="22" s="1"/>
  <c r="J491" i="22"/>
  <c r="K209" i="3" s="1"/>
  <c r="K489" i="22"/>
  <c r="K498" i="22"/>
  <c r="K504" i="22"/>
  <c r="K503" i="22" s="1"/>
  <c r="M521" i="22"/>
  <c r="K521" i="22"/>
  <c r="I539" i="22"/>
  <c r="I465" i="22"/>
  <c r="I466" i="22"/>
  <c r="I467" i="22"/>
  <c r="I468" i="22"/>
  <c r="L502" i="22"/>
  <c r="M227" i="3" s="1"/>
  <c r="R227" i="3" s="1"/>
  <c r="J509" i="22"/>
  <c r="M528" i="22"/>
  <c r="M544" i="22"/>
  <c r="M543" i="22" s="1"/>
  <c r="Q623" i="22"/>
  <c r="Q622" i="22" s="1"/>
  <c r="M649" i="22"/>
  <c r="M698" i="22"/>
  <c r="I702" i="22"/>
  <c r="K855" i="22"/>
  <c r="M855" i="22"/>
  <c r="K249" i="22"/>
  <c r="M261" i="22"/>
  <c r="K273" i="22"/>
  <c r="K280" i="22"/>
  <c r="K297" i="22"/>
  <c r="K304" i="22"/>
  <c r="L334" i="22"/>
  <c r="M256" i="12" s="1"/>
  <c r="R256" i="12" s="1"/>
  <c r="M330" i="22"/>
  <c r="K332" i="22"/>
  <c r="L341" i="22"/>
  <c r="K348" i="22"/>
  <c r="K347" i="22" s="1"/>
  <c r="J355" i="22"/>
  <c r="M361" i="22"/>
  <c r="Q366" i="22"/>
  <c r="Q365" i="22" s="1"/>
  <c r="J373" i="22"/>
  <c r="L379" i="22"/>
  <c r="J392" i="22"/>
  <c r="K259" i="12" s="1"/>
  <c r="K385" i="22"/>
  <c r="M387" i="22"/>
  <c r="K389" i="22"/>
  <c r="M391" i="22"/>
  <c r="K412" i="22"/>
  <c r="J420" i="22"/>
  <c r="K237" i="3" s="1"/>
  <c r="Q423" i="22"/>
  <c r="J433" i="22"/>
  <c r="M438" i="22"/>
  <c r="M437" i="22" s="1"/>
  <c r="I483" i="22"/>
  <c r="I477" i="22"/>
  <c r="M477" i="22"/>
  <c r="I478" i="22"/>
  <c r="M478" i="22"/>
  <c r="I479" i="22"/>
  <c r="M479" i="22"/>
  <c r="I480" i="22"/>
  <c r="M480" i="22"/>
  <c r="I493" i="22"/>
  <c r="I488" i="22"/>
  <c r="M488" i="22"/>
  <c r="I489" i="22"/>
  <c r="M489" i="22"/>
  <c r="I490" i="22"/>
  <c r="M490" i="22"/>
  <c r="I509" i="22"/>
  <c r="I498" i="22"/>
  <c r="M498" i="22"/>
  <c r="I499" i="22"/>
  <c r="M499" i="22"/>
  <c r="K501" i="22"/>
  <c r="L509" i="22"/>
  <c r="K550" i="22"/>
  <c r="K549" i="22" s="1"/>
  <c r="K563" i="22"/>
  <c r="M591" i="22"/>
  <c r="M594" i="22"/>
  <c r="M595" i="22"/>
  <c r="M596" i="22"/>
  <c r="M597" i="22"/>
  <c r="K606" i="22"/>
  <c r="M609" i="22"/>
  <c r="M608" i="22" s="1"/>
  <c r="M632" i="22"/>
  <c r="M631" i="22" s="1"/>
  <c r="K641" i="22"/>
  <c r="K640" i="22" s="1"/>
  <c r="K650" i="22"/>
  <c r="M651" i="22"/>
  <c r="M664" i="22"/>
  <c r="M663" i="22" s="1"/>
  <c r="K684" i="22"/>
  <c r="K683" i="22" s="1"/>
  <c r="M694" i="22"/>
  <c r="K716" i="22"/>
  <c r="K738" i="22"/>
  <c r="M738" i="22"/>
  <c r="M814" i="22"/>
  <c r="M813" i="22" s="1"/>
  <c r="K856" i="22"/>
  <c r="M856" i="22"/>
  <c r="I880" i="22"/>
  <c r="I877" i="22"/>
  <c r="M563" i="22"/>
  <c r="M564" i="22"/>
  <c r="I568" i="22"/>
  <c r="I567" i="22"/>
  <c r="K570" i="22"/>
  <c r="K569" i="22" s="1"/>
  <c r="I574" i="22"/>
  <c r="K574" i="22"/>
  <c r="L590" i="22"/>
  <c r="Q647" i="22"/>
  <c r="Q646" i="22" s="1"/>
  <c r="K659" i="22"/>
  <c r="K658" i="22" s="1"/>
  <c r="I682" i="22"/>
  <c r="J680" i="22"/>
  <c r="I705" i="22"/>
  <c r="I720" i="22"/>
  <c r="I742" i="22"/>
  <c r="I740" i="22"/>
  <c r="I739" i="22"/>
  <c r="I738" i="22"/>
  <c r="K739" i="22"/>
  <c r="M739" i="22"/>
  <c r="K759" i="22"/>
  <c r="M759" i="22"/>
  <c r="M831" i="22"/>
  <c r="L858" i="22"/>
  <c r="M235" i="3" s="1"/>
  <c r="R235" i="3" s="1"/>
  <c r="K857" i="22"/>
  <c r="M857" i="22"/>
  <c r="M873" i="22"/>
  <c r="L240" i="22"/>
  <c r="L245" i="22"/>
  <c r="M260" i="22"/>
  <c r="J334" i="22"/>
  <c r="L392" i="22"/>
  <c r="M259" i="12" s="1"/>
  <c r="R259" i="12" s="1"/>
  <c r="L420" i="22"/>
  <c r="K438" i="22"/>
  <c r="K437" i="22" s="1"/>
  <c r="J442" i="22"/>
  <c r="K528" i="22"/>
  <c r="L535" i="22"/>
  <c r="M574" i="22"/>
  <c r="K609" i="22"/>
  <c r="K608" i="22" s="1"/>
  <c r="K664" i="22"/>
  <c r="K663" i="22" s="1"/>
  <c r="L680" i="22"/>
  <c r="I708" i="22"/>
  <c r="I717" i="22"/>
  <c r="M734" i="22"/>
  <c r="K740" i="22"/>
  <c r="M740" i="22"/>
  <c r="K760" i="22"/>
  <c r="M760" i="22"/>
  <c r="M803" i="22"/>
  <c r="K752" i="22"/>
  <c r="K753" i="22"/>
  <c r="K754" i="22"/>
  <c r="K763" i="22"/>
  <c r="K762" i="22" s="1"/>
  <c r="I767" i="22"/>
  <c r="K778" i="22"/>
  <c r="K777" i="22" s="1"/>
  <c r="M791" i="22"/>
  <c r="J798" i="22"/>
  <c r="M802" i="22"/>
  <c r="L810" i="22"/>
  <c r="M830" i="22"/>
  <c r="M851" i="22"/>
  <c r="K860" i="22"/>
  <c r="K859" i="22" s="1"/>
  <c r="K863" i="22"/>
  <c r="I866" i="22"/>
  <c r="K883" i="22"/>
  <c r="K882" i="22" s="1"/>
  <c r="J786" i="22"/>
  <c r="L798" i="22"/>
  <c r="Q800" i="22"/>
  <c r="Q799" i="22" s="1"/>
  <c r="I833" i="22"/>
  <c r="J826" i="22"/>
  <c r="M863" i="22"/>
  <c r="J659" i="32"/>
  <c r="J658" i="32" s="1"/>
  <c r="I100" i="33" s="1"/>
  <c r="Q749" i="22"/>
  <c r="Q748" i="22" s="1"/>
  <c r="I752" i="22"/>
  <c r="I753" i="22"/>
  <c r="I754" i="22"/>
  <c r="I776" i="22"/>
  <c r="J774" i="22"/>
  <c r="L786" i="22"/>
  <c r="L826" i="22"/>
  <c r="J847" i="22"/>
  <c r="I874" i="22"/>
  <c r="M85" i="33"/>
  <c r="O85" i="33"/>
  <c r="J450" i="32"/>
  <c r="J449" i="32" s="1"/>
  <c r="I69" i="33" s="1"/>
  <c r="N69" i="33" s="1"/>
  <c r="J471" i="32"/>
  <c r="J470" i="32" s="1"/>
  <c r="I73" i="33" s="1"/>
  <c r="N73" i="33" s="1"/>
  <c r="O105" i="33"/>
  <c r="O95" i="33"/>
  <c r="P31" i="1"/>
  <c r="T31" i="1" s="1"/>
  <c r="P43" i="1"/>
  <c r="T43" i="1" s="1"/>
  <c r="P97" i="1"/>
  <c r="T97" i="1" s="1"/>
  <c r="P29" i="1"/>
  <c r="T29" i="1" s="1"/>
  <c r="S16" i="3"/>
  <c r="N16" i="3"/>
  <c r="L16" i="3"/>
  <c r="S100" i="3"/>
  <c r="N100" i="3"/>
  <c r="L100" i="3"/>
  <c r="N134" i="3"/>
  <c r="W22" i="12"/>
  <c r="S22" i="12"/>
  <c r="N22" i="12"/>
  <c r="L22" i="12"/>
  <c r="S84" i="12"/>
  <c r="S238" i="12"/>
  <c r="H37" i="34"/>
  <c r="I37" i="34" s="1"/>
  <c r="H747" i="32"/>
  <c r="J747" i="32" s="1"/>
  <c r="P754" i="22"/>
  <c r="Q754" i="22" s="1"/>
  <c r="G46" i="20"/>
  <c r="H46" i="20" s="1"/>
  <c r="H1531" i="18"/>
  <c r="J1531" i="18" s="1"/>
  <c r="S205" i="3"/>
  <c r="S118" i="12"/>
  <c r="N118" i="12"/>
  <c r="L118" i="12"/>
  <c r="H126" i="32"/>
  <c r="J126" i="32" s="1"/>
  <c r="H474" i="32"/>
  <c r="J474" i="32" s="1"/>
  <c r="H454" i="32"/>
  <c r="J454" i="32" s="1"/>
  <c r="H387" i="32"/>
  <c r="J387" i="32" s="1"/>
  <c r="M102" i="22"/>
  <c r="M101" i="22" s="1"/>
  <c r="K102" i="22"/>
  <c r="K101" i="22" s="1"/>
  <c r="M125" i="22"/>
  <c r="K125" i="22"/>
  <c r="M126" i="22"/>
  <c r="K126" i="22"/>
  <c r="M127" i="22"/>
  <c r="K127" i="22"/>
  <c r="Q134" i="22"/>
  <c r="Q133" i="22" s="1"/>
  <c r="M134" i="22"/>
  <c r="M133" i="22" s="1"/>
  <c r="K134" i="22"/>
  <c r="K133" i="22" s="1"/>
  <c r="M139" i="22"/>
  <c r="M138" i="22" s="1"/>
  <c r="K139" i="22"/>
  <c r="K138" i="22" s="1"/>
  <c r="O6" i="3"/>
  <c r="O8" i="3"/>
  <c r="O10" i="3"/>
  <c r="O12" i="3"/>
  <c r="O14" i="3"/>
  <c r="O16" i="3"/>
  <c r="P16" i="3" s="1"/>
  <c r="O18" i="3"/>
  <c r="O20" i="3"/>
  <c r="O22" i="3"/>
  <c r="O30" i="3"/>
  <c r="O34" i="3"/>
  <c r="O36" i="3"/>
  <c r="O38" i="3"/>
  <c r="O56" i="3"/>
  <c r="O76" i="3"/>
  <c r="O90" i="3"/>
  <c r="O92" i="3"/>
  <c r="O94" i="3"/>
  <c r="O98" i="3"/>
  <c r="O100" i="3"/>
  <c r="P100" i="3" s="1"/>
  <c r="O102" i="3"/>
  <c r="O112" i="3"/>
  <c r="O134" i="3"/>
  <c r="P134" i="3" s="1"/>
  <c r="O136" i="3"/>
  <c r="O138" i="3"/>
  <c r="O162" i="3"/>
  <c r="O168" i="3"/>
  <c r="O178" i="3"/>
  <c r="O196" i="3"/>
  <c r="O202" i="3"/>
  <c r="O208" i="3"/>
  <c r="O213" i="3"/>
  <c r="O214" i="3"/>
  <c r="O215" i="3"/>
  <c r="O224" i="3"/>
  <c r="O238" i="3"/>
  <c r="O239" i="3"/>
  <c r="O240" i="3"/>
  <c r="O241" i="3"/>
  <c r="O243" i="3"/>
  <c r="O244" i="3"/>
  <c r="O6" i="9"/>
  <c r="O42" i="9"/>
  <c r="O100" i="9"/>
  <c r="U113" i="9"/>
  <c r="O6" i="12"/>
  <c r="O22" i="12"/>
  <c r="P22" i="12" s="1"/>
  <c r="O24" i="12"/>
  <c r="O34" i="12"/>
  <c r="O36" i="12"/>
  <c r="O46" i="12"/>
  <c r="O50" i="12"/>
  <c r="O76" i="12"/>
  <c r="O84" i="12"/>
  <c r="O86" i="12"/>
  <c r="O104" i="12"/>
  <c r="O118" i="12"/>
  <c r="O120" i="12"/>
  <c r="O130" i="12"/>
  <c r="O142" i="12"/>
  <c r="O176" i="12"/>
  <c r="O182" i="12"/>
  <c r="O184" i="12"/>
  <c r="O194" i="12"/>
  <c r="O208" i="12"/>
  <c r="O214" i="12"/>
  <c r="O222" i="12"/>
  <c r="O229" i="12"/>
  <c r="O230" i="12"/>
  <c r="O231" i="12"/>
  <c r="O236" i="12"/>
  <c r="O238" i="12"/>
  <c r="O239" i="12"/>
  <c r="O242" i="12"/>
  <c r="O243" i="12"/>
  <c r="O246" i="12"/>
  <c r="O247" i="12"/>
  <c r="O248" i="12"/>
  <c r="K10" i="22"/>
  <c r="K9" i="22" s="1"/>
  <c r="M10" i="22"/>
  <c r="M9" i="22" s="1"/>
  <c r="K16" i="22"/>
  <c r="K15" i="22" s="1"/>
  <c r="M16" i="22"/>
  <c r="M15" i="22" s="1"/>
  <c r="K22" i="22"/>
  <c r="K21" i="22" s="1"/>
  <c r="M22" i="22"/>
  <c r="M21" i="22" s="1"/>
  <c r="I28" i="22"/>
  <c r="K28" i="22"/>
  <c r="K27" i="22" s="1"/>
  <c r="M28" i="22"/>
  <c r="M27" i="22" s="1"/>
  <c r="I34" i="22"/>
  <c r="K34" i="22"/>
  <c r="K33" i="22" s="1"/>
  <c r="M34" i="22"/>
  <c r="M33" i="22" s="1"/>
  <c r="K40" i="22"/>
  <c r="K39" i="22" s="1"/>
  <c r="M40" i="22"/>
  <c r="M39" i="22" s="1"/>
  <c r="K46" i="22"/>
  <c r="K45" i="22" s="1"/>
  <c r="M46" i="22"/>
  <c r="M45" i="22" s="1"/>
  <c r="K52" i="22"/>
  <c r="K51" i="22" s="1"/>
  <c r="M52" i="22"/>
  <c r="M51" i="22" s="1"/>
  <c r="I58" i="22"/>
  <c r="K58" i="22"/>
  <c r="K57" i="22" s="1"/>
  <c r="M58" i="22"/>
  <c r="M57" i="22" s="1"/>
  <c r="I63" i="22"/>
  <c r="K63" i="22"/>
  <c r="K62" i="22" s="1"/>
  <c r="M63" i="22"/>
  <c r="M62" i="22" s="1"/>
  <c r="K69" i="22"/>
  <c r="K68" i="22" s="1"/>
  <c r="M69" i="22"/>
  <c r="M68" i="22" s="1"/>
  <c r="K73" i="22"/>
  <c r="K78" i="22"/>
  <c r="K77" i="22" s="1"/>
  <c r="M78" i="22"/>
  <c r="M77" i="22" s="1"/>
  <c r="K83" i="22"/>
  <c r="K82" i="22" s="1"/>
  <c r="M83" i="22"/>
  <c r="M82" i="22" s="1"/>
  <c r="I105" i="22"/>
  <c r="I110" i="22"/>
  <c r="H30" i="32"/>
  <c r="J30" i="32" s="1"/>
  <c r="P182" i="22"/>
  <c r="Q182" i="22" s="1"/>
  <c r="H452" i="32"/>
  <c r="J452" i="32" s="1"/>
  <c r="H411" i="32"/>
  <c r="J411" i="32" s="1"/>
  <c r="P452" i="22"/>
  <c r="Q452" i="22" s="1"/>
  <c r="P411" i="22"/>
  <c r="Q411" i="22" s="1"/>
  <c r="M95" i="22"/>
  <c r="K95" i="22"/>
  <c r="M96" i="22"/>
  <c r="K96" i="22"/>
  <c r="M108" i="22"/>
  <c r="M107" i="22" s="1"/>
  <c r="K108" i="22"/>
  <c r="K107" i="22" s="1"/>
  <c r="M121" i="22"/>
  <c r="M131" i="22"/>
  <c r="K131" i="22"/>
  <c r="O61" i="3"/>
  <c r="O69" i="3"/>
  <c r="O73" i="3"/>
  <c r="O79" i="3"/>
  <c r="O83" i="3"/>
  <c r="O87" i="3"/>
  <c r="O107" i="3"/>
  <c r="O141" i="3"/>
  <c r="O149" i="3"/>
  <c r="O153" i="3"/>
  <c r="O159" i="3"/>
  <c r="O171" i="3"/>
  <c r="O173" i="3"/>
  <c r="O199" i="3"/>
  <c r="O205" i="3"/>
  <c r="O45" i="9"/>
  <c r="O47" i="9"/>
  <c r="O61" i="9"/>
  <c r="O9" i="12"/>
  <c r="O19" i="12"/>
  <c r="O31" i="12"/>
  <c r="O73" i="12"/>
  <c r="O95" i="12"/>
  <c r="O97" i="12"/>
  <c r="O107" i="12"/>
  <c r="O113" i="12"/>
  <c r="O127" i="12"/>
  <c r="O147" i="12"/>
  <c r="O173" i="12"/>
  <c r="O179" i="12"/>
  <c r="X179" i="12"/>
  <c r="Z179" i="12" s="1"/>
  <c r="O191" i="12"/>
  <c r="O197" i="12"/>
  <c r="O199" i="12"/>
  <c r="O211" i="12"/>
  <c r="O217" i="12"/>
  <c r="O219" i="12"/>
  <c r="G92" i="20"/>
  <c r="H92" i="20" s="1"/>
  <c r="I30" i="22"/>
  <c r="I36" i="22"/>
  <c r="I65" i="22"/>
  <c r="I85" i="22"/>
  <c r="M583" i="22"/>
  <c r="M582" i="22" s="1"/>
  <c r="K583" i="22"/>
  <c r="K582" i="22" s="1"/>
  <c r="I26" i="33"/>
  <c r="N26" i="33" s="1"/>
  <c r="J311" i="32"/>
  <c r="K98" i="22"/>
  <c r="K112" i="22"/>
  <c r="K169" i="22"/>
  <c r="Q169" i="22"/>
  <c r="K182" i="22"/>
  <c r="M182" i="22"/>
  <c r="K183" i="22"/>
  <c r="M183" i="22"/>
  <c r="I184" i="22"/>
  <c r="K184" i="22"/>
  <c r="M184" i="22"/>
  <c r="K188" i="22"/>
  <c r="M188" i="22"/>
  <c r="K191" i="22"/>
  <c r="K190" i="22" s="1"/>
  <c r="M191" i="22"/>
  <c r="M190" i="22" s="1"/>
  <c r="I196" i="22"/>
  <c r="K196" i="22"/>
  <c r="K195" i="22" s="1"/>
  <c r="M196" i="22"/>
  <c r="M195" i="22" s="1"/>
  <c r="M203" i="22"/>
  <c r="K212" i="22"/>
  <c r="M212" i="22"/>
  <c r="I216" i="22"/>
  <c r="K216" i="22"/>
  <c r="M216" i="22"/>
  <c r="I217" i="22"/>
  <c r="K217" i="22"/>
  <c r="M217" i="22"/>
  <c r="I218" i="22"/>
  <c r="K218" i="22"/>
  <c r="M218" i="22"/>
  <c r="I221" i="22"/>
  <c r="K221" i="22"/>
  <c r="K220" i="22" s="1"/>
  <c r="M221" i="22"/>
  <c r="M220" i="22" s="1"/>
  <c r="I225" i="22"/>
  <c r="K225" i="22"/>
  <c r="M225" i="22"/>
  <c r="I234" i="22"/>
  <c r="K234" i="22"/>
  <c r="I238" i="22"/>
  <c r="K238" i="22"/>
  <c r="M238" i="22"/>
  <c r="I239" i="22"/>
  <c r="K239" i="22"/>
  <c r="M239" i="22"/>
  <c r="I243" i="22"/>
  <c r="K243" i="22"/>
  <c r="M243" i="22"/>
  <c r="I244" i="22"/>
  <c r="K244" i="22"/>
  <c r="M244" i="22"/>
  <c r="I247" i="22"/>
  <c r="K247" i="22"/>
  <c r="K246" i="22" s="1"/>
  <c r="M247" i="22"/>
  <c r="M246" i="22" s="1"/>
  <c r="I251" i="22"/>
  <c r="K251" i="22"/>
  <c r="K255" i="22"/>
  <c r="K253" i="22" s="1"/>
  <c r="M255" i="22"/>
  <c r="K259" i="22"/>
  <c r="M259" i="22"/>
  <c r="K261" i="22"/>
  <c r="I265" i="22"/>
  <c r="K265" i="22"/>
  <c r="K264" i="22" s="1"/>
  <c r="M265" i="22"/>
  <c r="M264" i="22" s="1"/>
  <c r="I271" i="22"/>
  <c r="K271" i="22"/>
  <c r="K270" i="22" s="1"/>
  <c r="M271" i="22"/>
  <c r="M270" i="22" s="1"/>
  <c r="K277" i="22"/>
  <c r="K276" i="22" s="1"/>
  <c r="M277" i="22"/>
  <c r="M276" i="22" s="1"/>
  <c r="K283" i="22"/>
  <c r="K282" i="22" s="1"/>
  <c r="M283" i="22"/>
  <c r="M282" i="22" s="1"/>
  <c r="K289" i="22"/>
  <c r="K288" i="22" s="1"/>
  <c r="M289" i="22"/>
  <c r="M288" i="22" s="1"/>
  <c r="K295" i="22"/>
  <c r="K294" i="22" s="1"/>
  <c r="M295" i="22"/>
  <c r="M294" i="22" s="1"/>
  <c r="K301" i="22"/>
  <c r="K300" i="22" s="1"/>
  <c r="M301" i="22"/>
  <c r="M300" i="22" s="1"/>
  <c r="K307" i="22"/>
  <c r="K306" i="22" s="1"/>
  <c r="M307" i="22"/>
  <c r="M306" i="22" s="1"/>
  <c r="I313" i="22"/>
  <c r="K313" i="22"/>
  <c r="K312" i="22" s="1"/>
  <c r="M313" i="22"/>
  <c r="M312" i="22" s="1"/>
  <c r="K317" i="22"/>
  <c r="K322" i="22"/>
  <c r="K321" i="22" s="1"/>
  <c r="M322" i="22"/>
  <c r="M321" i="22" s="1"/>
  <c r="K327" i="22"/>
  <c r="K326" i="22" s="1"/>
  <c r="M327" i="22"/>
  <c r="M326" i="22" s="1"/>
  <c r="M334" i="22"/>
  <c r="K339" i="22"/>
  <c r="M339" i="22"/>
  <c r="K340" i="22"/>
  <c r="M340" i="22"/>
  <c r="K342" i="22"/>
  <c r="I346" i="22"/>
  <c r="K346" i="22"/>
  <c r="K345" i="22" s="1"/>
  <c r="M346" i="22"/>
  <c r="M345" i="22" s="1"/>
  <c r="K350" i="22"/>
  <c r="M350" i="22"/>
  <c r="I351" i="22"/>
  <c r="K351" i="22"/>
  <c r="M351" i="22"/>
  <c r="K352" i="22"/>
  <c r="M352" i="22"/>
  <c r="I353" i="22"/>
  <c r="K353" i="22"/>
  <c r="M353" i="22"/>
  <c r="K354" i="22"/>
  <c r="M354" i="22"/>
  <c r="K358" i="22"/>
  <c r="K357" i="22" s="1"/>
  <c r="M358" i="22"/>
  <c r="M357" i="22" s="1"/>
  <c r="K364" i="22"/>
  <c r="K363" i="22" s="1"/>
  <c r="M364" i="22"/>
  <c r="M363" i="22" s="1"/>
  <c r="K368" i="22"/>
  <c r="M368" i="22"/>
  <c r="K369" i="22"/>
  <c r="M369" i="22"/>
  <c r="K370" i="22"/>
  <c r="M370" i="22"/>
  <c r="K371" i="22"/>
  <c r="M371" i="22"/>
  <c r="K372" i="22"/>
  <c r="M372" i="22"/>
  <c r="K376" i="22"/>
  <c r="M376" i="22"/>
  <c r="K377" i="22"/>
  <c r="M377" i="22"/>
  <c r="I378" i="22"/>
  <c r="K378" i="22"/>
  <c r="M378" i="22"/>
  <c r="K381" i="22"/>
  <c r="M381" i="22"/>
  <c r="K382" i="22"/>
  <c r="M382" i="22"/>
  <c r="M392" i="22"/>
  <c r="K397" i="22"/>
  <c r="K396" i="22" s="1"/>
  <c r="M397" i="22"/>
  <c r="M396" i="22" s="1"/>
  <c r="K401" i="22"/>
  <c r="M401" i="22"/>
  <c r="K409" i="22"/>
  <c r="K408" i="22" s="1"/>
  <c r="M409" i="22"/>
  <c r="M408" i="22" s="1"/>
  <c r="K414" i="22"/>
  <c r="I420" i="22"/>
  <c r="K425" i="22"/>
  <c r="M425" i="22"/>
  <c r="K426" i="22"/>
  <c r="M426" i="22"/>
  <c r="I427" i="22"/>
  <c r="K427" i="22"/>
  <c r="M427" i="22"/>
  <c r="K428" i="22"/>
  <c r="M428" i="22"/>
  <c r="K429" i="22"/>
  <c r="M429" i="22"/>
  <c r="K430" i="22"/>
  <c r="M430" i="22"/>
  <c r="K431" i="22"/>
  <c r="M431" i="22"/>
  <c r="I432" i="22"/>
  <c r="K432" i="22"/>
  <c r="M432" i="22"/>
  <c r="K436" i="22"/>
  <c r="K435" i="22" s="1"/>
  <c r="M436" i="22"/>
  <c r="M435" i="22" s="1"/>
  <c r="K440" i="22"/>
  <c r="M440" i="22"/>
  <c r="K441" i="22"/>
  <c r="M441" i="22"/>
  <c r="K445" i="22"/>
  <c r="M445" i="22"/>
  <c r="K446" i="22"/>
  <c r="M446" i="22"/>
  <c r="K447" i="22"/>
  <c r="M447" i="22"/>
  <c r="K448" i="22"/>
  <c r="M448" i="22"/>
  <c r="K452" i="22"/>
  <c r="M452" i="22"/>
  <c r="K453" i="22"/>
  <c r="M453" i="22"/>
  <c r="K454" i="22"/>
  <c r="M454" i="22"/>
  <c r="M455" i="22"/>
  <c r="K462" i="22"/>
  <c r="K461" i="22" s="1"/>
  <c r="M462" i="22"/>
  <c r="M461" i="22" s="1"/>
  <c r="I469" i="22"/>
  <c r="I473" i="22"/>
  <c r="K473" i="22"/>
  <c r="M473" i="22"/>
  <c r="I474" i="22"/>
  <c r="K474" i="22"/>
  <c r="M474" i="22"/>
  <c r="I481" i="22"/>
  <c r="M481" i="22"/>
  <c r="I485" i="22"/>
  <c r="K485" i="22"/>
  <c r="K484" i="22" s="1"/>
  <c r="M485" i="22"/>
  <c r="M484" i="22" s="1"/>
  <c r="I491" i="22"/>
  <c r="I495" i="22"/>
  <c r="K495" i="22"/>
  <c r="K494" i="22" s="1"/>
  <c r="M495" i="22"/>
  <c r="M494" i="22" s="1"/>
  <c r="I502" i="22"/>
  <c r="I506" i="22"/>
  <c r="K506" i="22"/>
  <c r="M506" i="22"/>
  <c r="I507" i="22"/>
  <c r="K507" i="22"/>
  <c r="M507" i="22"/>
  <c r="I508" i="22"/>
  <c r="K508" i="22"/>
  <c r="M508" i="22"/>
  <c r="I512" i="22"/>
  <c r="K512" i="22"/>
  <c r="M512" i="22"/>
  <c r="I513" i="22"/>
  <c r="K513" i="22"/>
  <c r="M513" i="22"/>
  <c r="K517" i="22"/>
  <c r="K516" i="22" s="1"/>
  <c r="M517" i="22"/>
  <c r="M516" i="22" s="1"/>
  <c r="K527" i="22"/>
  <c r="M527" i="22"/>
  <c r="I531" i="22"/>
  <c r="K531" i="22"/>
  <c r="M531" i="22"/>
  <c r="I532" i="22"/>
  <c r="K532" i="22"/>
  <c r="M532" i="22"/>
  <c r="I533" i="22"/>
  <c r="K533" i="22"/>
  <c r="M533" i="22"/>
  <c r="I534" i="22"/>
  <c r="K534" i="22"/>
  <c r="M534" i="22"/>
  <c r="I537" i="22"/>
  <c r="K537" i="22"/>
  <c r="K536" i="22" s="1"/>
  <c r="M537" i="22"/>
  <c r="M536" i="22" s="1"/>
  <c r="K542" i="22"/>
  <c r="K541" i="22" s="1"/>
  <c r="M542" i="22"/>
  <c r="M541" i="22" s="1"/>
  <c r="K547" i="22"/>
  <c r="M547" i="22"/>
  <c r="K548" i="22"/>
  <c r="M548" i="22"/>
  <c r="K552" i="22"/>
  <c r="K551" i="22" s="1"/>
  <c r="M552" i="22"/>
  <c r="M551" i="22" s="1"/>
  <c r="K562" i="22"/>
  <c r="M562" i="22"/>
  <c r="K564" i="22"/>
  <c r="K568" i="22"/>
  <c r="M568" i="22"/>
  <c r="I573" i="22"/>
  <c r="K573" i="22"/>
  <c r="M573" i="22"/>
  <c r="I576" i="22"/>
  <c r="K576" i="22"/>
  <c r="K575" i="22" s="1"/>
  <c r="M576" i="22"/>
  <c r="M575" i="22" s="1"/>
  <c r="M588" i="22"/>
  <c r="K588" i="22"/>
  <c r="M589" i="22"/>
  <c r="K589" i="22"/>
  <c r="I14" i="33"/>
  <c r="I15" i="33"/>
  <c r="I18" i="33"/>
  <c r="I19" i="33"/>
  <c r="K19" i="33" s="1"/>
  <c r="J67" i="32"/>
  <c r="K149" i="22"/>
  <c r="K148" i="22" s="1"/>
  <c r="M149" i="22"/>
  <c r="M148" i="22" s="1"/>
  <c r="K153" i="22"/>
  <c r="M153" i="22"/>
  <c r="K154" i="22"/>
  <c r="M154" i="22"/>
  <c r="K155" i="22"/>
  <c r="M155" i="22"/>
  <c r="K156" i="22"/>
  <c r="M156" i="22"/>
  <c r="K157" i="22"/>
  <c r="M157" i="22"/>
  <c r="K161" i="22"/>
  <c r="M161" i="22"/>
  <c r="K162" i="22"/>
  <c r="M162" i="22"/>
  <c r="I165" i="22"/>
  <c r="K165" i="22"/>
  <c r="K164" i="22" s="1"/>
  <c r="M165" i="22"/>
  <c r="M164" i="22" s="1"/>
  <c r="K168" i="22"/>
  <c r="M168" i="22"/>
  <c r="K172" i="22"/>
  <c r="M172" i="22"/>
  <c r="K173" i="22"/>
  <c r="M173" i="22"/>
  <c r="I174" i="22"/>
  <c r="K174" i="22"/>
  <c r="M174" i="22"/>
  <c r="K175" i="22"/>
  <c r="M175" i="22"/>
  <c r="K176" i="22"/>
  <c r="M176" i="22"/>
  <c r="K177" i="22"/>
  <c r="M177" i="22"/>
  <c r="I180" i="22"/>
  <c r="K180" i="22"/>
  <c r="K179" i="22" s="1"/>
  <c r="M180" i="22"/>
  <c r="M179" i="22" s="1"/>
  <c r="I219" i="22"/>
  <c r="I223" i="22"/>
  <c r="I236" i="22"/>
  <c r="I245" i="22"/>
  <c r="I249" i="22"/>
  <c r="I267" i="22"/>
  <c r="I273" i="22"/>
  <c r="I309" i="22"/>
  <c r="I315" i="22"/>
  <c r="I316" i="22"/>
  <c r="I348" i="22"/>
  <c r="I386" i="22"/>
  <c r="I389" i="22"/>
  <c r="K455" i="22"/>
  <c r="I500" i="22"/>
  <c r="I501" i="22"/>
  <c r="I504" i="22"/>
  <c r="I535" i="22"/>
  <c r="I94" i="33"/>
  <c r="I121" i="33"/>
  <c r="N121" i="33" s="1"/>
  <c r="I621" i="22"/>
  <c r="I625" i="22"/>
  <c r="K627" i="22"/>
  <c r="Q627" i="22"/>
  <c r="I641" i="22"/>
  <c r="K644" i="22"/>
  <c r="Q644" i="22"/>
  <c r="I649" i="22"/>
  <c r="I650" i="22"/>
  <c r="K672" i="22"/>
  <c r="Q672" i="22"/>
  <c r="I680" i="22"/>
  <c r="I684" i="22"/>
  <c r="I690" i="22"/>
  <c r="I694" i="22"/>
  <c r="I698" i="22"/>
  <c r="I712" i="22"/>
  <c r="I716" i="22"/>
  <c r="I730" i="22"/>
  <c r="I734" i="22"/>
  <c r="K767" i="22"/>
  <c r="Q767" i="22"/>
  <c r="I774" i="22"/>
  <c r="I778" i="22"/>
  <c r="I779" i="22"/>
  <c r="I786" i="22"/>
  <c r="I790" i="22"/>
  <c r="I791" i="22"/>
  <c r="I798" i="22"/>
  <c r="I802" i="22"/>
  <c r="I803" i="22"/>
  <c r="I810" i="22"/>
  <c r="I814" i="22"/>
  <c r="I819" i="22"/>
  <c r="I826" i="22"/>
  <c r="I830" i="22"/>
  <c r="I831" i="22"/>
  <c r="I832" i="22"/>
  <c r="I868" i="22"/>
  <c r="I873" i="22"/>
  <c r="I80" i="33"/>
  <c r="K591" i="22"/>
  <c r="M598" i="22"/>
  <c r="I602" i="22"/>
  <c r="K602" i="22"/>
  <c r="M602" i="22"/>
  <c r="K603" i="22"/>
  <c r="M603" i="22"/>
  <c r="K607" i="22"/>
  <c r="M607" i="22"/>
  <c r="M605" i="22" s="1"/>
  <c r="I612" i="22"/>
  <c r="K612" i="22"/>
  <c r="M612" i="22"/>
  <c r="K613" i="22"/>
  <c r="M613" i="22"/>
  <c r="I618" i="22"/>
  <c r="K618" i="22"/>
  <c r="M618" i="22"/>
  <c r="I619" i="22"/>
  <c r="K619" i="22"/>
  <c r="M619" i="22"/>
  <c r="I620" i="22"/>
  <c r="K620" i="22"/>
  <c r="M620" i="22"/>
  <c r="I623" i="22"/>
  <c r="K623" i="22"/>
  <c r="K622" i="22" s="1"/>
  <c r="M623" i="22"/>
  <c r="M622" i="22" s="1"/>
  <c r="I626" i="22"/>
  <c r="K626" i="22"/>
  <c r="M626" i="22"/>
  <c r="K630" i="22"/>
  <c r="K629" i="22" s="1"/>
  <c r="M630" i="22"/>
  <c r="M629" i="22" s="1"/>
  <c r="I635" i="22"/>
  <c r="K635" i="22"/>
  <c r="M635" i="22"/>
  <c r="I636" i="22"/>
  <c r="K636" i="22"/>
  <c r="M636" i="22"/>
  <c r="I637" i="22"/>
  <c r="K637" i="22"/>
  <c r="M637" i="22"/>
  <c r="I638" i="22"/>
  <c r="K638" i="22"/>
  <c r="M638" i="22"/>
  <c r="I639" i="22"/>
  <c r="K639" i="22"/>
  <c r="M639" i="22"/>
  <c r="I643" i="22"/>
  <c r="K643" i="22"/>
  <c r="M643" i="22"/>
  <c r="M642" i="22" s="1"/>
  <c r="K647" i="22"/>
  <c r="K646" i="22" s="1"/>
  <c r="M647" i="22"/>
  <c r="M646" i="22" s="1"/>
  <c r="K651" i="22"/>
  <c r="K656" i="22"/>
  <c r="K655" i="22" s="1"/>
  <c r="M656" i="22"/>
  <c r="M655" i="22" s="1"/>
  <c r="K661" i="22"/>
  <c r="K660" i="22" s="1"/>
  <c r="M661" i="22"/>
  <c r="M660" i="22" s="1"/>
  <c r="K666" i="22"/>
  <c r="K665" i="22" s="1"/>
  <c r="M666" i="22"/>
  <c r="M665" i="22" s="1"/>
  <c r="I671" i="22"/>
  <c r="K671" i="22"/>
  <c r="M671" i="22"/>
  <c r="M670" i="22" s="1"/>
  <c r="I675" i="22"/>
  <c r="K675" i="22"/>
  <c r="M675" i="22"/>
  <c r="I676" i="22"/>
  <c r="K676" i="22"/>
  <c r="M676" i="22"/>
  <c r="I677" i="22"/>
  <c r="K677" i="22"/>
  <c r="M677" i="22"/>
  <c r="I678" i="22"/>
  <c r="K678" i="22"/>
  <c r="M678" i="22"/>
  <c r="I679" i="22"/>
  <c r="K679" i="22"/>
  <c r="M679" i="22"/>
  <c r="K682" i="22"/>
  <c r="K681" i="22" s="1"/>
  <c r="M682" i="22"/>
  <c r="M681" i="22" s="1"/>
  <c r="I687" i="22"/>
  <c r="K687" i="22"/>
  <c r="M687" i="22"/>
  <c r="K688" i="22"/>
  <c r="M688" i="22"/>
  <c r="I693" i="22"/>
  <c r="K693" i="22"/>
  <c r="K692" i="22" s="1"/>
  <c r="M693" i="22"/>
  <c r="I696" i="22"/>
  <c r="K696" i="22"/>
  <c r="K695" i="22" s="1"/>
  <c r="M696" i="22"/>
  <c r="M695" i="22" s="1"/>
  <c r="K699" i="22"/>
  <c r="M699" i="22"/>
  <c r="I703" i="22"/>
  <c r="K703" i="22"/>
  <c r="K707" i="22"/>
  <c r="K706" i="22" s="1"/>
  <c r="M707" i="22"/>
  <c r="I711" i="22"/>
  <c r="K711" i="22"/>
  <c r="M711" i="22"/>
  <c r="M710" i="22" s="1"/>
  <c r="I714" i="22"/>
  <c r="K714" i="22"/>
  <c r="K713" i="22" s="1"/>
  <c r="M714" i="22"/>
  <c r="M713" i="22" s="1"/>
  <c r="K717" i="22"/>
  <c r="K715" i="22" s="1"/>
  <c r="M717" i="22"/>
  <c r="M715" i="22" s="1"/>
  <c r="I721" i="22"/>
  <c r="K721" i="22"/>
  <c r="K719" i="22" s="1"/>
  <c r="M721" i="22"/>
  <c r="K725" i="22"/>
  <c r="K724" i="22" s="1"/>
  <c r="M725" i="22"/>
  <c r="I729" i="22"/>
  <c r="K729" i="22"/>
  <c r="M729" i="22"/>
  <c r="I732" i="22"/>
  <c r="K732" i="22"/>
  <c r="K731" i="22" s="1"/>
  <c r="M732" i="22"/>
  <c r="M731" i="22" s="1"/>
  <c r="K735" i="22"/>
  <c r="M735" i="22"/>
  <c r="K742" i="22"/>
  <c r="K741" i="22" s="1"/>
  <c r="M742" i="22"/>
  <c r="M741" i="22" s="1"/>
  <c r="K749" i="22"/>
  <c r="K748" i="22" s="1"/>
  <c r="M749" i="22"/>
  <c r="M748" i="22" s="1"/>
  <c r="K756" i="22"/>
  <c r="K755" i="22" s="1"/>
  <c r="M756" i="22"/>
  <c r="M755" i="22" s="1"/>
  <c r="K761" i="22"/>
  <c r="I766" i="22"/>
  <c r="K766" i="22"/>
  <c r="M766" i="22"/>
  <c r="M765" i="22" s="1"/>
  <c r="I770" i="22"/>
  <c r="K770" i="22"/>
  <c r="M770" i="22"/>
  <c r="I771" i="22"/>
  <c r="K771" i="22"/>
  <c r="M771" i="22"/>
  <c r="I772" i="22"/>
  <c r="K772" i="22"/>
  <c r="M772" i="22"/>
  <c r="I773" i="22"/>
  <c r="K773" i="22"/>
  <c r="M773" i="22"/>
  <c r="K776" i="22"/>
  <c r="K775" i="22" s="1"/>
  <c r="M776" i="22"/>
  <c r="M775" i="22" s="1"/>
  <c r="I782" i="22"/>
  <c r="K782" i="22"/>
  <c r="M782" i="22"/>
  <c r="I783" i="22"/>
  <c r="K783" i="22"/>
  <c r="M783" i="22"/>
  <c r="I784" i="22"/>
  <c r="K784" i="22"/>
  <c r="M784" i="22"/>
  <c r="I785" i="22"/>
  <c r="K785" i="22"/>
  <c r="M785" i="22"/>
  <c r="K788" i="22"/>
  <c r="K787" i="22" s="1"/>
  <c r="M788" i="22"/>
  <c r="M787" i="22" s="1"/>
  <c r="I794" i="22"/>
  <c r="K794" i="22"/>
  <c r="M794" i="22"/>
  <c r="I795" i="22"/>
  <c r="K795" i="22"/>
  <c r="M795" i="22"/>
  <c r="I796" i="22"/>
  <c r="K796" i="22"/>
  <c r="M796" i="22"/>
  <c r="I797" i="22"/>
  <c r="K797" i="22"/>
  <c r="M797" i="22"/>
  <c r="K800" i="22"/>
  <c r="K799" i="22" s="1"/>
  <c r="M800" i="22"/>
  <c r="M799" i="22" s="1"/>
  <c r="I806" i="22"/>
  <c r="K806" i="22"/>
  <c r="M806" i="22"/>
  <c r="I807" i="22"/>
  <c r="K807" i="22"/>
  <c r="M807" i="22"/>
  <c r="I808" i="22"/>
  <c r="K808" i="22"/>
  <c r="M808" i="22"/>
  <c r="I809" i="22"/>
  <c r="K809" i="22"/>
  <c r="M809" i="22"/>
  <c r="K812" i="22"/>
  <c r="K811" i="22" s="1"/>
  <c r="M812" i="22"/>
  <c r="M811" i="22" s="1"/>
  <c r="K817" i="22"/>
  <c r="K816" i="22" s="1"/>
  <c r="M817" i="22"/>
  <c r="M816" i="22" s="1"/>
  <c r="I822" i="22"/>
  <c r="K822" i="22"/>
  <c r="M822" i="22"/>
  <c r="I823" i="22"/>
  <c r="K823" i="22"/>
  <c r="M823" i="22"/>
  <c r="I824" i="22"/>
  <c r="K824" i="22"/>
  <c r="M824" i="22"/>
  <c r="I825" i="22"/>
  <c r="K825" i="22"/>
  <c r="M825" i="22"/>
  <c r="I828" i="22"/>
  <c r="K828" i="22"/>
  <c r="K827" i="22" s="1"/>
  <c r="M828" i="22"/>
  <c r="M827" i="22" s="1"/>
  <c r="K839" i="22"/>
  <c r="K838" i="22" s="1"/>
  <c r="M839" i="22"/>
  <c r="M838" i="22" s="1"/>
  <c r="K844" i="22"/>
  <c r="M844" i="22"/>
  <c r="K845" i="22"/>
  <c r="M845" i="22"/>
  <c r="K846" i="22"/>
  <c r="M846" i="22"/>
  <c r="K849" i="22"/>
  <c r="K848" i="22" s="1"/>
  <c r="M849" i="22"/>
  <c r="M848" i="22" s="1"/>
  <c r="K852" i="22"/>
  <c r="M852" i="22"/>
  <c r="K862" i="22"/>
  <c r="K861" i="22" s="1"/>
  <c r="M862" i="22"/>
  <c r="K866" i="22"/>
  <c r="K865" i="22" s="1"/>
  <c r="M866" i="22"/>
  <c r="M865" i="22" s="1"/>
  <c r="I871" i="22"/>
  <c r="K871" i="22"/>
  <c r="K870" i="22" s="1"/>
  <c r="M871" i="22"/>
  <c r="M870" i="22" s="1"/>
  <c r="K874" i="22"/>
  <c r="K872" i="22" s="1"/>
  <c r="M874" i="22"/>
  <c r="M872" i="22" s="1"/>
  <c r="I879" i="22"/>
  <c r="K879" i="22"/>
  <c r="M879" i="22"/>
  <c r="K880" i="22"/>
  <c r="M880" i="22"/>
  <c r="K886" i="22"/>
  <c r="K885" i="22" s="1"/>
  <c r="M886" i="22"/>
  <c r="M885" i="22" s="1"/>
  <c r="N36" i="33"/>
  <c r="M39" i="33"/>
  <c r="O65" i="33"/>
  <c r="L12" i="33"/>
  <c r="L13" i="33"/>
  <c r="L15" i="33"/>
  <c r="L16" i="33"/>
  <c r="L17" i="33"/>
  <c r="L19" i="33"/>
  <c r="L21" i="33"/>
  <c r="M26" i="33"/>
  <c r="O27" i="33"/>
  <c r="M31" i="33"/>
  <c r="N118" i="33"/>
  <c r="L26" i="33"/>
  <c r="L27" i="33"/>
  <c r="N82" i="33"/>
  <c r="N92" i="33"/>
  <c r="M73" i="33"/>
  <c r="M75" i="33"/>
  <c r="M79" i="33"/>
  <c r="M82" i="33"/>
  <c r="O82" i="33"/>
  <c r="N90" i="33"/>
  <c r="O92" i="33"/>
  <c r="L99" i="33"/>
  <c r="L100" i="33"/>
  <c r="L101" i="33"/>
  <c r="L102" i="33"/>
  <c r="M104" i="33"/>
  <c r="M107" i="33"/>
  <c r="M109" i="33"/>
  <c r="M115" i="33"/>
  <c r="O115" i="33"/>
  <c r="M118" i="33"/>
  <c r="M120" i="33"/>
  <c r="M123" i="33"/>
  <c r="M41" i="33"/>
  <c r="L45" i="33"/>
  <c r="L46" i="33"/>
  <c r="L52" i="33"/>
  <c r="L61" i="33"/>
  <c r="M69" i="33"/>
  <c r="M72" i="33"/>
  <c r="M74" i="33"/>
  <c r="M76" i="33"/>
  <c r="M89" i="33"/>
  <c r="M90" i="33"/>
  <c r="M91" i="33"/>
  <c r="M95" i="33"/>
  <c r="M99" i="33"/>
  <c r="M100" i="33"/>
  <c r="M101" i="33"/>
  <c r="M102" i="33"/>
  <c r="M106" i="33"/>
  <c r="M108" i="33"/>
  <c r="M110" i="33"/>
  <c r="M111" i="33"/>
  <c r="M112" i="33"/>
  <c r="M113" i="33"/>
  <c r="L115" i="33"/>
  <c r="M117" i="33"/>
  <c r="M119" i="33"/>
  <c r="L121" i="33"/>
  <c r="M122" i="33"/>
  <c r="L126" i="33"/>
  <c r="L127" i="33"/>
  <c r="L128" i="33"/>
  <c r="M129" i="33"/>
  <c r="S243" i="3" l="1"/>
  <c r="W243" i="3"/>
  <c r="M29" i="33"/>
  <c r="N29" i="33"/>
  <c r="W236" i="12"/>
  <c r="L236" i="12"/>
  <c r="H223" i="32"/>
  <c r="J223" i="32" s="1"/>
  <c r="P517" i="22"/>
  <c r="Q517" i="22" s="1"/>
  <c r="Q516" i="22" s="1"/>
  <c r="P238" i="22"/>
  <c r="H552" i="32"/>
  <c r="J552" i="32" s="1"/>
  <c r="J551" i="32" s="1"/>
  <c r="J81" i="33" s="1"/>
  <c r="O81" i="33" s="1"/>
  <c r="M858" i="22"/>
  <c r="M854" i="22" s="1"/>
  <c r="I632" i="22"/>
  <c r="I27" i="33"/>
  <c r="K27" i="33" s="1"/>
  <c r="P661" i="22"/>
  <c r="Q661" i="22" s="1"/>
  <c r="Q660" i="22" s="1"/>
  <c r="K23" i="22"/>
  <c r="G231" i="3"/>
  <c r="J231" i="3" s="1"/>
  <c r="L34" i="3"/>
  <c r="M703" i="22"/>
  <c r="M701" i="22" s="1"/>
  <c r="T46" i="1"/>
  <c r="T8" i="1" s="1"/>
  <c r="J245" i="3"/>
  <c r="W245" i="3" s="1"/>
  <c r="P666" i="22"/>
  <c r="Q666" i="22" s="1"/>
  <c r="Q665" i="22" s="1"/>
  <c r="E35" i="36"/>
  <c r="P243" i="3"/>
  <c r="G103" i="3"/>
  <c r="J103" i="3" s="1"/>
  <c r="J102" i="3" s="1"/>
  <c r="P102" i="3" s="1"/>
  <c r="M861" i="22"/>
  <c r="I88" i="22"/>
  <c r="O242" i="3"/>
  <c r="P14" i="3"/>
  <c r="I177" i="22"/>
  <c r="M296" i="22"/>
  <c r="S219" i="3"/>
  <c r="G179" i="3"/>
  <c r="J179" i="3" s="1"/>
  <c r="J178" i="3" s="1"/>
  <c r="P178" i="3" s="1"/>
  <c r="L14" i="33"/>
  <c r="K733" i="22"/>
  <c r="I327" i="22"/>
  <c r="G72" i="20"/>
  <c r="H72" i="20" s="1"/>
  <c r="I83" i="22"/>
  <c r="P8" i="3"/>
  <c r="J220" i="3"/>
  <c r="W220" i="3" s="1"/>
  <c r="G232" i="12"/>
  <c r="J232" i="12" s="1"/>
  <c r="W232" i="12" s="1"/>
  <c r="M33" i="33"/>
  <c r="K850" i="22"/>
  <c r="M697" i="22"/>
  <c r="I379" i="22"/>
  <c r="I176" i="22"/>
  <c r="I172" i="22"/>
  <c r="I191" i="22"/>
  <c r="I182" i="22"/>
  <c r="G71" i="20"/>
  <c r="H71" i="20" s="1"/>
  <c r="P588" i="22"/>
  <c r="Q588" i="22" s="1"/>
  <c r="H661" i="32"/>
  <c r="J661" i="32" s="1"/>
  <c r="J660" i="32" s="1"/>
  <c r="J100" i="33" s="1"/>
  <c r="O100" i="33" s="1"/>
  <c r="K421" i="22"/>
  <c r="N101" i="33"/>
  <c r="U27" i="2"/>
  <c r="V27" i="2" s="1"/>
  <c r="X92" i="3" s="1"/>
  <c r="Z92" i="3" s="1"/>
  <c r="AA92" i="3" s="1"/>
  <c r="F48" i="33"/>
  <c r="G62" i="9"/>
  <c r="J62" i="9" s="1"/>
  <c r="AA62" i="9" s="1"/>
  <c r="I173" i="22"/>
  <c r="L57" i="33"/>
  <c r="G65" i="20"/>
  <c r="H65" i="20" s="1"/>
  <c r="P339" i="22"/>
  <c r="Q339" i="22" s="1"/>
  <c r="H656" i="32"/>
  <c r="J656" i="32" s="1"/>
  <c r="J655" i="32" s="1"/>
  <c r="J99" i="33" s="1"/>
  <c r="O99" i="33" s="1"/>
  <c r="L14" i="3"/>
  <c r="N64" i="33"/>
  <c r="J239" i="12"/>
  <c r="L239" i="12" s="1"/>
  <c r="H1359" i="18"/>
  <c r="J1359" i="18" s="1"/>
  <c r="J1358" i="18" s="1"/>
  <c r="Q171" i="1" s="1"/>
  <c r="U171" i="1" s="1"/>
  <c r="O51" i="5"/>
  <c r="P51" i="5" s="1"/>
  <c r="J208" i="3"/>
  <c r="S208" i="3" s="1"/>
  <c r="G32" i="12"/>
  <c r="J32" i="12" s="1"/>
  <c r="J31" i="12" s="1"/>
  <c r="S31" i="12" s="1"/>
  <c r="J214" i="3"/>
  <c r="S214" i="3" s="1"/>
  <c r="I183" i="22"/>
  <c r="P656" i="22"/>
  <c r="Q656" i="22" s="1"/>
  <c r="Q655" i="22" s="1"/>
  <c r="N34" i="3"/>
  <c r="M166" i="22"/>
  <c r="I178" i="22"/>
  <c r="M57" i="33"/>
  <c r="I332" i="22"/>
  <c r="N14" i="33"/>
  <c r="I289" i="22"/>
  <c r="I89" i="22"/>
  <c r="H588" i="32"/>
  <c r="J588" i="32" s="1"/>
  <c r="P118" i="12"/>
  <c r="O219" i="3"/>
  <c r="P219" i="3" s="1"/>
  <c r="P34" i="3"/>
  <c r="N14" i="3"/>
  <c r="T135" i="1"/>
  <c r="S46" i="1"/>
  <c r="G131" i="12"/>
  <c r="J131" i="12" s="1"/>
  <c r="I334" i="22"/>
  <c r="L47" i="33"/>
  <c r="M42" i="33"/>
  <c r="I331" i="22"/>
  <c r="I175" i="22"/>
  <c r="I188" i="22"/>
  <c r="I87" i="22"/>
  <c r="S227" i="3"/>
  <c r="J237" i="3"/>
  <c r="W237" i="3" s="1"/>
  <c r="J244" i="12"/>
  <c r="L244" i="12" s="1"/>
  <c r="J233" i="12"/>
  <c r="G62" i="3"/>
  <c r="J62" i="3" s="1"/>
  <c r="F113" i="22"/>
  <c r="I127" i="22" s="1"/>
  <c r="G39" i="3"/>
  <c r="J39" i="3" s="1"/>
  <c r="J38" i="3" s="1"/>
  <c r="P38" i="3" s="1"/>
  <c r="K558" i="22"/>
  <c r="G113" i="3"/>
  <c r="J113" i="3" s="1"/>
  <c r="N49" i="33"/>
  <c r="L94" i="33"/>
  <c r="K697" i="22"/>
  <c r="I651" i="22"/>
  <c r="N94" i="33"/>
  <c r="I163" i="22"/>
  <c r="M130" i="22"/>
  <c r="N8" i="3"/>
  <c r="G88" i="3"/>
  <c r="J88" i="3" s="1"/>
  <c r="J87" i="3" s="1"/>
  <c r="H279" i="32"/>
  <c r="J279" i="32" s="1"/>
  <c r="P12" i="22"/>
  <c r="Q12" i="22" s="1"/>
  <c r="P48" i="22"/>
  <c r="Q48" i="22" s="1"/>
  <c r="H778" i="32"/>
  <c r="J778" i="32" s="1"/>
  <c r="P291" i="22"/>
  <c r="Q291" i="22" s="1"/>
  <c r="P297" i="22"/>
  <c r="Q297" i="22" s="1"/>
  <c r="H273" i="32"/>
  <c r="J273" i="32" s="1"/>
  <c r="H267" i="32"/>
  <c r="J267" i="32" s="1"/>
  <c r="J266" i="32" s="1"/>
  <c r="N10" i="33"/>
  <c r="K744" i="22"/>
  <c r="K833" i="22"/>
  <c r="K829" i="22" s="1"/>
  <c r="K572" i="22"/>
  <c r="I429" i="22"/>
  <c r="I441" i="22"/>
  <c r="I615" i="22"/>
  <c r="I423" i="22"/>
  <c r="I426" i="22"/>
  <c r="K248" i="22"/>
  <c r="H339" i="32"/>
  <c r="J339" i="32" s="1"/>
  <c r="N236" i="12"/>
  <c r="J224" i="3"/>
  <c r="W224" i="3" s="1"/>
  <c r="L10" i="33"/>
  <c r="I431" i="22"/>
  <c r="I409" i="22"/>
  <c r="M284" i="22"/>
  <c r="J150" i="14"/>
  <c r="O23" i="11" s="1"/>
  <c r="P440" i="22" s="1"/>
  <c r="N91" i="33"/>
  <c r="I364" i="22"/>
  <c r="J657" i="32"/>
  <c r="I422" i="22"/>
  <c r="M502" i="22"/>
  <c r="M497" i="22" s="1"/>
  <c r="N125" i="33"/>
  <c r="L9" i="33"/>
  <c r="M692" i="22"/>
  <c r="I419" i="22"/>
  <c r="I428" i="22"/>
  <c r="H841" i="32"/>
  <c r="J841" i="32" s="1"/>
  <c r="J840" i="32" s="1"/>
  <c r="J123" i="33" s="1"/>
  <c r="O123" i="33" s="1"/>
  <c r="P76" i="3"/>
  <c r="L197" i="12"/>
  <c r="S239" i="3"/>
  <c r="N89" i="33"/>
  <c r="M733" i="22"/>
  <c r="M624" i="22"/>
  <c r="K481" i="22"/>
  <c r="I425" i="22"/>
  <c r="M222" i="22"/>
  <c r="P229" i="12"/>
  <c r="W238" i="3"/>
  <c r="L8" i="3"/>
  <c r="M29" i="22"/>
  <c r="J149" i="3"/>
  <c r="P149" i="3" s="1"/>
  <c r="P388" i="22"/>
  <c r="Q388" i="22" s="1"/>
  <c r="K420" i="22"/>
  <c r="K416" i="22" s="1"/>
  <c r="J159" i="3"/>
  <c r="S159" i="3" s="1"/>
  <c r="X222" i="12"/>
  <c r="Z222" i="12" s="1"/>
  <c r="H388" i="32"/>
  <c r="J388" i="32" s="1"/>
  <c r="M187" i="22"/>
  <c r="K187" i="22"/>
  <c r="H110" i="32"/>
  <c r="J110" i="32" s="1"/>
  <c r="J250" i="12"/>
  <c r="AA110" i="9"/>
  <c r="J249" i="12"/>
  <c r="J237" i="12"/>
  <c r="L237" i="12" s="1"/>
  <c r="J259" i="12"/>
  <c r="L259" i="12" s="1"/>
  <c r="J258" i="12"/>
  <c r="W258" i="12" s="1"/>
  <c r="O244" i="12"/>
  <c r="P244" i="12" s="1"/>
  <c r="J242" i="12"/>
  <c r="W242" i="12" s="1"/>
  <c r="W235" i="12"/>
  <c r="L235" i="12"/>
  <c r="H44" i="34"/>
  <c r="I44" i="34" s="1"/>
  <c r="H1675" i="18"/>
  <c r="J1675" i="18" s="1"/>
  <c r="I455" i="22"/>
  <c r="I446" i="22"/>
  <c r="S98" i="3"/>
  <c r="L98" i="3"/>
  <c r="H595" i="18"/>
  <c r="J595" i="18" s="1"/>
  <c r="P310" i="22"/>
  <c r="Q310" i="22" s="1"/>
  <c r="P72" i="22"/>
  <c r="Q72" i="22" s="1"/>
  <c r="Q70" i="22" s="1"/>
  <c r="H310" i="32"/>
  <c r="J310" i="32" s="1"/>
  <c r="J308" i="32" s="1"/>
  <c r="P684" i="22"/>
  <c r="Q684" i="22" s="1"/>
  <c r="Q683" i="22" s="1"/>
  <c r="X142" i="12"/>
  <c r="Z142" i="12" s="1"/>
  <c r="O47" i="16"/>
  <c r="M47" i="16"/>
  <c r="L234" i="12"/>
  <c r="N234" i="12"/>
  <c r="F147" i="22"/>
  <c r="I151" i="22" s="1"/>
  <c r="G88" i="12"/>
  <c r="J88" i="12" s="1"/>
  <c r="J86" i="12" s="1"/>
  <c r="G25" i="3"/>
  <c r="J25" i="3" s="1"/>
  <c r="E37" i="37"/>
  <c r="G201" i="12"/>
  <c r="J201" i="12" s="1"/>
  <c r="J199" i="12" s="1"/>
  <c r="N199" i="12" s="1"/>
  <c r="G186" i="12"/>
  <c r="J186" i="12" s="1"/>
  <c r="J184" i="12" s="1"/>
  <c r="L97" i="33"/>
  <c r="K728" i="22"/>
  <c r="I438" i="22"/>
  <c r="I390" i="22"/>
  <c r="I547" i="22"/>
  <c r="K523" i="22"/>
  <c r="K519" i="22" s="1"/>
  <c r="M469" i="22"/>
  <c r="M464" i="22" s="1"/>
  <c r="P111" i="22"/>
  <c r="Q111" i="22" s="1"/>
  <c r="P242" i="3"/>
  <c r="L244" i="3"/>
  <c r="H1565" i="18"/>
  <c r="J1565" i="18" s="1"/>
  <c r="AA108" i="9"/>
  <c r="M789" i="22"/>
  <c r="M421" i="22"/>
  <c r="P429" i="22"/>
  <c r="Q429" i="22" s="1"/>
  <c r="H429" i="32"/>
  <c r="J429" i="32" s="1"/>
  <c r="J19" i="12"/>
  <c r="W19" i="12" s="1"/>
  <c r="AA56" i="9"/>
  <c r="L238" i="12"/>
  <c r="W238" i="12"/>
  <c r="I355" i="22"/>
  <c r="I352" i="22"/>
  <c r="I350" i="22"/>
  <c r="I354" i="22"/>
  <c r="N197" i="12"/>
  <c r="W197" i="12"/>
  <c r="G254" i="12"/>
  <c r="J254" i="12" s="1"/>
  <c r="W254" i="12" s="1"/>
  <c r="I19" i="22"/>
  <c r="I16" i="22"/>
  <c r="S242" i="3"/>
  <c r="N242" i="3"/>
  <c r="I381" i="22"/>
  <c r="I384" i="22"/>
  <c r="I388" i="22"/>
  <c r="I372" i="22"/>
  <c r="I368" i="22"/>
  <c r="I108" i="22"/>
  <c r="I112" i="22"/>
  <c r="K231" i="3"/>
  <c r="O231" i="3" s="1"/>
  <c r="K121" i="22"/>
  <c r="K114" i="22" s="1"/>
  <c r="P428" i="22"/>
  <c r="Q428" i="22" s="1"/>
  <c r="G90" i="20"/>
  <c r="H90" i="20" s="1"/>
  <c r="H428" i="32"/>
  <c r="J428" i="32" s="1"/>
  <c r="K253" i="12"/>
  <c r="L253" i="12" s="1"/>
  <c r="K146" i="22"/>
  <c r="K140" i="22" s="1"/>
  <c r="H1181" i="18"/>
  <c r="J1181" i="18" s="1"/>
  <c r="H58" i="34"/>
  <c r="I58" i="34" s="1"/>
  <c r="H754" i="32"/>
  <c r="J754" i="32" s="1"/>
  <c r="P747" i="22"/>
  <c r="Q747" i="22" s="1"/>
  <c r="X173" i="3"/>
  <c r="Z173" i="3" s="1"/>
  <c r="H50" i="34"/>
  <c r="I50" i="34" s="1"/>
  <c r="H581" i="32"/>
  <c r="J581" i="32" s="1"/>
  <c r="P581" i="22"/>
  <c r="Q581" i="22" s="1"/>
  <c r="H1548" i="18"/>
  <c r="J1548" i="18" s="1"/>
  <c r="K6" i="15"/>
  <c r="O6" i="15"/>
  <c r="H183" i="32"/>
  <c r="J183" i="32" s="1"/>
  <c r="G68" i="20"/>
  <c r="H68" i="20" s="1"/>
  <c r="P183" i="22"/>
  <c r="Q183" i="22" s="1"/>
  <c r="P126" i="22"/>
  <c r="Q126" i="22" s="1"/>
  <c r="R245" i="3"/>
  <c r="O245" i="3"/>
  <c r="F281" i="22"/>
  <c r="R82" i="1"/>
  <c r="E50" i="37"/>
  <c r="G164" i="12"/>
  <c r="J164" i="12" s="1"/>
  <c r="S82" i="1"/>
  <c r="H441" i="32"/>
  <c r="J441" i="32" s="1"/>
  <c r="H239" i="32"/>
  <c r="J239" i="32" s="1"/>
  <c r="M226" i="12"/>
  <c r="M251" i="22"/>
  <c r="M248" i="22" s="1"/>
  <c r="M97" i="33"/>
  <c r="L18" i="33"/>
  <c r="M761" i="22"/>
  <c r="M758" i="22" s="1"/>
  <c r="M724" i="22"/>
  <c r="K701" i="22"/>
  <c r="K598" i="22"/>
  <c r="K593" i="22" s="1"/>
  <c r="K100" i="33"/>
  <c r="I387" i="22"/>
  <c r="I366" i="22"/>
  <c r="I168" i="22"/>
  <c r="I161" i="22"/>
  <c r="I111" i="22"/>
  <c r="G83" i="20"/>
  <c r="H83" i="20" s="1"/>
  <c r="H268" i="32"/>
  <c r="J268" i="32" s="1"/>
  <c r="X194" i="12"/>
  <c r="Z194" i="12" s="1"/>
  <c r="P244" i="3"/>
  <c r="L242" i="3"/>
  <c r="P806" i="22"/>
  <c r="Q806" i="22" s="1"/>
  <c r="P740" i="22"/>
  <c r="Q740" i="22" s="1"/>
  <c r="H54" i="34"/>
  <c r="I54" i="34" s="1"/>
  <c r="N98" i="3"/>
  <c r="M6" i="15"/>
  <c r="K47" i="16"/>
  <c r="I310" i="22"/>
  <c r="I307" i="22"/>
  <c r="E51" i="36"/>
  <c r="I558" i="22"/>
  <c r="I563" i="22"/>
  <c r="J257" i="12"/>
  <c r="W257" i="12" s="1"/>
  <c r="G49" i="9"/>
  <c r="J49" i="9" s="1"/>
  <c r="J47" i="9" s="1"/>
  <c r="AA47" i="9" s="1"/>
  <c r="E38" i="36"/>
  <c r="I13" i="22"/>
  <c r="I10" i="22"/>
  <c r="I12" i="22"/>
  <c r="J233" i="3"/>
  <c r="L233" i="3" s="1"/>
  <c r="G163" i="3"/>
  <c r="J163" i="3" s="1"/>
  <c r="S135" i="1"/>
  <c r="N18" i="33"/>
  <c r="M561" i="22"/>
  <c r="K526" i="22"/>
  <c r="K314" i="22"/>
  <c r="N61" i="33"/>
  <c r="P197" i="12"/>
  <c r="P98" i="3"/>
  <c r="K284" i="22"/>
  <c r="J247" i="12"/>
  <c r="S247" i="12" s="1"/>
  <c r="J248" i="12"/>
  <c r="L248" i="12" s="1"/>
  <c r="M278" i="22"/>
  <c r="O255" i="12"/>
  <c r="K566" i="22"/>
  <c r="K410" i="22"/>
  <c r="M398" i="22"/>
  <c r="K211" i="22"/>
  <c r="K109" i="22"/>
  <c r="K130" i="22"/>
  <c r="P238" i="12"/>
  <c r="K296" i="22"/>
  <c r="M11" i="22"/>
  <c r="K41" i="22"/>
  <c r="K11" i="22"/>
  <c r="N46" i="33"/>
  <c r="M17" i="22"/>
  <c r="P9" i="10"/>
  <c r="Q9" i="10" s="1"/>
  <c r="J234" i="3"/>
  <c r="W234" i="3" s="1"/>
  <c r="J243" i="12"/>
  <c r="L243" i="12" s="1"/>
  <c r="T53" i="1"/>
  <c r="M751" i="22"/>
  <c r="J73" i="3"/>
  <c r="P73" i="3" s="1"/>
  <c r="J13" i="14"/>
  <c r="O6" i="11" s="1"/>
  <c r="H698" i="32" s="1"/>
  <c r="AA10" i="9"/>
  <c r="L241" i="12"/>
  <c r="J199" i="3"/>
  <c r="S199" i="3" s="1"/>
  <c r="AA51" i="9"/>
  <c r="M90" i="22"/>
  <c r="M84" i="22" s="1"/>
  <c r="H21" i="34"/>
  <c r="I21" i="34" s="1"/>
  <c r="H12" i="34"/>
  <c r="I12" i="34" s="1"/>
  <c r="H677" i="32"/>
  <c r="J677" i="32" s="1"/>
  <c r="H498" i="32"/>
  <c r="J498" i="32" s="1"/>
  <c r="H376" i="32"/>
  <c r="J376" i="32" s="1"/>
  <c r="P794" i="22"/>
  <c r="Q794" i="22" s="1"/>
  <c r="P531" i="22"/>
  <c r="Q531" i="22" s="1"/>
  <c r="P417" i="22"/>
  <c r="Q417" i="22" s="1"/>
  <c r="H1654" i="18"/>
  <c r="J1654" i="18" s="1"/>
  <c r="H1633" i="18"/>
  <c r="J1633" i="18" s="1"/>
  <c r="H7" i="34"/>
  <c r="I7" i="34" s="1"/>
  <c r="H806" i="32"/>
  <c r="J806" i="32" s="1"/>
  <c r="H637" i="32"/>
  <c r="J637" i="32" s="1"/>
  <c r="H478" i="32"/>
  <c r="J478" i="32" s="1"/>
  <c r="H172" i="32"/>
  <c r="J172" i="32" s="1"/>
  <c r="P782" i="22"/>
  <c r="Q782" i="22" s="1"/>
  <c r="P498" i="22"/>
  <c r="Q498" i="22" s="1"/>
  <c r="P172" i="22"/>
  <c r="Q172" i="22" s="1"/>
  <c r="H1612" i="18"/>
  <c r="J1612" i="18" s="1"/>
  <c r="H39" i="34"/>
  <c r="I39" i="34" s="1"/>
  <c r="H60" i="34"/>
  <c r="I60" i="34" s="1"/>
  <c r="H794" i="32"/>
  <c r="J794" i="32" s="1"/>
  <c r="H822" i="32"/>
  <c r="J822" i="32" s="1"/>
  <c r="H465" i="32"/>
  <c r="H115" i="32"/>
  <c r="J115" i="32" s="1"/>
  <c r="P677" i="22"/>
  <c r="Q677" i="22" s="1"/>
  <c r="P488" i="22"/>
  <c r="Q488" i="22" s="1"/>
  <c r="P115" i="22"/>
  <c r="Q115" i="22" s="1"/>
  <c r="X178" i="3"/>
  <c r="Z178" i="3" s="1"/>
  <c r="M32" i="5"/>
  <c r="O32" i="5" s="1"/>
  <c r="P32" i="5" s="1"/>
  <c r="AL32" i="5" s="1"/>
  <c r="O31" i="5"/>
  <c r="H1223" i="18"/>
  <c r="J1223" i="18" s="1"/>
  <c r="H603" i="32"/>
  <c r="J603" i="32" s="1"/>
  <c r="P831" i="22"/>
  <c r="Q831" i="22" s="1"/>
  <c r="H184" i="32"/>
  <c r="J184" i="32" s="1"/>
  <c r="P474" i="22"/>
  <c r="Q474" i="22" s="1"/>
  <c r="X36" i="12"/>
  <c r="Z36" i="12" s="1"/>
  <c r="H803" i="32"/>
  <c r="J803" i="32" s="1"/>
  <c r="J801" i="32" s="1"/>
  <c r="J119" i="33" s="1"/>
  <c r="O119" i="33" s="1"/>
  <c r="H831" i="32"/>
  <c r="J831" i="32" s="1"/>
  <c r="P803" i="22"/>
  <c r="Q803" i="22" s="1"/>
  <c r="Q801" i="22" s="1"/>
  <c r="H127" i="32"/>
  <c r="J127" i="32" s="1"/>
  <c r="P184" i="22"/>
  <c r="Q184" i="22" s="1"/>
  <c r="G70" i="20"/>
  <c r="H70" i="20" s="1"/>
  <c r="H791" i="32"/>
  <c r="J791" i="32" s="1"/>
  <c r="H507" i="32"/>
  <c r="J507" i="32" s="1"/>
  <c r="P791" i="22"/>
  <c r="Q791" i="22" s="1"/>
  <c r="Q789" i="22" s="1"/>
  <c r="P603" i="22"/>
  <c r="Q603" i="22" s="1"/>
  <c r="P127" i="22"/>
  <c r="Q127" i="22" s="1"/>
  <c r="M217" i="3"/>
  <c r="R217" i="3" s="1"/>
  <c r="S217" i="3" s="1"/>
  <c r="M208" i="22"/>
  <c r="M205" i="22" s="1"/>
  <c r="R227" i="12"/>
  <c r="S227" i="12" s="1"/>
  <c r="O227" i="12"/>
  <c r="P227" i="12" s="1"/>
  <c r="M728" i="22"/>
  <c r="M706" i="22"/>
  <c r="H125" i="32"/>
  <c r="H779" i="32"/>
  <c r="J779" i="32" s="1"/>
  <c r="H1710" i="18"/>
  <c r="J1710" i="18" s="1"/>
  <c r="H417" i="32"/>
  <c r="J417" i="32" s="1"/>
  <c r="H25" i="34"/>
  <c r="I25" i="34" s="1"/>
  <c r="M209" i="3"/>
  <c r="O209" i="3" s="1"/>
  <c r="P209" i="3" s="1"/>
  <c r="M491" i="22"/>
  <c r="M487" i="22" s="1"/>
  <c r="X217" i="12"/>
  <c r="Z217" i="12" s="1"/>
  <c r="AA217" i="12" s="1"/>
  <c r="G95" i="20"/>
  <c r="H95" i="20" s="1"/>
  <c r="H96" i="32"/>
  <c r="J96" i="32" s="1"/>
  <c r="H298" i="32"/>
  <c r="J298" i="32" s="1"/>
  <c r="H43" i="32"/>
  <c r="J43" i="32" s="1"/>
  <c r="P304" i="22"/>
  <c r="Q304" i="22" s="1"/>
  <c r="P105" i="22"/>
  <c r="Q105" i="22" s="1"/>
  <c r="G84" i="20"/>
  <c r="H84" i="20" s="1"/>
  <c r="P43" i="22"/>
  <c r="Q43" i="22" s="1"/>
  <c r="H340" i="32"/>
  <c r="H25" i="32"/>
  <c r="J25" i="32" s="1"/>
  <c r="H111" i="32"/>
  <c r="J111" i="32" s="1"/>
  <c r="P340" i="22"/>
  <c r="Q340" i="22" s="1"/>
  <c r="P286" i="22"/>
  <c r="Q286" i="22" s="1"/>
  <c r="H675" i="18"/>
  <c r="J675" i="18" s="1"/>
  <c r="P13" i="22"/>
  <c r="Q13" i="22" s="1"/>
  <c r="Q11" i="22" s="1"/>
  <c r="P37" i="22"/>
  <c r="Q37" i="22" s="1"/>
  <c r="H304" i="32"/>
  <c r="J304" i="32" s="1"/>
  <c r="H13" i="32"/>
  <c r="J13" i="32" s="1"/>
  <c r="H105" i="32"/>
  <c r="J105" i="32" s="1"/>
  <c r="P589" i="22"/>
  <c r="Q589" i="22" s="1"/>
  <c r="P280" i="22"/>
  <c r="Q280" i="22" s="1"/>
  <c r="K40" i="15"/>
  <c r="O40" i="15"/>
  <c r="H508" i="32"/>
  <c r="J508" i="32" s="1"/>
  <c r="P832" i="22"/>
  <c r="Q832" i="22" s="1"/>
  <c r="X19" i="12"/>
  <c r="Z19" i="12" s="1"/>
  <c r="P508" i="22"/>
  <c r="Q508" i="22" s="1"/>
  <c r="P10" i="10"/>
  <c r="Q10" i="10" s="1"/>
  <c r="P880" i="22"/>
  <c r="Q880" i="22" s="1"/>
  <c r="G77" i="20"/>
  <c r="H77" i="20" s="1"/>
  <c r="H650" i="32"/>
  <c r="J650" i="32" s="1"/>
  <c r="L12" i="3"/>
  <c r="S12" i="3"/>
  <c r="P643" i="22"/>
  <c r="Q643" i="22" s="1"/>
  <c r="H684" i="32"/>
  <c r="J684" i="32" s="1"/>
  <c r="J683" i="32" s="1"/>
  <c r="J104" i="33" s="1"/>
  <c r="O104" i="33" s="1"/>
  <c r="H643" i="32"/>
  <c r="J643" i="32" s="1"/>
  <c r="I450" i="22"/>
  <c r="I447" i="22"/>
  <c r="I454" i="22"/>
  <c r="I445" i="22"/>
  <c r="I452" i="22"/>
  <c r="N97" i="5"/>
  <c r="O97" i="5" s="1"/>
  <c r="P97" i="5" s="1"/>
  <c r="S221" i="3"/>
  <c r="N221" i="3"/>
  <c r="R89" i="1"/>
  <c r="F299" i="22"/>
  <c r="G68" i="12"/>
  <c r="J68" i="12" s="1"/>
  <c r="J50" i="12" s="1"/>
  <c r="S89" i="1"/>
  <c r="E54" i="36"/>
  <c r="F52" i="19"/>
  <c r="E53" i="37"/>
  <c r="G167" i="12"/>
  <c r="J167" i="12" s="1"/>
  <c r="J147" i="12" s="1"/>
  <c r="M253" i="12"/>
  <c r="N253" i="12" s="1"/>
  <c r="M146" i="22"/>
  <c r="M140" i="22" s="1"/>
  <c r="K166" i="22"/>
  <c r="P18" i="3"/>
  <c r="P507" i="22"/>
  <c r="Q507" i="22" s="1"/>
  <c r="W221" i="3"/>
  <c r="P478" i="22"/>
  <c r="Q478" i="22" s="1"/>
  <c r="H531" i="32"/>
  <c r="P391" i="22"/>
  <c r="Q391" i="22" s="1"/>
  <c r="H432" i="32"/>
  <c r="J432" i="32" s="1"/>
  <c r="X127" i="12"/>
  <c r="Z127" i="12" s="1"/>
  <c r="G81" i="20"/>
  <c r="H81" i="20" s="1"/>
  <c r="H391" i="32"/>
  <c r="J391" i="32" s="1"/>
  <c r="H649" i="32"/>
  <c r="J649" i="32" s="1"/>
  <c r="H879" i="32"/>
  <c r="J879" i="32" s="1"/>
  <c r="P649" i="22"/>
  <c r="Q649" i="22" s="1"/>
  <c r="Q648" i="22" s="1"/>
  <c r="G63" i="20"/>
  <c r="P879" i="22"/>
  <c r="Q879" i="22" s="1"/>
  <c r="G26" i="9"/>
  <c r="J26" i="9" s="1"/>
  <c r="AA26" i="9" s="1"/>
  <c r="H814" i="32"/>
  <c r="J814" i="32" s="1"/>
  <c r="J813" i="32" s="1"/>
  <c r="J120" i="33" s="1"/>
  <c r="O120" i="33" s="1"/>
  <c r="H602" i="32"/>
  <c r="J602" i="32" s="1"/>
  <c r="H473" i="32"/>
  <c r="J473" i="32" s="1"/>
  <c r="J472" i="32" s="1"/>
  <c r="J73" i="33" s="1"/>
  <c r="O73" i="33" s="1"/>
  <c r="P790" i="22"/>
  <c r="Q790" i="22" s="1"/>
  <c r="P602" i="22"/>
  <c r="Q602" i="22" s="1"/>
  <c r="P539" i="22"/>
  <c r="Q539" i="22" s="1"/>
  <c r="Q538" i="22" s="1"/>
  <c r="P125" i="22"/>
  <c r="Q125" i="22" s="1"/>
  <c r="H802" i="32"/>
  <c r="J802" i="32" s="1"/>
  <c r="H830" i="32"/>
  <c r="J830" i="32" s="1"/>
  <c r="P830" i="22"/>
  <c r="P778" i="22"/>
  <c r="Q778" i="22" s="1"/>
  <c r="P506" i="22"/>
  <c r="Q506" i="22" s="1"/>
  <c r="H790" i="32"/>
  <c r="J790" i="32" s="1"/>
  <c r="H539" i="32"/>
  <c r="J539" i="32" s="1"/>
  <c r="J538" i="32" s="1"/>
  <c r="J79" i="33" s="1"/>
  <c r="O79" i="33" s="1"/>
  <c r="P814" i="22"/>
  <c r="Q814" i="22" s="1"/>
  <c r="Q813" i="22" s="1"/>
  <c r="H182" i="32"/>
  <c r="P473" i="22"/>
  <c r="Q473" i="22" s="1"/>
  <c r="Q472" i="22" s="1"/>
  <c r="G82" i="20"/>
  <c r="H82" i="20" s="1"/>
  <c r="N63" i="5"/>
  <c r="O63" i="5" s="1"/>
  <c r="P63" i="5" s="1"/>
  <c r="O62" i="5"/>
  <c r="P62" i="5" s="1"/>
  <c r="M245" i="12"/>
  <c r="R245" i="12" s="1"/>
  <c r="S245" i="12" s="1"/>
  <c r="M442" i="22"/>
  <c r="R241" i="12"/>
  <c r="S241" i="12" s="1"/>
  <c r="O241" i="12"/>
  <c r="P241" i="12" s="1"/>
  <c r="K97" i="22"/>
  <c r="K94" i="22" s="1"/>
  <c r="K249" i="12"/>
  <c r="M833" i="22"/>
  <c r="M829" i="22" s="1"/>
  <c r="M719" i="22"/>
  <c r="I453" i="22"/>
  <c r="I448" i="22"/>
  <c r="H506" i="32"/>
  <c r="J506" i="32" s="1"/>
  <c r="P779" i="22"/>
  <c r="Q779" i="22" s="1"/>
  <c r="P637" i="22"/>
  <c r="Q637" i="22" s="1"/>
  <c r="H770" i="32"/>
  <c r="J770" i="32" s="1"/>
  <c r="M237" i="3"/>
  <c r="M420" i="22"/>
  <c r="L241" i="3"/>
  <c r="W241" i="3"/>
  <c r="S213" i="3"/>
  <c r="N213" i="3"/>
  <c r="L213" i="3"/>
  <c r="L247" i="12"/>
  <c r="F51" i="33"/>
  <c r="K398" i="22"/>
  <c r="K222" i="22"/>
  <c r="K53" i="22"/>
  <c r="K103" i="22"/>
  <c r="M23" i="22"/>
  <c r="N227" i="12"/>
  <c r="J219" i="12"/>
  <c r="W219" i="12" s="1"/>
  <c r="N65" i="33"/>
  <c r="AA54" i="9"/>
  <c r="N62" i="33"/>
  <c r="AA35" i="9"/>
  <c r="N217" i="3"/>
  <c r="AA13" i="9"/>
  <c r="M777" i="22"/>
  <c r="K308" i="22"/>
  <c r="M835" i="22"/>
  <c r="T82" i="1"/>
  <c r="J160" i="14"/>
  <c r="O24" i="11" s="1"/>
  <c r="U33" i="2"/>
  <c r="V33" i="2" s="1"/>
  <c r="H679" i="32" s="1"/>
  <c r="J679" i="32" s="1"/>
  <c r="K359" i="22"/>
  <c r="K290" i="22"/>
  <c r="AA59" i="9"/>
  <c r="J194" i="12"/>
  <c r="AA194" i="12" s="1"/>
  <c r="J256" i="12"/>
  <c r="W256" i="12" s="1"/>
  <c r="P13" i="10"/>
  <c r="Q13" i="10" s="1"/>
  <c r="K476" i="22"/>
  <c r="P213" i="3"/>
  <c r="P36" i="3"/>
  <c r="P12" i="3"/>
  <c r="M41" i="22"/>
  <c r="J42" i="9"/>
  <c r="S42" i="9" s="1"/>
  <c r="T89" i="1"/>
  <c r="AA14" i="9"/>
  <c r="J255" i="12"/>
  <c r="W255" i="12" s="1"/>
  <c r="X22" i="12"/>
  <c r="Z22" i="12" s="1"/>
  <c r="AA22" i="12" s="1"/>
  <c r="P259" i="22"/>
  <c r="P260" i="22" s="1"/>
  <c r="O252" i="12"/>
  <c r="N50" i="33"/>
  <c r="AA104" i="9"/>
  <c r="J380" i="32"/>
  <c r="I63" i="33" s="1"/>
  <c r="N63" i="33" s="1"/>
  <c r="J83" i="3"/>
  <c r="L83" i="3" s="1"/>
  <c r="N100" i="5"/>
  <c r="N101" i="5" s="1"/>
  <c r="O101" i="5" s="1"/>
  <c r="I849" i="22"/>
  <c r="P90" i="3"/>
  <c r="AA111" i="9"/>
  <c r="J222" i="12"/>
  <c r="Y222" i="12" s="1"/>
  <c r="N123" i="33"/>
  <c r="I851" i="22"/>
  <c r="I542" i="22"/>
  <c r="J30" i="3"/>
  <c r="S30" i="3" s="1"/>
  <c r="I846" i="22"/>
  <c r="I847" i="22"/>
  <c r="K502" i="22"/>
  <c r="K497" i="22" s="1"/>
  <c r="L90" i="3"/>
  <c r="P6" i="3"/>
  <c r="N90" i="3"/>
  <c r="N48" i="33"/>
  <c r="N35" i="33"/>
  <c r="O235" i="3"/>
  <c r="S235" i="12"/>
  <c r="J873" i="18"/>
  <c r="P118" i="1" s="1"/>
  <c r="T118" i="1" s="1"/>
  <c r="L251" i="12"/>
  <c r="I845" i="22"/>
  <c r="J9" i="12"/>
  <c r="J142" i="12"/>
  <c r="W142" i="12" s="1"/>
  <c r="K554" i="22"/>
  <c r="K758" i="22"/>
  <c r="W242" i="3"/>
  <c r="J252" i="12"/>
  <c r="W252" i="12" s="1"/>
  <c r="L6" i="3"/>
  <c r="O259" i="12"/>
  <c r="P259" i="12" s="1"/>
  <c r="L11" i="33"/>
  <c r="K491" i="22"/>
  <c r="K487" i="22" s="1"/>
  <c r="O212" i="3"/>
  <c r="N6" i="3"/>
  <c r="K278" i="22"/>
  <c r="J107" i="3"/>
  <c r="L107" i="3" s="1"/>
  <c r="AA107" i="9"/>
  <c r="M70" i="22"/>
  <c r="I844" i="22"/>
  <c r="L50" i="33"/>
  <c r="W234" i="12"/>
  <c r="K272" i="22"/>
  <c r="N81" i="33"/>
  <c r="AA23" i="9"/>
  <c r="S234" i="12"/>
  <c r="H1757" i="18"/>
  <c r="J1757" i="18" s="1"/>
  <c r="H1758" i="18" s="1"/>
  <c r="J1758" i="18" s="1"/>
  <c r="J1756" i="18" s="1"/>
  <c r="Q200" i="1" s="1"/>
  <c r="U200" i="1" s="1"/>
  <c r="H363" i="18"/>
  <c r="J363" i="18" s="1"/>
  <c r="H364" i="18" s="1"/>
  <c r="J364" i="18" s="1"/>
  <c r="J362" i="18" s="1"/>
  <c r="Q56" i="1" s="1"/>
  <c r="U56" i="1" s="1"/>
  <c r="H862" i="32"/>
  <c r="H212" i="32"/>
  <c r="J212" i="32" s="1"/>
  <c r="H167" i="32"/>
  <c r="H168" i="32" s="1"/>
  <c r="J168" i="32" s="1"/>
  <c r="P167" i="22"/>
  <c r="H155" i="32"/>
  <c r="J155" i="32" s="1"/>
  <c r="P143" i="22"/>
  <c r="Q143" i="22" s="1"/>
  <c r="H143" i="32"/>
  <c r="J143" i="32" s="1"/>
  <c r="P87" i="22"/>
  <c r="Q87" i="22" s="1"/>
  <c r="P200" i="22"/>
  <c r="Q200" i="22" s="1"/>
  <c r="H87" i="32"/>
  <c r="J87" i="32" s="1"/>
  <c r="H390" i="32"/>
  <c r="J390" i="32" s="1"/>
  <c r="P331" i="22"/>
  <c r="Q331" i="22" s="1"/>
  <c r="H370" i="32"/>
  <c r="J370" i="32" s="1"/>
  <c r="P431" i="22"/>
  <c r="Q431" i="22" s="1"/>
  <c r="X199" i="12"/>
  <c r="Z199" i="12" s="1"/>
  <c r="P370" i="22"/>
  <c r="Q370" i="22" s="1"/>
  <c r="P352" i="22"/>
  <c r="Q352" i="22" s="1"/>
  <c r="X197" i="12"/>
  <c r="Z197" i="12" s="1"/>
  <c r="AA197" i="12" s="1"/>
  <c r="H431" i="32"/>
  <c r="J431" i="32" s="1"/>
  <c r="P390" i="22"/>
  <c r="Q390" i="22" s="1"/>
  <c r="H352" i="32"/>
  <c r="J352" i="32" s="1"/>
  <c r="H200" i="32"/>
  <c r="J200" i="32" s="1"/>
  <c r="P155" i="22"/>
  <c r="Q155" i="22" s="1"/>
  <c r="H331" i="32"/>
  <c r="J331" i="32" s="1"/>
  <c r="G79" i="20"/>
  <c r="H79" i="20" s="1"/>
  <c r="H453" i="32"/>
  <c r="J453" i="32" s="1"/>
  <c r="H440" i="32"/>
  <c r="J440" i="32" s="1"/>
  <c r="H399" i="32"/>
  <c r="J399" i="32" s="1"/>
  <c r="P453" i="22"/>
  <c r="Q453" i="22" s="1"/>
  <c r="P399" i="22"/>
  <c r="Q399" i="22" s="1"/>
  <c r="K97" i="33"/>
  <c r="N97" i="33"/>
  <c r="S171" i="3"/>
  <c r="N171" i="3"/>
  <c r="L171" i="3"/>
  <c r="H427" i="32"/>
  <c r="J427" i="32" s="1"/>
  <c r="H386" i="32"/>
  <c r="J386" i="32" s="1"/>
  <c r="P427" i="22"/>
  <c r="Q427" i="22" s="1"/>
  <c r="P386" i="22"/>
  <c r="Q386" i="22" s="1"/>
  <c r="G93" i="20"/>
  <c r="H93" i="20" s="1"/>
  <c r="X211" i="12"/>
  <c r="Z211" i="12" s="1"/>
  <c r="AA211" i="12" s="1"/>
  <c r="O23" i="33"/>
  <c r="L23" i="33"/>
  <c r="M234" i="22"/>
  <c r="M227" i="22" s="1"/>
  <c r="G78" i="20"/>
  <c r="H78" i="20" s="1"/>
  <c r="H880" i="32"/>
  <c r="J880" i="32" s="1"/>
  <c r="J878" i="32" s="1"/>
  <c r="P71" i="22"/>
  <c r="Q71" i="22" s="1"/>
  <c r="K90" i="22"/>
  <c r="K84" i="22" s="1"/>
  <c r="H224" i="32"/>
  <c r="J224" i="32" s="1"/>
  <c r="P285" i="22"/>
  <c r="Q285" i="22" s="1"/>
  <c r="Q284" i="22" s="1"/>
  <c r="H104" i="32"/>
  <c r="J104" i="32" s="1"/>
  <c r="H48" i="32"/>
  <c r="J48" i="32" s="1"/>
  <c r="L239" i="3"/>
  <c r="N205" i="3"/>
  <c r="K590" i="22"/>
  <c r="K587" i="22" s="1"/>
  <c r="AA22" i="9"/>
  <c r="AA12" i="9"/>
  <c r="N211" i="12"/>
  <c r="L49" i="33"/>
  <c r="J667" i="32"/>
  <c r="J645" i="32"/>
  <c r="I291" i="22"/>
  <c r="P95" i="22"/>
  <c r="Q95" i="22" s="1"/>
  <c r="P65" i="22"/>
  <c r="Q65" i="22" s="1"/>
  <c r="P239" i="3"/>
  <c r="P303" i="22"/>
  <c r="Q303" i="22" s="1"/>
  <c r="H285" i="32"/>
  <c r="J285" i="32" s="1"/>
  <c r="H291" i="32"/>
  <c r="J291" i="32" s="1"/>
  <c r="J290" i="32" s="1"/>
  <c r="L243" i="3"/>
  <c r="L238" i="3"/>
  <c r="N227" i="3"/>
  <c r="M64" i="22"/>
  <c r="M6" i="16"/>
  <c r="AA19" i="9"/>
  <c r="AA48" i="9"/>
  <c r="N56" i="33"/>
  <c r="G246" i="12"/>
  <c r="J246" i="12" s="1"/>
  <c r="P246" i="12" s="1"/>
  <c r="P64" i="5"/>
  <c r="AA8" i="9"/>
  <c r="J91" i="32"/>
  <c r="I440" i="22"/>
  <c r="M253" i="22"/>
  <c r="P238" i="3"/>
  <c r="P309" i="22"/>
  <c r="Q309" i="22" s="1"/>
  <c r="H297" i="32"/>
  <c r="J297" i="32" s="1"/>
  <c r="H303" i="32"/>
  <c r="J303" i="32" s="1"/>
  <c r="N243" i="3"/>
  <c r="N238" i="3"/>
  <c r="W231" i="12"/>
  <c r="L182" i="12"/>
  <c r="AA43" i="9"/>
  <c r="M621" i="22"/>
  <c r="M53" i="22"/>
  <c r="O6" i="16"/>
  <c r="AA33" i="9"/>
  <c r="AA16" i="9"/>
  <c r="AA15" i="9"/>
  <c r="N65" i="5"/>
  <c r="N66" i="5" s="1"/>
  <c r="O66" i="5" s="1"/>
  <c r="K379" i="22"/>
  <c r="K375" i="22" s="1"/>
  <c r="K236" i="3"/>
  <c r="L236" i="3" s="1"/>
  <c r="I297" i="22"/>
  <c r="K765" i="22"/>
  <c r="I413" i="22"/>
  <c r="M572" i="22"/>
  <c r="X107" i="12"/>
  <c r="Z107" i="12" s="1"/>
  <c r="P205" i="3"/>
  <c r="P42" i="22"/>
  <c r="Q42" i="22" s="1"/>
  <c r="P24" i="22"/>
  <c r="Q24" i="22" s="1"/>
  <c r="P224" i="22"/>
  <c r="Q224" i="22" s="1"/>
  <c r="P315" i="22"/>
  <c r="Q315" i="22" s="1"/>
  <c r="H309" i="32"/>
  <c r="J309" i="32" s="1"/>
  <c r="H632" i="32"/>
  <c r="J632" i="32" s="1"/>
  <c r="J631" i="32" s="1"/>
  <c r="J94" i="33" s="1"/>
  <c r="O94" i="33" s="1"/>
  <c r="N238" i="12"/>
  <c r="L231" i="12"/>
  <c r="N182" i="12"/>
  <c r="L36" i="3"/>
  <c r="M359" i="22"/>
  <c r="M302" i="22"/>
  <c r="J216" i="3"/>
  <c r="W216" i="3" s="1"/>
  <c r="H250" i="32"/>
  <c r="J250" i="32" s="1"/>
  <c r="O235" i="12"/>
  <c r="P235" i="12" s="1"/>
  <c r="P250" i="22"/>
  <c r="Q250" i="22" s="1"/>
  <c r="P360" i="22"/>
  <c r="Q360" i="22" s="1"/>
  <c r="H315" i="32"/>
  <c r="J315" i="32" s="1"/>
  <c r="AA40" i="9"/>
  <c r="N231" i="12"/>
  <c r="S182" i="12"/>
  <c r="N36" i="3"/>
  <c r="L209" i="3"/>
  <c r="M35" i="22"/>
  <c r="AA31" i="9"/>
  <c r="AA21" i="9"/>
  <c r="AA20" i="9"/>
  <c r="K835" i="22"/>
  <c r="K458" i="22"/>
  <c r="L80" i="33"/>
  <c r="I412" i="22"/>
  <c r="K858" i="22"/>
  <c r="K854" i="22" s="1"/>
  <c r="N80" i="33"/>
  <c r="I436" i="22"/>
  <c r="I42" i="22"/>
  <c r="O234" i="12"/>
  <c r="P234" i="12" s="1"/>
  <c r="X50" i="12"/>
  <c r="Z50" i="12" s="1"/>
  <c r="P400" i="22"/>
  <c r="Q400" i="22" s="1"/>
  <c r="P104" i="22"/>
  <c r="Q104" i="22" s="1"/>
  <c r="H18" i="32"/>
  <c r="J18" i="32" s="1"/>
  <c r="H360" i="32"/>
  <c r="J360" i="32" s="1"/>
  <c r="L95" i="12"/>
  <c r="AA36" i="9"/>
  <c r="S134" i="3"/>
  <c r="O37" i="11"/>
  <c r="N25" i="5"/>
  <c r="AA17" i="9"/>
  <c r="AA37" i="9"/>
  <c r="H389" i="18"/>
  <c r="J389" i="18" s="1"/>
  <c r="M850" i="22"/>
  <c r="P95" i="12"/>
  <c r="I40" i="22"/>
  <c r="P18" i="22"/>
  <c r="Q18" i="22" s="1"/>
  <c r="P231" i="12"/>
  <c r="P182" i="12"/>
  <c r="P239" i="22"/>
  <c r="Q239" i="22" s="1"/>
  <c r="P110" i="22"/>
  <c r="Q110" i="22" s="1"/>
  <c r="H42" i="32"/>
  <c r="J42" i="32" s="1"/>
  <c r="P632" i="22"/>
  <c r="Q632" i="22" s="1"/>
  <c r="Q631" i="22" s="1"/>
  <c r="N95" i="12"/>
  <c r="W209" i="3"/>
  <c r="P228" i="3"/>
  <c r="J306" i="14"/>
  <c r="O43" i="11" s="1"/>
  <c r="G96" i="20" s="1"/>
  <c r="H96" i="20" s="1"/>
  <c r="M35" i="33"/>
  <c r="N11" i="33"/>
  <c r="K392" i="22"/>
  <c r="K383" i="22" s="1"/>
  <c r="K208" i="22"/>
  <c r="K205" i="22" s="1"/>
  <c r="P441" i="22"/>
  <c r="Q441" i="22" s="1"/>
  <c r="P267" i="22"/>
  <c r="Q267" i="22" s="1"/>
  <c r="Q266" i="22" s="1"/>
  <c r="H54" i="32"/>
  <c r="J54" i="32" s="1"/>
  <c r="H12" i="32"/>
  <c r="J12" i="32" s="1"/>
  <c r="J11" i="32" s="1"/>
  <c r="S95" i="12"/>
  <c r="AA30" i="9"/>
  <c r="W227" i="12"/>
  <c r="AA74" i="9"/>
  <c r="AA18" i="9"/>
  <c r="P11" i="10"/>
  <c r="Q11" i="10" s="1"/>
  <c r="AA34" i="9"/>
  <c r="K35" i="22"/>
  <c r="K70" i="22"/>
  <c r="P36" i="22"/>
  <c r="Q36" i="22" s="1"/>
  <c r="H400" i="32"/>
  <c r="J400" i="32" s="1"/>
  <c r="P273" i="22"/>
  <c r="Q273" i="22" s="1"/>
  <c r="H65" i="32"/>
  <c r="J65" i="32" s="1"/>
  <c r="H24" i="32"/>
  <c r="J24" i="32" s="1"/>
  <c r="AA29" i="9"/>
  <c r="L227" i="12"/>
  <c r="J242" i="14"/>
  <c r="O35" i="11" s="1"/>
  <c r="AA25" i="9"/>
  <c r="I295" i="22"/>
  <c r="P54" i="22"/>
  <c r="Q54" i="22" s="1"/>
  <c r="P279" i="22"/>
  <c r="Q279" i="22" s="1"/>
  <c r="Q278" i="22" s="1"/>
  <c r="H71" i="32"/>
  <c r="J71" i="32" s="1"/>
  <c r="W239" i="3"/>
  <c r="N235" i="12"/>
  <c r="O96" i="5"/>
  <c r="P96" i="5" s="1"/>
  <c r="O23" i="5"/>
  <c r="P23" i="5" s="1"/>
  <c r="M103" i="22"/>
  <c r="K29" i="22"/>
  <c r="J69" i="3"/>
  <c r="L69" i="3" s="1"/>
  <c r="J61" i="3"/>
  <c r="J79" i="3"/>
  <c r="L79" i="3" s="1"/>
  <c r="S45" i="1"/>
  <c r="K17" i="22"/>
  <c r="P70" i="5"/>
  <c r="AL70" i="5" s="1"/>
  <c r="AN70" i="5" s="1"/>
  <c r="AO70" i="5" s="1"/>
  <c r="N30" i="2" s="1"/>
  <c r="U30" i="2" s="1"/>
  <c r="V30" i="2" s="1"/>
  <c r="G32" i="20" s="1"/>
  <c r="H32" i="20" s="1"/>
  <c r="J113" i="12"/>
  <c r="W113" i="12" s="1"/>
  <c r="I57" i="33"/>
  <c r="K57" i="33" s="1"/>
  <c r="J335" i="32"/>
  <c r="I87" i="33"/>
  <c r="K87" i="33" s="1"/>
  <c r="J584" i="32"/>
  <c r="H466" i="18"/>
  <c r="J466" i="18" s="1"/>
  <c r="H467" i="18" s="1"/>
  <c r="J467" i="18" s="1"/>
  <c r="J464" i="18" s="1"/>
  <c r="Q67" i="1" s="1"/>
  <c r="U67" i="1" s="1"/>
  <c r="H510" i="18"/>
  <c r="J510" i="18" s="1"/>
  <c r="H511" i="18" s="1"/>
  <c r="J511" i="18" s="1"/>
  <c r="J508" i="18" s="1"/>
  <c r="Q69" i="1" s="1"/>
  <c r="U69" i="1" s="1"/>
  <c r="H490" i="18"/>
  <c r="J490" i="18" s="1"/>
  <c r="H834" i="18"/>
  <c r="J834" i="18" s="1"/>
  <c r="H902" i="18"/>
  <c r="J902" i="18" s="1"/>
  <c r="N27" i="33"/>
  <c r="M744" i="22"/>
  <c r="H963" i="18"/>
  <c r="J963" i="18" s="1"/>
  <c r="M546" i="22"/>
  <c r="S236" i="12"/>
  <c r="P40" i="5"/>
  <c r="G106" i="9"/>
  <c r="J106" i="9" s="1"/>
  <c r="AA106" i="9" s="1"/>
  <c r="H1023" i="18"/>
  <c r="J1023" i="18" s="1"/>
  <c r="H1621" i="18"/>
  <c r="J1621" i="18" s="1"/>
  <c r="G79" i="12"/>
  <c r="J79" i="12" s="1"/>
  <c r="J76" i="12" s="1"/>
  <c r="S76" i="12" s="1"/>
  <c r="J235" i="3"/>
  <c r="L235" i="3" s="1"/>
  <c r="N30" i="33"/>
  <c r="K472" i="22"/>
  <c r="AA103" i="9"/>
  <c r="F518" i="22"/>
  <c r="I521" i="22" s="1"/>
  <c r="H286" i="18"/>
  <c r="J286" i="18" s="1"/>
  <c r="U23" i="2"/>
  <c r="V23" i="2" s="1"/>
  <c r="H548" i="32" s="1"/>
  <c r="J548" i="32" s="1"/>
  <c r="F78" i="33"/>
  <c r="M78" i="33" s="1"/>
  <c r="N19" i="33"/>
  <c r="O11" i="5"/>
  <c r="P11" i="5" s="1"/>
  <c r="AL11" i="5" s="1"/>
  <c r="E74" i="37"/>
  <c r="X31" i="12"/>
  <c r="Z31" i="12" s="1"/>
  <c r="H285" i="18"/>
  <c r="J285" i="18" s="1"/>
  <c r="H388" i="18"/>
  <c r="J388" i="18" s="1"/>
  <c r="E75" i="36"/>
  <c r="AA102" i="9"/>
  <c r="AA109" i="9"/>
  <c r="J36" i="12"/>
  <c r="W36" i="12" s="1"/>
  <c r="J805" i="18"/>
  <c r="P111" i="1" s="1"/>
  <c r="T111" i="1" s="1"/>
  <c r="Q421" i="22"/>
  <c r="N31" i="33"/>
  <c r="G144" i="3"/>
  <c r="J144" i="3" s="1"/>
  <c r="J141" i="3" s="1"/>
  <c r="T45" i="1"/>
  <c r="F9" i="17" s="1"/>
  <c r="F10" i="17" s="1"/>
  <c r="F8" i="17" s="1"/>
  <c r="F7" i="42" s="1"/>
  <c r="G154" i="3"/>
  <c r="J154" i="3" s="1"/>
  <c r="J153" i="3" s="1"/>
  <c r="O227" i="3"/>
  <c r="P227" i="3" s="1"/>
  <c r="H213" i="32"/>
  <c r="J213" i="32" s="1"/>
  <c r="J211" i="32" s="1"/>
  <c r="J38" i="33" s="1"/>
  <c r="O38" i="33" s="1"/>
  <c r="P236" i="12"/>
  <c r="N48" i="5"/>
  <c r="O48" i="5" s="1"/>
  <c r="P48" i="5" s="1"/>
  <c r="AL48" i="5" s="1"/>
  <c r="N224" i="3"/>
  <c r="N38" i="33"/>
  <c r="L221" i="3"/>
  <c r="M308" i="22"/>
  <c r="K801" i="22"/>
  <c r="H1663" i="18"/>
  <c r="J1663" i="18" s="1"/>
  <c r="H1719" i="18"/>
  <c r="J1719" i="18" s="1"/>
  <c r="H1642" i="18"/>
  <c r="J1642" i="18" s="1"/>
  <c r="L215" i="3"/>
  <c r="N215" i="3"/>
  <c r="W215" i="3"/>
  <c r="S215" i="3"/>
  <c r="H385" i="32"/>
  <c r="J385" i="32" s="1"/>
  <c r="S240" i="3"/>
  <c r="N240" i="3"/>
  <c r="W240" i="3"/>
  <c r="L240" i="3"/>
  <c r="Q259" i="22"/>
  <c r="J6" i="9"/>
  <c r="Y6" i="9" s="1"/>
  <c r="AA7" i="9"/>
  <c r="P322" i="22"/>
  <c r="Q322" i="22" s="1"/>
  <c r="Q321" i="22" s="1"/>
  <c r="G85" i="20"/>
  <c r="H85" i="20" s="1"/>
  <c r="P78" i="22"/>
  <c r="Q78" i="22" s="1"/>
  <c r="Q77" i="22" s="1"/>
  <c r="N10" i="3"/>
  <c r="S10" i="3"/>
  <c r="L10" i="3"/>
  <c r="S6" i="12"/>
  <c r="L6" i="12"/>
  <c r="N84" i="12"/>
  <c r="L84" i="12"/>
  <c r="N208" i="3"/>
  <c r="L208" i="3"/>
  <c r="I55" i="22"/>
  <c r="I52" i="22"/>
  <c r="I54" i="22"/>
  <c r="K810" i="22"/>
  <c r="K805" i="22" s="1"/>
  <c r="K230" i="3"/>
  <c r="L230" i="3" s="1"/>
  <c r="R233" i="3"/>
  <c r="O233" i="3"/>
  <c r="O72" i="5"/>
  <c r="P72" i="5" s="1"/>
  <c r="AL72" i="5" s="1"/>
  <c r="N73" i="5"/>
  <c r="N74" i="5" s="1"/>
  <c r="S20" i="3"/>
  <c r="N20" i="3"/>
  <c r="L20" i="3"/>
  <c r="O84" i="5"/>
  <c r="O85" i="5" s="1"/>
  <c r="L55" i="33"/>
  <c r="M38" i="33"/>
  <c r="N77" i="33"/>
  <c r="K710" i="22"/>
  <c r="K469" i="22"/>
  <c r="K464" i="22" s="1"/>
  <c r="M383" i="22"/>
  <c r="I339" i="22"/>
  <c r="N230" i="12"/>
  <c r="L226" i="12"/>
  <c r="H883" i="32"/>
  <c r="J883" i="32" s="1"/>
  <c r="J882" i="32" s="1"/>
  <c r="J881" i="32" s="1"/>
  <c r="H886" i="32"/>
  <c r="J886" i="32" s="1"/>
  <c r="G86" i="20"/>
  <c r="H86" i="20" s="1"/>
  <c r="S228" i="3"/>
  <c r="N228" i="3"/>
  <c r="I361" i="22"/>
  <c r="I358" i="22"/>
  <c r="S245" i="3"/>
  <c r="N37" i="33"/>
  <c r="H1061" i="18"/>
  <c r="J1061" i="18" s="1"/>
  <c r="H1133" i="18"/>
  <c r="J1133" i="18" s="1"/>
  <c r="H1134" i="18" s="1"/>
  <c r="J1134" i="18" s="1"/>
  <c r="J1132" i="18" s="1"/>
  <c r="Q143" i="1" s="1"/>
  <c r="U143" i="1" s="1"/>
  <c r="H445" i="18"/>
  <c r="J445" i="18" s="1"/>
  <c r="H446" i="18" s="1"/>
  <c r="J446" i="18" s="1"/>
  <c r="J444" i="18" s="1"/>
  <c r="Q65" i="1" s="1"/>
  <c r="U65" i="1" s="1"/>
  <c r="H1274" i="18"/>
  <c r="J1274" i="18" s="1"/>
  <c r="H1275" i="18" s="1"/>
  <c r="J1275" i="18" s="1"/>
  <c r="J1273" i="18" s="1"/>
  <c r="Q158" i="1" s="1"/>
  <c r="U158" i="1" s="1"/>
  <c r="H625" i="32"/>
  <c r="H626" i="32" s="1"/>
  <c r="J626" i="32" s="1"/>
  <c r="P851" i="22"/>
  <c r="P852" i="22" s="1"/>
  <c r="P562" i="22"/>
  <c r="G74" i="20"/>
  <c r="H74" i="20" s="1"/>
  <c r="H1777" i="18"/>
  <c r="J1777" i="18" s="1"/>
  <c r="H1778" i="18" s="1"/>
  <c r="J1778" i="18" s="1"/>
  <c r="J1776" i="18" s="1"/>
  <c r="Q202" i="1" s="1"/>
  <c r="U202" i="1" s="1"/>
  <c r="H562" i="32"/>
  <c r="H563" i="32" s="1"/>
  <c r="J563" i="32" s="1"/>
  <c r="P625" i="22"/>
  <c r="Q625" i="22" s="1"/>
  <c r="P527" i="22"/>
  <c r="N114" i="33"/>
  <c r="N32" i="33"/>
  <c r="M27" i="33"/>
  <c r="I562" i="22"/>
  <c r="I548" i="22"/>
  <c r="I340" i="22"/>
  <c r="M328" i="22"/>
  <c r="K203" i="22"/>
  <c r="K197" i="22" s="1"/>
  <c r="I71" i="22"/>
  <c r="P171" i="3"/>
  <c r="P883" i="22"/>
  <c r="Q883" i="22" s="1"/>
  <c r="Q882" i="22" s="1"/>
  <c r="P671" i="22"/>
  <c r="Q671" i="22" s="1"/>
  <c r="Q670" i="22" s="1"/>
  <c r="X76" i="12"/>
  <c r="Z76" i="12" s="1"/>
  <c r="P241" i="3"/>
  <c r="P10" i="3"/>
  <c r="H322" i="32"/>
  <c r="J322" i="32" s="1"/>
  <c r="J321" i="32" s="1"/>
  <c r="J55" i="33" s="1"/>
  <c r="O55" i="33" s="1"/>
  <c r="P212" i="22"/>
  <c r="H527" i="32"/>
  <c r="J527" i="32" s="1"/>
  <c r="W228" i="3"/>
  <c r="H797" i="32"/>
  <c r="J797" i="32" s="1"/>
  <c r="AA46" i="9"/>
  <c r="S136" i="3"/>
  <c r="K47" i="22"/>
  <c r="W253" i="12"/>
  <c r="J24" i="12"/>
  <c r="H495" i="32"/>
  <c r="J495" i="32" s="1"/>
  <c r="J494" i="32" s="1"/>
  <c r="J75" i="33" s="1"/>
  <c r="O75" i="33" s="1"/>
  <c r="P495" i="22"/>
  <c r="Q495" i="22" s="1"/>
  <c r="Q494" i="22" s="1"/>
  <c r="H485" i="32"/>
  <c r="J485" i="32" s="1"/>
  <c r="J484" i="32" s="1"/>
  <c r="J74" i="33" s="1"/>
  <c r="O74" i="33" s="1"/>
  <c r="P485" i="22"/>
  <c r="Q485" i="22" s="1"/>
  <c r="Q484" i="22" s="1"/>
  <c r="H528" i="18"/>
  <c r="J528" i="18" s="1"/>
  <c r="H529" i="18" s="1"/>
  <c r="J529" i="18" s="1"/>
  <c r="J527" i="18" s="1"/>
  <c r="Q70" i="1" s="1"/>
  <c r="U70" i="1" s="1"/>
  <c r="H259" i="32"/>
  <c r="H260" i="32" s="1"/>
  <c r="J260" i="32" s="1"/>
  <c r="G66" i="20"/>
  <c r="H66" i="20" s="1"/>
  <c r="S244" i="3"/>
  <c r="N244" i="3"/>
  <c r="L227" i="3"/>
  <c r="W227" i="3"/>
  <c r="W222" i="3"/>
  <c r="J202" i="3"/>
  <c r="L202" i="3" s="1"/>
  <c r="S211" i="12"/>
  <c r="L211" i="12"/>
  <c r="I391" i="22"/>
  <c r="I377" i="22"/>
  <c r="I392" i="22"/>
  <c r="I376" i="22"/>
  <c r="I382" i="22"/>
  <c r="I373" i="22"/>
  <c r="I370" i="22"/>
  <c r="I369" i="22"/>
  <c r="I169" i="22"/>
  <c r="I167" i="22"/>
  <c r="W230" i="12"/>
  <c r="L230" i="12"/>
  <c r="N114" i="5"/>
  <c r="O114" i="5" s="1"/>
  <c r="P114" i="5" s="1"/>
  <c r="O113" i="5"/>
  <c r="N214" i="3"/>
  <c r="L214" i="3"/>
  <c r="W214" i="3"/>
  <c r="I25" i="22"/>
  <c r="I24" i="22"/>
  <c r="I22" i="22"/>
  <c r="L224" i="3"/>
  <c r="S224" i="3"/>
  <c r="I73" i="22"/>
  <c r="I72" i="22"/>
  <c r="M21" i="5"/>
  <c r="N15" i="33"/>
  <c r="I560" i="22"/>
  <c r="M416" i="22"/>
  <c r="M197" i="22"/>
  <c r="M114" i="22"/>
  <c r="H78" i="32"/>
  <c r="J78" i="32" s="1"/>
  <c r="J77" i="32" s="1"/>
  <c r="J21" i="33" s="1"/>
  <c r="O21" i="33" s="1"/>
  <c r="P21" i="33" s="1"/>
  <c r="W84" i="12"/>
  <c r="W6" i="12"/>
  <c r="N136" i="3"/>
  <c r="H517" i="32"/>
  <c r="J517" i="32" s="1"/>
  <c r="J516" i="32" s="1"/>
  <c r="J77" i="33" s="1"/>
  <c r="O77" i="33" s="1"/>
  <c r="P841" i="22"/>
  <c r="Q841" i="22" s="1"/>
  <c r="Q840" i="22" s="1"/>
  <c r="P249" i="22"/>
  <c r="H249" i="32"/>
  <c r="P552" i="22"/>
  <c r="Q552" i="22" s="1"/>
  <c r="Q551" i="22" s="1"/>
  <c r="P223" i="22"/>
  <c r="Q223" i="22" s="1"/>
  <c r="S241" i="3"/>
  <c r="N241" i="3"/>
  <c r="W236" i="3"/>
  <c r="M114" i="33"/>
  <c r="N126" i="33"/>
  <c r="N55" i="33"/>
  <c r="K648" i="22"/>
  <c r="K642" i="22"/>
  <c r="K624" i="22"/>
  <c r="M558" i="22"/>
  <c r="M554" i="22" s="1"/>
  <c r="I552" i="22"/>
  <c r="M523" i="22"/>
  <c r="M519" i="22" s="1"/>
  <c r="G67" i="20"/>
  <c r="H67" i="20" s="1"/>
  <c r="H671" i="32"/>
  <c r="J671" i="32" s="1"/>
  <c r="H238" i="32"/>
  <c r="P240" i="3"/>
  <c r="O221" i="3"/>
  <c r="P221" i="3" s="1"/>
  <c r="P214" i="3"/>
  <c r="P30" i="3"/>
  <c r="P862" i="22"/>
  <c r="H851" i="32"/>
  <c r="L228" i="3"/>
  <c r="N219" i="3"/>
  <c r="K256" i="12"/>
  <c r="O256" i="12" s="1"/>
  <c r="P256" i="12" s="1"/>
  <c r="K334" i="22"/>
  <c r="K328" i="22" s="1"/>
  <c r="N259" i="12"/>
  <c r="J56" i="3"/>
  <c r="S56" i="3" s="1"/>
  <c r="O86" i="5"/>
  <c r="P86" i="5" s="1"/>
  <c r="AL86" i="5" s="1"/>
  <c r="AN86" i="5" s="1"/>
  <c r="AO86" i="5" s="1"/>
  <c r="N37" i="2" s="1"/>
  <c r="U37" i="2" s="1"/>
  <c r="V37" i="2" s="1"/>
  <c r="I280" i="22"/>
  <c r="I277" i="22"/>
  <c r="I157" i="22"/>
  <c r="I49" i="22"/>
  <c r="I46" i="22"/>
  <c r="I48" i="22"/>
  <c r="I515" i="22"/>
  <c r="I517" i="22"/>
  <c r="W217" i="3"/>
  <c r="L217" i="3"/>
  <c r="I134" i="22"/>
  <c r="I131" i="22"/>
  <c r="R234" i="3"/>
  <c r="K578" i="22"/>
  <c r="M847" i="22"/>
  <c r="M843" i="22" s="1"/>
  <c r="M220" i="3"/>
  <c r="M433" i="22"/>
  <c r="M424" i="22" s="1"/>
  <c r="M260" i="12"/>
  <c r="R260" i="12" s="1"/>
  <c r="S260" i="12" s="1"/>
  <c r="M216" i="3"/>
  <c r="R216" i="3" s="1"/>
  <c r="M163" i="22"/>
  <c r="M160" i="22" s="1"/>
  <c r="H95" i="32"/>
  <c r="H225" i="18"/>
  <c r="J225" i="18" s="1"/>
  <c r="H1200" i="18"/>
  <c r="J1200" i="18" s="1"/>
  <c r="H245" i="18"/>
  <c r="J245" i="18" s="1"/>
  <c r="H78" i="18"/>
  <c r="J78" i="18" s="1"/>
  <c r="H14" i="18"/>
  <c r="J14" i="18" s="1"/>
  <c r="H30" i="18"/>
  <c r="J30" i="18" s="1"/>
  <c r="H261" i="18"/>
  <c r="J261" i="18" s="1"/>
  <c r="H62" i="18"/>
  <c r="J62" i="18" s="1"/>
  <c r="H226" i="18"/>
  <c r="J226" i="18" s="1"/>
  <c r="H46" i="18"/>
  <c r="J46" i="18" s="1"/>
  <c r="H768" i="18"/>
  <c r="J768" i="18" s="1"/>
  <c r="H579" i="18"/>
  <c r="J579" i="18" s="1"/>
  <c r="H728" i="18"/>
  <c r="J728" i="18" s="1"/>
  <c r="H563" i="18"/>
  <c r="J563" i="18" s="1"/>
  <c r="H547" i="18"/>
  <c r="J547" i="18" s="1"/>
  <c r="P19" i="22"/>
  <c r="Q19" i="22" s="1"/>
  <c r="P49" i="22"/>
  <c r="Q49" i="22" s="1"/>
  <c r="Q47" i="22" s="1"/>
  <c r="H292" i="32"/>
  <c r="J292" i="32" s="1"/>
  <c r="H49" i="32"/>
  <c r="J49" i="32" s="1"/>
  <c r="J47" i="32" s="1"/>
  <c r="H361" i="32"/>
  <c r="J361" i="32" s="1"/>
  <c r="H286" i="32"/>
  <c r="J286" i="32" s="1"/>
  <c r="H72" i="32"/>
  <c r="J72" i="32" s="1"/>
  <c r="H31" i="32"/>
  <c r="J31" i="32" s="1"/>
  <c r="P361" i="22"/>
  <c r="Q361" i="22" s="1"/>
  <c r="P298" i="22"/>
  <c r="Q298" i="22" s="1"/>
  <c r="P274" i="22"/>
  <c r="Q274" i="22" s="1"/>
  <c r="P96" i="22"/>
  <c r="Q96" i="22" s="1"/>
  <c r="H173" i="18"/>
  <c r="J173" i="18" s="1"/>
  <c r="P25" i="22"/>
  <c r="Q25" i="22" s="1"/>
  <c r="P31" i="22"/>
  <c r="Q31" i="22" s="1"/>
  <c r="P55" i="22"/>
  <c r="Q55" i="22" s="1"/>
  <c r="P66" i="22"/>
  <c r="Q66" i="22" s="1"/>
  <c r="Q64" i="22" s="1"/>
  <c r="H589" i="32"/>
  <c r="H280" i="32"/>
  <c r="J280" i="32" s="1"/>
  <c r="J278" i="32" s="1"/>
  <c r="H37" i="32"/>
  <c r="J37" i="32" s="1"/>
  <c r="J35" i="32" s="1"/>
  <c r="H316" i="32"/>
  <c r="J316" i="32" s="1"/>
  <c r="H274" i="32"/>
  <c r="J274" i="32" s="1"/>
  <c r="H66" i="32"/>
  <c r="J66" i="32" s="1"/>
  <c r="H19" i="32"/>
  <c r="J19" i="32" s="1"/>
  <c r="J17" i="32" s="1"/>
  <c r="P316" i="22"/>
  <c r="Q316" i="22" s="1"/>
  <c r="P292" i="22"/>
  <c r="Q292" i="22" s="1"/>
  <c r="Q290" i="22" s="1"/>
  <c r="P268" i="22"/>
  <c r="Q268" i="22" s="1"/>
  <c r="X147" i="12"/>
  <c r="Z147" i="12" s="1"/>
  <c r="H544" i="32"/>
  <c r="J544" i="32" s="1"/>
  <c r="J543" i="32" s="1"/>
  <c r="J80" i="33" s="1"/>
  <c r="O80" i="33" s="1"/>
  <c r="P544" i="22"/>
  <c r="Q544" i="22" s="1"/>
  <c r="Q543" i="22" s="1"/>
  <c r="AA11" i="9"/>
  <c r="AA24" i="9"/>
  <c r="AA32" i="9"/>
  <c r="AA38" i="9"/>
  <c r="AA39" i="9"/>
  <c r="K50" i="16"/>
  <c r="O50" i="16"/>
  <c r="M50" i="16"/>
  <c r="M13" i="15"/>
  <c r="M43" i="15" s="1"/>
  <c r="K13" i="15"/>
  <c r="O13" i="15"/>
  <c r="O43" i="15" s="1"/>
  <c r="N91" i="5"/>
  <c r="N92" i="5" s="1"/>
  <c r="O92" i="5" s="1"/>
  <c r="O90" i="5"/>
  <c r="P90" i="5" s="1"/>
  <c r="J173" i="3"/>
  <c r="O118" i="5"/>
  <c r="P118" i="5" s="1"/>
  <c r="AL118" i="5" s="1"/>
  <c r="AL117" i="5" s="1"/>
  <c r="AN117" i="5" s="1"/>
  <c r="AO117" i="5" s="1"/>
  <c r="N48" i="2" s="1"/>
  <c r="U48" i="2" s="1"/>
  <c r="V48" i="2" s="1"/>
  <c r="N20" i="5"/>
  <c r="N21" i="5" s="1"/>
  <c r="O19" i="5"/>
  <c r="P19" i="5" s="1"/>
  <c r="AL19" i="5" s="1"/>
  <c r="N212" i="3"/>
  <c r="S212" i="3"/>
  <c r="L212" i="3"/>
  <c r="O69" i="5"/>
  <c r="P69" i="5" s="1"/>
  <c r="AL69" i="5" s="1"/>
  <c r="AN69" i="5" s="1"/>
  <c r="AO69" i="5" s="1"/>
  <c r="N29" i="2" s="1"/>
  <c r="U29" i="2" s="1"/>
  <c r="V29" i="2" s="1"/>
  <c r="X98" i="3" s="1"/>
  <c r="Z98" i="3" s="1"/>
  <c r="AA98" i="3" s="1"/>
  <c r="M258" i="22"/>
  <c r="P212" i="3"/>
  <c r="P92" i="3"/>
  <c r="AA136" i="3"/>
  <c r="AA27" i="9"/>
  <c r="U12" i="2"/>
  <c r="V12" i="2" s="1"/>
  <c r="H232" i="32" s="1"/>
  <c r="J232" i="32" s="1"/>
  <c r="N28" i="5"/>
  <c r="N29" i="5" s="1"/>
  <c r="O29" i="5" s="1"/>
  <c r="O27" i="5"/>
  <c r="AA71" i="9"/>
  <c r="N58" i="5"/>
  <c r="O58" i="5" s="1"/>
  <c r="P58" i="5" s="1"/>
  <c r="AL58" i="5" s="1"/>
  <c r="O57" i="5"/>
  <c r="P57" i="5" s="1"/>
  <c r="AA9" i="9"/>
  <c r="AA28" i="9"/>
  <c r="O88" i="5"/>
  <c r="P88" i="5" s="1"/>
  <c r="M89" i="5"/>
  <c r="O89" i="5" s="1"/>
  <c r="P89" i="5" s="1"/>
  <c r="P169" i="1"/>
  <c r="T169" i="1" s="1"/>
  <c r="X208" i="12"/>
  <c r="Z208" i="12" s="1"/>
  <c r="H854" i="18"/>
  <c r="J854" i="18" s="1"/>
  <c r="H922" i="18"/>
  <c r="J922" i="18" s="1"/>
  <c r="M566" i="22"/>
  <c r="M526" i="22"/>
  <c r="M211" i="22"/>
  <c r="P211" i="12"/>
  <c r="P230" i="12"/>
  <c r="P84" i="12"/>
  <c r="P34" i="12"/>
  <c r="P6" i="12"/>
  <c r="P224" i="3"/>
  <c r="P215" i="3"/>
  <c r="P136" i="3"/>
  <c r="P20" i="3"/>
  <c r="M314" i="22"/>
  <c r="J173" i="12"/>
  <c r="W173" i="12" s="1"/>
  <c r="AA90" i="9"/>
  <c r="AA63" i="9"/>
  <c r="L219" i="3"/>
  <c r="W219" i="3"/>
  <c r="J94" i="3"/>
  <c r="S94" i="3" s="1"/>
  <c r="O68" i="5"/>
  <c r="P68" i="5" s="1"/>
  <c r="H17" i="34"/>
  <c r="I17" i="34" s="1"/>
  <c r="H30" i="34"/>
  <c r="I30" i="34" s="1"/>
  <c r="H782" i="32"/>
  <c r="J782" i="32" s="1"/>
  <c r="H594" i="32"/>
  <c r="J594" i="32" s="1"/>
  <c r="H488" i="32"/>
  <c r="J488" i="32" s="1"/>
  <c r="P594" i="22"/>
  <c r="Q594" i="22" s="1"/>
  <c r="P822" i="22"/>
  <c r="Q822" i="22" s="1"/>
  <c r="P770" i="22"/>
  <c r="Q770" i="22" s="1"/>
  <c r="P376" i="22"/>
  <c r="Q376" i="22" s="1"/>
  <c r="P465" i="22"/>
  <c r="Q465" i="22" s="1"/>
  <c r="G47" i="20"/>
  <c r="H47" i="20" s="1"/>
  <c r="H1305" i="18"/>
  <c r="J1305" i="18" s="1"/>
  <c r="H1404" i="18"/>
  <c r="J1404" i="18" s="1"/>
  <c r="K240" i="22"/>
  <c r="K237" i="22" s="1"/>
  <c r="K228" i="12"/>
  <c r="L228" i="12" s="1"/>
  <c r="K40" i="16"/>
  <c r="O40" i="16"/>
  <c r="H1374" i="18"/>
  <c r="J1374" i="18" s="1"/>
  <c r="J1373" i="18" s="1"/>
  <c r="Q173" i="1" s="1"/>
  <c r="U173" i="1" s="1"/>
  <c r="X46" i="12"/>
  <c r="Z46" i="12" s="1"/>
  <c r="H1344" i="18"/>
  <c r="J1344" i="18" s="1"/>
  <c r="J1343" i="18" s="1"/>
  <c r="Q169" i="1" s="1"/>
  <c r="U169" i="1" s="1"/>
  <c r="M355" i="22"/>
  <c r="M349" i="22" s="1"/>
  <c r="M257" i="12"/>
  <c r="R257" i="12" s="1"/>
  <c r="O34" i="11"/>
  <c r="X184" i="12" s="1"/>
  <c r="Z184" i="12" s="1"/>
  <c r="O33" i="11"/>
  <c r="X182" i="12" s="1"/>
  <c r="X104" i="12"/>
  <c r="Z104" i="12" s="1"/>
  <c r="H1328" i="18"/>
  <c r="J1328" i="18" s="1"/>
  <c r="H1825" i="18"/>
  <c r="J1825" i="18" s="1"/>
  <c r="P116" i="5"/>
  <c r="AL116" i="5" s="1"/>
  <c r="AL115" i="5" s="1"/>
  <c r="AN115" i="5" s="1"/>
  <c r="AO115" i="5" s="1"/>
  <c r="N47" i="2" s="1"/>
  <c r="U47" i="2" s="1"/>
  <c r="V47" i="2" s="1"/>
  <c r="M801" i="22"/>
  <c r="M410" i="22"/>
  <c r="M266" i="22"/>
  <c r="M109" i="22"/>
  <c r="AA95" i="9"/>
  <c r="AA86" i="9"/>
  <c r="AA60" i="9"/>
  <c r="N22" i="33"/>
  <c r="AA58" i="9"/>
  <c r="J196" i="3"/>
  <c r="S196" i="3" s="1"/>
  <c r="J127" i="12"/>
  <c r="S127" i="12" s="1"/>
  <c r="AA53" i="9"/>
  <c r="AA83" i="9"/>
  <c r="Z9" i="1"/>
  <c r="AA112" i="9"/>
  <c r="J46" i="12"/>
  <c r="S46" i="12" s="1"/>
  <c r="AA50" i="9"/>
  <c r="M774" i="22"/>
  <c r="M769" i="22" s="1"/>
  <c r="M222" i="3"/>
  <c r="K621" i="22"/>
  <c r="K617" i="22" s="1"/>
  <c r="K234" i="3"/>
  <c r="K341" i="22"/>
  <c r="K338" i="22" s="1"/>
  <c r="K250" i="12"/>
  <c r="L250" i="12" s="1"/>
  <c r="M178" i="22"/>
  <c r="M171" i="22" s="1"/>
  <c r="M232" i="3"/>
  <c r="R232" i="3" s="1"/>
  <c r="S232" i="3" s="1"/>
  <c r="M578" i="22"/>
  <c r="M593" i="22"/>
  <c r="AA91" i="9"/>
  <c r="AA79" i="9"/>
  <c r="AA67" i="9"/>
  <c r="AA57" i="9"/>
  <c r="N68" i="33"/>
  <c r="N42" i="33"/>
  <c r="N47" i="33"/>
  <c r="J191" i="12"/>
  <c r="L191" i="12" s="1"/>
  <c r="AA93" i="9"/>
  <c r="AA85" i="9"/>
  <c r="AA77" i="9"/>
  <c r="AA68" i="9"/>
  <c r="AA55" i="9"/>
  <c r="AA41" i="9"/>
  <c r="AL80" i="5"/>
  <c r="AN80" i="5" s="1"/>
  <c r="AO80" i="5" s="1"/>
  <c r="N34" i="2" s="1"/>
  <c r="U34" i="2" s="1"/>
  <c r="V34" i="2" s="1"/>
  <c r="P233" i="22" s="1"/>
  <c r="Q233" i="22" s="1"/>
  <c r="K535" i="22"/>
  <c r="K229" i="3"/>
  <c r="L229" i="3" s="1"/>
  <c r="K245" i="22"/>
  <c r="K242" i="22" s="1"/>
  <c r="K210" i="3"/>
  <c r="L210" i="3" s="1"/>
  <c r="H880" i="18"/>
  <c r="J880" i="18" s="1"/>
  <c r="H812" i="18"/>
  <c r="J812" i="18" s="1"/>
  <c r="O19" i="11"/>
  <c r="O20" i="11"/>
  <c r="X97" i="12" s="1"/>
  <c r="Z97" i="12" s="1"/>
  <c r="K789" i="22"/>
  <c r="X214" i="12"/>
  <c r="Z214" i="12" s="1"/>
  <c r="H1199" i="18"/>
  <c r="J1199" i="18" s="1"/>
  <c r="H727" i="18"/>
  <c r="J727" i="18" s="1"/>
  <c r="N103" i="5"/>
  <c r="N104" i="5" s="1"/>
  <c r="P102" i="5"/>
  <c r="K23" i="33"/>
  <c r="N23" i="33"/>
  <c r="K53" i="33"/>
  <c r="N53" i="33"/>
  <c r="K102" i="33"/>
  <c r="N102" i="33"/>
  <c r="P102" i="33" s="1"/>
  <c r="L168" i="3"/>
  <c r="S168" i="3"/>
  <c r="N168" i="3"/>
  <c r="P99" i="33"/>
  <c r="W229" i="12"/>
  <c r="S229" i="12"/>
  <c r="N229" i="12"/>
  <c r="W217" i="12"/>
  <c r="S217" i="12"/>
  <c r="N217" i="12"/>
  <c r="P60" i="22"/>
  <c r="Q60" i="22" s="1"/>
  <c r="Q59" i="22" s="1"/>
  <c r="H141" i="18"/>
  <c r="J141" i="18" s="1"/>
  <c r="J140" i="18" s="1"/>
  <c r="H61" i="18"/>
  <c r="J61" i="18" s="1"/>
  <c r="P66" i="5"/>
  <c r="AL66" i="5" s="1"/>
  <c r="P115" i="33"/>
  <c r="K511" i="22"/>
  <c r="K380" i="22"/>
  <c r="P217" i="12"/>
  <c r="X73" i="12"/>
  <c r="Z73" i="12" s="1"/>
  <c r="AA73" i="12" s="1"/>
  <c r="P30" i="22"/>
  <c r="Q30" i="22" s="1"/>
  <c r="P168" i="3"/>
  <c r="H413" i="32"/>
  <c r="J413" i="32" s="1"/>
  <c r="L229" i="12"/>
  <c r="K847" i="22"/>
  <c r="K843" i="22" s="1"/>
  <c r="K220" i="3"/>
  <c r="M158" i="22"/>
  <c r="M152" i="22" s="1"/>
  <c r="M254" i="12"/>
  <c r="W249" i="12"/>
  <c r="W245" i="12"/>
  <c r="N245" i="12"/>
  <c r="P112" i="5"/>
  <c r="AL112" i="5" s="1"/>
  <c r="AL109" i="5" s="1"/>
  <c r="AN109" i="5" s="1"/>
  <c r="P173" i="1"/>
  <c r="T173" i="1" s="1"/>
  <c r="O7" i="5"/>
  <c r="M8" i="5"/>
  <c r="M9" i="5" s="1"/>
  <c r="O15" i="5"/>
  <c r="P15" i="5" s="1"/>
  <c r="M16" i="5"/>
  <c r="M17" i="5" s="1"/>
  <c r="E120" i="36"/>
  <c r="E119" i="37"/>
  <c r="F130" i="33"/>
  <c r="F884" i="22"/>
  <c r="I886" i="22" s="1"/>
  <c r="G178" i="12"/>
  <c r="J178" i="12" s="1"/>
  <c r="J176" i="12" s="1"/>
  <c r="S211" i="1"/>
  <c r="R211" i="1"/>
  <c r="R207" i="1" s="1"/>
  <c r="T211" i="1"/>
  <c r="T207" i="1" s="1"/>
  <c r="W244" i="12"/>
  <c r="S244" i="12"/>
  <c r="N244" i="12"/>
  <c r="I401" i="22"/>
  <c r="I395" i="22"/>
  <c r="I400" i="22"/>
  <c r="I399" i="22"/>
  <c r="AA101" i="9"/>
  <c r="N30" i="3"/>
  <c r="J104" i="12"/>
  <c r="AL76" i="5"/>
  <c r="J97" i="12"/>
  <c r="P97" i="12" s="1"/>
  <c r="I146" i="22"/>
  <c r="I137" i="22"/>
  <c r="I145" i="22"/>
  <c r="I144" i="22"/>
  <c r="I143" i="22"/>
  <c r="I142" i="22"/>
  <c r="I141" i="22"/>
  <c r="I666" i="22"/>
  <c r="I664" i="22"/>
  <c r="I603" i="22"/>
  <c r="I600" i="22"/>
  <c r="I597" i="22"/>
  <c r="I596" i="22"/>
  <c r="I595" i="22"/>
  <c r="I594" i="22"/>
  <c r="S92" i="3"/>
  <c r="N92" i="3"/>
  <c r="L92" i="3"/>
  <c r="I259" i="22"/>
  <c r="I257" i="22"/>
  <c r="I254" i="22"/>
  <c r="I261" i="22"/>
  <c r="I260" i="22"/>
  <c r="W250" i="12"/>
  <c r="M509" i="22"/>
  <c r="M505" i="22" s="1"/>
  <c r="M240" i="12"/>
  <c r="M373" i="22"/>
  <c r="M258" i="12"/>
  <c r="W233" i="12"/>
  <c r="P52" i="5"/>
  <c r="AL52" i="5" s="1"/>
  <c r="AL51" i="5" s="1"/>
  <c r="AN51" i="5" s="1"/>
  <c r="AO51" i="5" s="1"/>
  <c r="N19" i="2" s="1"/>
  <c r="U19" i="2" s="1"/>
  <c r="V19" i="2" s="1"/>
  <c r="N100" i="33"/>
  <c r="P100" i="33" s="1"/>
  <c r="K605" i="22"/>
  <c r="K227" i="22"/>
  <c r="G73" i="20"/>
  <c r="H73" i="20" s="1"/>
  <c r="P185" i="22"/>
  <c r="Q185" i="22" s="1"/>
  <c r="Q181" i="22" s="1"/>
  <c r="H60" i="32"/>
  <c r="J60" i="32" s="1"/>
  <c r="J59" i="32" s="1"/>
  <c r="J17" i="33" s="1"/>
  <c r="O17" i="33" s="1"/>
  <c r="P17" i="33" s="1"/>
  <c r="M128" i="22"/>
  <c r="M124" i="22" s="1"/>
  <c r="M232" i="12"/>
  <c r="W241" i="12"/>
  <c r="N241" i="12"/>
  <c r="O25" i="11"/>
  <c r="X120" i="12" s="1"/>
  <c r="Z120" i="12" s="1"/>
  <c r="H642" i="18"/>
  <c r="J642" i="18" s="1"/>
  <c r="J641" i="18" s="1"/>
  <c r="H767" i="18"/>
  <c r="J767" i="18" s="1"/>
  <c r="H658" i="18"/>
  <c r="J658" i="18" s="1"/>
  <c r="J657" i="18" s="1"/>
  <c r="H156" i="18"/>
  <c r="J156" i="18" s="1"/>
  <c r="J155" i="18" s="1"/>
  <c r="H674" i="18"/>
  <c r="J674" i="18" s="1"/>
  <c r="H610" i="18"/>
  <c r="J610" i="18" s="1"/>
  <c r="J609" i="18" s="1"/>
  <c r="H594" i="18"/>
  <c r="J594" i="18" s="1"/>
  <c r="J593" i="18" s="1"/>
  <c r="H578" i="18"/>
  <c r="J578" i="18" s="1"/>
  <c r="H562" i="18"/>
  <c r="J562" i="18" s="1"/>
  <c r="H546" i="18"/>
  <c r="J546" i="18" s="1"/>
  <c r="H172" i="18"/>
  <c r="J172" i="18" s="1"/>
  <c r="H260" i="18"/>
  <c r="J260" i="18" s="1"/>
  <c r="H244" i="18"/>
  <c r="J244" i="18" s="1"/>
  <c r="J243" i="18" s="1"/>
  <c r="H29" i="18"/>
  <c r="J29" i="18" s="1"/>
  <c r="H125" i="18"/>
  <c r="J125" i="18" s="1"/>
  <c r="J124" i="18" s="1"/>
  <c r="H45" i="18"/>
  <c r="J45" i="18" s="1"/>
  <c r="H13" i="18"/>
  <c r="J13" i="18" s="1"/>
  <c r="H626" i="18"/>
  <c r="J626" i="18" s="1"/>
  <c r="J625" i="18" s="1"/>
  <c r="H109" i="18"/>
  <c r="J109" i="18" s="1"/>
  <c r="J108" i="18" s="1"/>
  <c r="H1291" i="18"/>
  <c r="J1291" i="18" s="1"/>
  <c r="J1290" i="18" s="1"/>
  <c r="Q161" i="1" s="1"/>
  <c r="U161" i="1" s="1"/>
  <c r="H93" i="18"/>
  <c r="J93" i="18" s="1"/>
  <c r="J92" i="18" s="1"/>
  <c r="H77" i="18"/>
  <c r="J77" i="18" s="1"/>
  <c r="L76" i="3"/>
  <c r="S76" i="3"/>
  <c r="P161" i="1"/>
  <c r="T161" i="1" s="1"/>
  <c r="H759" i="32"/>
  <c r="H1580" i="18"/>
  <c r="J1580" i="18" s="1"/>
  <c r="P759" i="22"/>
  <c r="Q759" i="22" s="1"/>
  <c r="G37" i="20"/>
  <c r="H37" i="20" s="1"/>
  <c r="O12" i="5"/>
  <c r="M13" i="5"/>
  <c r="AL62" i="5"/>
  <c r="W239" i="12"/>
  <c r="S239" i="12"/>
  <c r="H277" i="18"/>
  <c r="J277" i="18" s="1"/>
  <c r="H639" i="32"/>
  <c r="J639" i="32" s="1"/>
  <c r="P468" i="22"/>
  <c r="Q468" i="22" s="1"/>
  <c r="S167" i="1"/>
  <c r="W34" i="12"/>
  <c r="S34" i="12"/>
  <c r="N34" i="12"/>
  <c r="I564" i="22"/>
  <c r="I557" i="22"/>
  <c r="I556" i="22"/>
  <c r="I555" i="22"/>
  <c r="P101" i="33"/>
  <c r="K128" i="22"/>
  <c r="K124" i="22" s="1"/>
  <c r="K232" i="12"/>
  <c r="AA49" i="9"/>
  <c r="H856" i="18"/>
  <c r="J856" i="18" s="1"/>
  <c r="H924" i="18"/>
  <c r="J924" i="18" s="1"/>
  <c r="P12" i="10"/>
  <c r="Q12" i="10" s="1"/>
  <c r="N36" i="5"/>
  <c r="O35" i="5"/>
  <c r="P35" i="5" s="1"/>
  <c r="M476" i="22"/>
  <c r="G87" i="20"/>
  <c r="H87" i="20" s="1"/>
  <c r="P454" i="22"/>
  <c r="Q454" i="22" s="1"/>
  <c r="L217" i="12"/>
  <c r="AA9" i="1"/>
  <c r="M185" i="22"/>
  <c r="M181" i="22" s="1"/>
  <c r="M233" i="12"/>
  <c r="N233" i="12" s="1"/>
  <c r="S256" i="12"/>
  <c r="N256" i="12"/>
  <c r="O107" i="5"/>
  <c r="P107" i="5" s="1"/>
  <c r="P50" i="5"/>
  <c r="AL50" i="5" s="1"/>
  <c r="AL49" i="5" s="1"/>
  <c r="AN49" i="5" s="1"/>
  <c r="AO49" i="5" s="1"/>
  <c r="N18" i="2" s="1"/>
  <c r="U18" i="2" s="1"/>
  <c r="V18" i="2" s="1"/>
  <c r="H523" i="18"/>
  <c r="J523" i="18" s="1"/>
  <c r="H524" i="18" s="1"/>
  <c r="J524" i="18" s="1"/>
  <c r="J522" i="18" s="1"/>
  <c r="N70" i="1" s="1"/>
  <c r="R70" i="1" s="1"/>
  <c r="H254" i="32"/>
  <c r="P254" i="22"/>
  <c r="P255" i="22" s="1"/>
  <c r="G29" i="20"/>
  <c r="H29" i="20" s="1"/>
  <c r="L18" i="3"/>
  <c r="S18" i="3"/>
  <c r="P83" i="5"/>
  <c r="AL83" i="5" s="1"/>
  <c r="M84" i="5"/>
  <c r="M85" i="5" s="1"/>
  <c r="H1038" i="18"/>
  <c r="J1038" i="18" s="1"/>
  <c r="N94" i="5"/>
  <c r="O94" i="5" s="1"/>
  <c r="O93" i="5"/>
  <c r="P93" i="5" s="1"/>
  <c r="Z8" i="1"/>
  <c r="S8" i="1"/>
  <c r="S9" i="1"/>
  <c r="N124" i="33"/>
  <c r="O60" i="5"/>
  <c r="P60" i="5" s="1"/>
  <c r="AL60" i="5" s="1"/>
  <c r="AN60" i="5" s="1"/>
  <c r="AO60" i="5" s="1"/>
  <c r="N24" i="2" s="1"/>
  <c r="U24" i="2" s="1"/>
  <c r="V24" i="2" s="1"/>
  <c r="K798" i="22"/>
  <c r="K793" i="22" s="1"/>
  <c r="K223" i="3"/>
  <c r="L223" i="3" s="1"/>
  <c r="K751" i="22"/>
  <c r="K442" i="22"/>
  <c r="K439" i="22" s="1"/>
  <c r="K245" i="12"/>
  <c r="M245" i="22"/>
  <c r="M242" i="22" s="1"/>
  <c r="M210" i="3"/>
  <c r="K680" i="22"/>
  <c r="K674" i="22" s="1"/>
  <c r="K218" i="3"/>
  <c r="L218" i="3" s="1"/>
  <c r="K433" i="22"/>
  <c r="K424" i="22" s="1"/>
  <c r="K260" i="12"/>
  <c r="M341" i="22"/>
  <c r="M338" i="22" s="1"/>
  <c r="M250" i="12"/>
  <c r="M648" i="22"/>
  <c r="Q380" i="22"/>
  <c r="K219" i="22"/>
  <c r="K215" i="22" s="1"/>
  <c r="K211" i="3"/>
  <c r="L211" i="3" s="1"/>
  <c r="K302" i="22"/>
  <c r="K185" i="22"/>
  <c r="K181" i="22" s="1"/>
  <c r="K233" i="12"/>
  <c r="L233" i="12" s="1"/>
  <c r="K64" i="22"/>
  <c r="K403" i="22"/>
  <c r="J107" i="12"/>
  <c r="H923" i="18"/>
  <c r="J923" i="18" s="1"/>
  <c r="H833" i="18"/>
  <c r="J833" i="18" s="1"/>
  <c r="H835" i="18" s="1"/>
  <c r="J835" i="18" s="1"/>
  <c r="J832" i="18" s="1"/>
  <c r="Q113" i="1" s="1"/>
  <c r="U113" i="1" s="1"/>
  <c r="H855" i="18"/>
  <c r="J855" i="18" s="1"/>
  <c r="H691" i="18"/>
  <c r="J691" i="18" s="1"/>
  <c r="J690" i="18" s="1"/>
  <c r="H189" i="18"/>
  <c r="J189" i="18" s="1"/>
  <c r="J188" i="18" s="1"/>
  <c r="X34" i="12"/>
  <c r="H1389" i="18"/>
  <c r="J1389" i="18" s="1"/>
  <c r="J1388" i="18" s="1"/>
  <c r="N120" i="5"/>
  <c r="N121" i="5" s="1"/>
  <c r="O119" i="5"/>
  <c r="P119" i="5" s="1"/>
  <c r="X176" i="12"/>
  <c r="Z176" i="12" s="1"/>
  <c r="H1839" i="18"/>
  <c r="J1839" i="18" s="1"/>
  <c r="J1838" i="18" s="1"/>
  <c r="H1853" i="18"/>
  <c r="J1853" i="18" s="1"/>
  <c r="J1852" i="18" s="1"/>
  <c r="X24" i="12"/>
  <c r="Z24" i="12" s="1"/>
  <c r="H1114" i="18"/>
  <c r="J1114" i="18" s="1"/>
  <c r="J1113" i="18" s="1"/>
  <c r="Q141" i="1" s="1"/>
  <c r="U141" i="1" s="1"/>
  <c r="H1738" i="18"/>
  <c r="J1738" i="18" s="1"/>
  <c r="J1737" i="18" s="1"/>
  <c r="Q198" i="1" s="1"/>
  <c r="U198" i="1" s="1"/>
  <c r="H489" i="18"/>
  <c r="J489" i="18" s="1"/>
  <c r="H1042" i="18"/>
  <c r="J1042" i="18" s="1"/>
  <c r="J1041" i="18" s="1"/>
  <c r="Q133" i="1" s="1"/>
  <c r="U133" i="1" s="1"/>
  <c r="AA92" i="9"/>
  <c r="AA84" i="9"/>
  <c r="AA76" i="9"/>
  <c r="AA65" i="9"/>
  <c r="J1360" i="18"/>
  <c r="P171" i="1"/>
  <c r="T171" i="1" s="1"/>
  <c r="P31" i="5"/>
  <c r="AL31" i="5" s="1"/>
  <c r="P206" i="1"/>
  <c r="T206" i="1" s="1"/>
  <c r="AA72" i="9"/>
  <c r="J208" i="12"/>
  <c r="P208" i="12" s="1"/>
  <c r="AA70" i="9"/>
  <c r="AA64" i="9"/>
  <c r="AL47" i="5"/>
  <c r="P27" i="5"/>
  <c r="AL27" i="5" s="1"/>
  <c r="O24" i="5"/>
  <c r="P24" i="5" s="1"/>
  <c r="AL24" i="5" s="1"/>
  <c r="M25" i="5"/>
  <c r="I607" i="22"/>
  <c r="I606" i="22"/>
  <c r="I609" i="22"/>
  <c r="AA94" i="9"/>
  <c r="N33" i="33"/>
  <c r="I672" i="22"/>
  <c r="I669" i="22"/>
  <c r="M36" i="33"/>
  <c r="O36" i="33"/>
  <c r="J22" i="3"/>
  <c r="P22" i="3" s="1"/>
  <c r="AA82" i="9"/>
  <c r="I96" i="22"/>
  <c r="I98" i="22"/>
  <c r="I93" i="22"/>
  <c r="I97" i="22"/>
  <c r="J162" i="3"/>
  <c r="I656" i="22"/>
  <c r="I654" i="22"/>
  <c r="J130" i="12"/>
  <c r="P130" i="12" s="1"/>
  <c r="M786" i="22"/>
  <c r="M781" i="22" s="1"/>
  <c r="M225" i="3"/>
  <c r="M798" i="22"/>
  <c r="M793" i="22" s="1"/>
  <c r="M223" i="3"/>
  <c r="M680" i="22"/>
  <c r="M674" i="22" s="1"/>
  <c r="M218" i="3"/>
  <c r="M240" i="22"/>
  <c r="M237" i="22" s="1"/>
  <c r="M228" i="12"/>
  <c r="M590" i="22"/>
  <c r="M587" i="22" s="1"/>
  <c r="M251" i="12"/>
  <c r="M737" i="22"/>
  <c r="M379" i="22"/>
  <c r="M375" i="22" s="1"/>
  <c r="M236" i="3"/>
  <c r="K355" i="22"/>
  <c r="K349" i="22" s="1"/>
  <c r="K257" i="12"/>
  <c r="K509" i="22"/>
  <c r="K505" i="22" s="1"/>
  <c r="K240" i="12"/>
  <c r="L240" i="12" s="1"/>
  <c r="K163" i="22"/>
  <c r="K160" i="22" s="1"/>
  <c r="K216" i="3"/>
  <c r="M403" i="22"/>
  <c r="H878" i="18"/>
  <c r="J878" i="18" s="1"/>
  <c r="O18" i="11"/>
  <c r="X86" i="12" s="1"/>
  <c r="Z86" i="12" s="1"/>
  <c r="O17" i="11"/>
  <c r="H884" i="18"/>
  <c r="J884" i="18" s="1"/>
  <c r="H816" i="18"/>
  <c r="J816" i="18" s="1"/>
  <c r="H1793" i="18"/>
  <c r="J1793" i="18" s="1"/>
  <c r="J1792" i="18" s="1"/>
  <c r="Q204" i="1" s="1"/>
  <c r="U204" i="1" s="1"/>
  <c r="H1444" i="18"/>
  <c r="J1444" i="18" s="1"/>
  <c r="H1698" i="18"/>
  <c r="J1698" i="18" s="1"/>
  <c r="J1697" i="18" s="1"/>
  <c r="Q196" i="1" s="1"/>
  <c r="U196" i="1" s="1"/>
  <c r="H1097" i="18"/>
  <c r="J1097" i="18" s="1"/>
  <c r="J1096" i="18" s="1"/>
  <c r="H1498" i="18"/>
  <c r="J1498" i="18" s="1"/>
  <c r="H1499" i="18" s="1"/>
  <c r="J1499" i="18" s="1"/>
  <c r="J1497" i="18" s="1"/>
  <c r="Q183" i="1" s="1"/>
  <c r="U183" i="1" s="1"/>
  <c r="M36" i="16"/>
  <c r="K36" i="16"/>
  <c r="O36" i="16"/>
  <c r="H1311" i="18"/>
  <c r="J1311" i="18" s="1"/>
  <c r="J1310" i="18" s="1"/>
  <c r="Q163" i="1" s="1"/>
  <c r="U163" i="1" s="1"/>
  <c r="H1002" i="18"/>
  <c r="J1002" i="18" s="1"/>
  <c r="J1001" i="18" s="1"/>
  <c r="Q130" i="1" s="1"/>
  <c r="U130" i="1" s="1"/>
  <c r="H983" i="18"/>
  <c r="J983" i="18" s="1"/>
  <c r="J982" i="18" s="1"/>
  <c r="Q129" i="1" s="1"/>
  <c r="U129" i="1" s="1"/>
  <c r="H1411" i="18"/>
  <c r="J1411" i="18" s="1"/>
  <c r="J1410" i="18" s="1"/>
  <c r="Q178" i="1" s="1"/>
  <c r="U178" i="1" s="1"/>
  <c r="AA97" i="9"/>
  <c r="AA89" i="9"/>
  <c r="AA81" i="9"/>
  <c r="AA73" i="9"/>
  <c r="M104" i="5"/>
  <c r="O73" i="5"/>
  <c r="P73" i="5" s="1"/>
  <c r="M74" i="5"/>
  <c r="H274" i="18"/>
  <c r="J274" i="18" s="1"/>
  <c r="H801" i="18"/>
  <c r="J801" i="18" s="1"/>
  <c r="H377" i="18"/>
  <c r="J377" i="18" s="1"/>
  <c r="H954" i="18"/>
  <c r="J954" i="18" s="1"/>
  <c r="H1214" i="18"/>
  <c r="J1214" i="18" s="1"/>
  <c r="H1014" i="18"/>
  <c r="J1014" i="18" s="1"/>
  <c r="H995" i="18"/>
  <c r="J995" i="18" s="1"/>
  <c r="H1074" i="18"/>
  <c r="J1074" i="18" s="1"/>
  <c r="H976" i="18"/>
  <c r="J976" i="18" s="1"/>
  <c r="H869" i="18"/>
  <c r="J869" i="18" s="1"/>
  <c r="O28" i="5"/>
  <c r="P28" i="5" s="1"/>
  <c r="I589" i="22"/>
  <c r="I586" i="22"/>
  <c r="I590" i="22"/>
  <c r="I591" i="22"/>
  <c r="N38" i="5"/>
  <c r="N39" i="5" s="1"/>
  <c r="AA98" i="9"/>
  <c r="N44" i="5"/>
  <c r="N45" i="5" s="1"/>
  <c r="I761" i="22"/>
  <c r="I763" i="22"/>
  <c r="I760" i="22"/>
  <c r="I759" i="22"/>
  <c r="AA78" i="9"/>
  <c r="I322" i="22"/>
  <c r="I320" i="22"/>
  <c r="J421" i="32"/>
  <c r="I67" i="33" s="1"/>
  <c r="N67" i="33" s="1"/>
  <c r="P196" i="1"/>
  <c r="T196" i="1" s="1"/>
  <c r="O77" i="5"/>
  <c r="AA52" i="9"/>
  <c r="I90" i="22"/>
  <c r="I81" i="22"/>
  <c r="I78" i="22"/>
  <c r="I76" i="22"/>
  <c r="M19" i="33"/>
  <c r="O19" i="33"/>
  <c r="I333" i="22"/>
  <c r="I329" i="22"/>
  <c r="I325" i="22"/>
  <c r="L129" i="33"/>
  <c r="N129" i="33"/>
  <c r="I212" i="22"/>
  <c r="I213" i="22"/>
  <c r="I207" i="22"/>
  <c r="I206" i="22"/>
  <c r="I210" i="22"/>
  <c r="I203" i="22"/>
  <c r="I202" i="22"/>
  <c r="I201" i="22"/>
  <c r="I200" i="22"/>
  <c r="I199" i="22"/>
  <c r="I198" i="22"/>
  <c r="I194" i="22"/>
  <c r="I128" i="22"/>
  <c r="I123" i="22"/>
  <c r="I119" i="22"/>
  <c r="I118" i="22"/>
  <c r="I117" i="22"/>
  <c r="I342" i="22"/>
  <c r="I337" i="22"/>
  <c r="J214" i="12"/>
  <c r="P214" i="12" s="1"/>
  <c r="O30" i="33"/>
  <c r="M30" i="33"/>
  <c r="M826" i="22"/>
  <c r="M821" i="22" s="1"/>
  <c r="M226" i="3"/>
  <c r="K774" i="22"/>
  <c r="K769" i="22" s="1"/>
  <c r="K222" i="3"/>
  <c r="K826" i="22"/>
  <c r="K821" i="22" s="1"/>
  <c r="K226" i="3"/>
  <c r="L226" i="3" s="1"/>
  <c r="K786" i="22"/>
  <c r="K781" i="22" s="1"/>
  <c r="K225" i="3"/>
  <c r="L225" i="3" s="1"/>
  <c r="M810" i="22"/>
  <c r="M805" i="22" s="1"/>
  <c r="M230" i="3"/>
  <c r="M535" i="22"/>
  <c r="M530" i="22" s="1"/>
  <c r="M229" i="3"/>
  <c r="K737" i="22"/>
  <c r="K373" i="22"/>
  <c r="K367" i="22" s="1"/>
  <c r="K258" i="12"/>
  <c r="L258" i="12" s="1"/>
  <c r="M219" i="22"/>
  <c r="M215" i="22" s="1"/>
  <c r="M211" i="3"/>
  <c r="K178" i="22"/>
  <c r="K171" i="22" s="1"/>
  <c r="K232" i="3"/>
  <c r="K158" i="22"/>
  <c r="K152" i="22" s="1"/>
  <c r="K254" i="12"/>
  <c r="L254" i="12" s="1"/>
  <c r="M97" i="22"/>
  <c r="M94" i="22" s="1"/>
  <c r="M249" i="12"/>
  <c r="J179" i="12"/>
  <c r="P179" i="12" s="1"/>
  <c r="H811" i="18"/>
  <c r="J811" i="18" s="1"/>
  <c r="H879" i="18"/>
  <c r="J879" i="18" s="1"/>
  <c r="AA99" i="9"/>
  <c r="AA87" i="9"/>
  <c r="AA75" i="9"/>
  <c r="AA66" i="9"/>
  <c r="M16" i="16"/>
  <c r="K16" i="16"/>
  <c r="O16" i="16"/>
  <c r="H881" i="18"/>
  <c r="J881" i="18" s="1"/>
  <c r="H813" i="18"/>
  <c r="J813" i="18" s="1"/>
  <c r="X6" i="12"/>
  <c r="H1824" i="18"/>
  <c r="J1824" i="18" s="1"/>
  <c r="H1327" i="18"/>
  <c r="J1327" i="18" s="1"/>
  <c r="G54" i="20"/>
  <c r="H55" i="20"/>
  <c r="H54" i="20" s="1"/>
  <c r="O53" i="5"/>
  <c r="P53" i="5" s="1"/>
  <c r="N54" i="5"/>
  <c r="X130" i="12"/>
  <c r="Z130" i="12" s="1"/>
  <c r="H1718" i="18"/>
  <c r="J1718" i="18" s="1"/>
  <c r="H1683" i="18"/>
  <c r="J1683" i="18" s="1"/>
  <c r="J1682" i="18" s="1"/>
  <c r="Q195" i="1" s="1"/>
  <c r="U195" i="1" s="1"/>
  <c r="H1641" i="18"/>
  <c r="J1641" i="18" s="1"/>
  <c r="H1222" i="18"/>
  <c r="J1222" i="18" s="1"/>
  <c r="H1082" i="18"/>
  <c r="J1082" i="18" s="1"/>
  <c r="J1081" i="18" s="1"/>
  <c r="Q138" i="1" s="1"/>
  <c r="U138" i="1" s="1"/>
  <c r="H1022" i="18"/>
  <c r="J1022" i="18" s="1"/>
  <c r="H284" i="18"/>
  <c r="J284" i="18" s="1"/>
  <c r="H1662" i="18"/>
  <c r="J1662" i="18" s="1"/>
  <c r="H1620" i="18"/>
  <c r="J1620" i="18" s="1"/>
  <c r="J1619" i="18" s="1"/>
  <c r="Q192" i="1" s="1"/>
  <c r="U192" i="1" s="1"/>
  <c r="H962" i="18"/>
  <c r="J962" i="18" s="1"/>
  <c r="H387" i="18"/>
  <c r="J387" i="18" s="1"/>
  <c r="H1720" i="18"/>
  <c r="J1720" i="18" s="1"/>
  <c r="H1024" i="18"/>
  <c r="J1024" i="18" s="1"/>
  <c r="AA96" i="9"/>
  <c r="AA88" i="9"/>
  <c r="AA80" i="9"/>
  <c r="AA69" i="9"/>
  <c r="N85" i="5"/>
  <c r="N56" i="5"/>
  <c r="P55" i="5"/>
  <c r="H815" i="18"/>
  <c r="J815" i="18" s="1"/>
  <c r="H709" i="18"/>
  <c r="J709" i="18" s="1"/>
  <c r="H342" i="18"/>
  <c r="J342" i="18" s="1"/>
  <c r="H883" i="18"/>
  <c r="J883" i="18" s="1"/>
  <c r="H424" i="18"/>
  <c r="J424" i="18" s="1"/>
  <c r="H321" i="18"/>
  <c r="J321" i="18" s="1"/>
  <c r="H207" i="18"/>
  <c r="J207" i="18" s="1"/>
  <c r="P113" i="5"/>
  <c r="N41" i="5"/>
  <c r="M42" i="5"/>
  <c r="J138" i="3"/>
  <c r="M87" i="33"/>
  <c r="O87" i="33"/>
  <c r="I433" i="22"/>
  <c r="I418" i="22"/>
  <c r="I417" i="22"/>
  <c r="I414" i="22"/>
  <c r="I407" i="22"/>
  <c r="I406" i="22"/>
  <c r="I405" i="22"/>
  <c r="I404" i="22"/>
  <c r="P37" i="5"/>
  <c r="I839" i="22"/>
  <c r="I841" i="22"/>
  <c r="I836" i="22"/>
  <c r="I837" i="22"/>
  <c r="I661" i="22"/>
  <c r="I659" i="22"/>
  <c r="P43" i="5"/>
  <c r="P204" i="1"/>
  <c r="T204" i="1" s="1"/>
  <c r="M78" i="5"/>
  <c r="N9" i="5"/>
  <c r="J120" i="12"/>
  <c r="M53" i="33"/>
  <c r="O53" i="33"/>
  <c r="I862" i="22"/>
  <c r="I860" i="22"/>
  <c r="I863" i="22"/>
  <c r="I857" i="22"/>
  <c r="I856" i="22"/>
  <c r="I855" i="22"/>
  <c r="J112" i="3"/>
  <c r="P112" i="3" s="1"/>
  <c r="J125" i="32"/>
  <c r="Q830" i="22"/>
  <c r="P401" i="22"/>
  <c r="J167" i="32"/>
  <c r="H528" i="32"/>
  <c r="J528" i="32" s="1"/>
  <c r="J625" i="32"/>
  <c r="N194" i="12"/>
  <c r="W73" i="12"/>
  <c r="S73" i="12"/>
  <c r="P73" i="12"/>
  <c r="N73" i="12"/>
  <c r="L73" i="12"/>
  <c r="Y36" i="12"/>
  <c r="S36" i="12"/>
  <c r="N36" i="12"/>
  <c r="W9" i="12"/>
  <c r="S9" i="12"/>
  <c r="P9" i="12"/>
  <c r="N9" i="12"/>
  <c r="L9" i="12"/>
  <c r="P173" i="3"/>
  <c r="S153" i="3"/>
  <c r="P153" i="3"/>
  <c r="N153" i="3"/>
  <c r="L153" i="3"/>
  <c r="N79" i="3"/>
  <c r="S69" i="3"/>
  <c r="N69" i="3"/>
  <c r="M878" i="22"/>
  <c r="K686" i="22"/>
  <c r="K670" i="22"/>
  <c r="M634" i="22"/>
  <c r="M611" i="22"/>
  <c r="K601" i="22"/>
  <c r="K101" i="33"/>
  <c r="K99" i="33"/>
  <c r="Q642" i="22"/>
  <c r="J302" i="32"/>
  <c r="K561" i="22"/>
  <c r="K546" i="22"/>
  <c r="K530" i="22"/>
  <c r="M511" i="22"/>
  <c r="M472" i="22"/>
  <c r="M451" i="22"/>
  <c r="M444" i="22"/>
  <c r="M439" i="22"/>
  <c r="M380" i="22"/>
  <c r="M367" i="22"/>
  <c r="K258" i="22"/>
  <c r="K21" i="33"/>
  <c r="P509" i="22"/>
  <c r="Q109" i="22"/>
  <c r="J64" i="32"/>
  <c r="J296" i="32"/>
  <c r="H63" i="20"/>
  <c r="J129" i="33"/>
  <c r="H185" i="32"/>
  <c r="J185" i="32" s="1"/>
  <c r="J182" i="32"/>
  <c r="H442" i="32"/>
  <c r="J442" i="32" s="1"/>
  <c r="P168" i="22"/>
  <c r="Q167" i="22"/>
  <c r="N219" i="12"/>
  <c r="L219" i="12"/>
  <c r="P191" i="12"/>
  <c r="L159" i="3"/>
  <c r="S149" i="3"/>
  <c r="N83" i="3"/>
  <c r="S73" i="3"/>
  <c r="L73" i="3"/>
  <c r="S61" i="3"/>
  <c r="P61" i="3"/>
  <c r="N61" i="3"/>
  <c r="L61" i="3"/>
  <c r="J465" i="32"/>
  <c r="J531" i="32"/>
  <c r="AA45" i="9"/>
  <c r="Y45" i="9"/>
  <c r="S45" i="9"/>
  <c r="P45" i="9"/>
  <c r="N45" i="9"/>
  <c r="L45" i="9"/>
  <c r="AA8" i="1"/>
  <c r="T9" i="1"/>
  <c r="K878" i="22"/>
  <c r="M686" i="22"/>
  <c r="K634" i="22"/>
  <c r="M617" i="22"/>
  <c r="K611" i="22"/>
  <c r="M601" i="22"/>
  <c r="J662" i="32"/>
  <c r="J652" i="32"/>
  <c r="K451" i="22"/>
  <c r="K444" i="22"/>
  <c r="J29" i="32"/>
  <c r="Q238" i="22"/>
  <c r="Q302" i="22"/>
  <c r="J53" i="32"/>
  <c r="Y22" i="12"/>
  <c r="Y136" i="3"/>
  <c r="Y92" i="3"/>
  <c r="S147" i="12" l="1"/>
  <c r="L147" i="12"/>
  <c r="P147" i="12"/>
  <c r="AA147" i="12"/>
  <c r="W147" i="12"/>
  <c r="S87" i="3"/>
  <c r="N87" i="3"/>
  <c r="W231" i="3"/>
  <c r="S231" i="3"/>
  <c r="N231" i="3"/>
  <c r="W248" i="12"/>
  <c r="P242" i="12"/>
  <c r="J777" i="32"/>
  <c r="J117" i="33" s="1"/>
  <c r="O117" i="33" s="1"/>
  <c r="P159" i="3"/>
  <c r="N191" i="12"/>
  <c r="S79" i="3"/>
  <c r="L222" i="12"/>
  <c r="H833" i="32"/>
  <c r="J833" i="32" s="1"/>
  <c r="J829" i="32" s="1"/>
  <c r="J122" i="33" s="1"/>
  <c r="O122" i="33" s="1"/>
  <c r="I120" i="22"/>
  <c r="O103" i="5"/>
  <c r="P103" i="5" s="1"/>
  <c r="AL103" i="5" s="1"/>
  <c r="N239" i="12"/>
  <c r="L30" i="3"/>
  <c r="N245" i="3"/>
  <c r="N248" i="12"/>
  <c r="H412" i="32"/>
  <c r="J412" i="32" s="1"/>
  <c r="N159" i="3"/>
  <c r="N222" i="12"/>
  <c r="N73" i="3"/>
  <c r="L199" i="3"/>
  <c r="S191" i="12"/>
  <c r="P222" i="12"/>
  <c r="P833" i="22"/>
  <c r="X241" i="12" s="1"/>
  <c r="L232" i="12"/>
  <c r="P237" i="12"/>
  <c r="M48" i="33"/>
  <c r="L48" i="33"/>
  <c r="N199" i="3"/>
  <c r="W191" i="12"/>
  <c r="S222" i="12"/>
  <c r="N249" i="12"/>
  <c r="N237" i="12"/>
  <c r="L237" i="3"/>
  <c r="Q17" i="22"/>
  <c r="S234" i="3"/>
  <c r="L245" i="3"/>
  <c r="S242" i="12"/>
  <c r="S194" i="12"/>
  <c r="N242" i="12"/>
  <c r="N57" i="33"/>
  <c r="P57" i="33" s="1"/>
  <c r="P128" i="22"/>
  <c r="P534" i="22"/>
  <c r="Q534" i="22" s="1"/>
  <c r="W237" i="12"/>
  <c r="I121" i="22"/>
  <c r="I125" i="22"/>
  <c r="I126" i="22"/>
  <c r="N113" i="12"/>
  <c r="P219" i="12"/>
  <c r="Y42" i="9"/>
  <c r="N255" i="12"/>
  <c r="H809" i="32"/>
  <c r="J809" i="32" s="1"/>
  <c r="J61" i="9"/>
  <c r="P61" i="9" s="1"/>
  <c r="M33" i="5"/>
  <c r="O33" i="5" s="1"/>
  <c r="P33" i="5" s="1"/>
  <c r="J272" i="32"/>
  <c r="Q296" i="22"/>
  <c r="P412" i="22"/>
  <c r="Q412" i="22" s="1"/>
  <c r="Q410" i="22" s="1"/>
  <c r="H707" i="32"/>
  <c r="Q451" i="22"/>
  <c r="S235" i="3"/>
  <c r="S237" i="12"/>
  <c r="L42" i="9"/>
  <c r="Q272" i="22"/>
  <c r="L149" i="3"/>
  <c r="Y19" i="12"/>
  <c r="AA222" i="12"/>
  <c r="N149" i="3"/>
  <c r="S219" i="12"/>
  <c r="Y217" i="12"/>
  <c r="I115" i="22"/>
  <c r="N243" i="12"/>
  <c r="P501" i="22"/>
  <c r="Q501" i="22" s="1"/>
  <c r="L242" i="12"/>
  <c r="J103" i="32"/>
  <c r="X113" i="12"/>
  <c r="Z113" i="12" s="1"/>
  <c r="AA113" i="12" s="1"/>
  <c r="P245" i="3"/>
  <c r="Y194" i="12"/>
  <c r="P199" i="3"/>
  <c r="W222" i="12"/>
  <c r="P248" i="12"/>
  <c r="P94" i="33"/>
  <c r="N237" i="3"/>
  <c r="J540" i="32"/>
  <c r="Y197" i="12"/>
  <c r="J628" i="32"/>
  <c r="N142" i="12"/>
  <c r="I116" i="22"/>
  <c r="H901" i="18"/>
  <c r="J901" i="18" s="1"/>
  <c r="W243" i="12"/>
  <c r="H773" i="32"/>
  <c r="J773" i="32" s="1"/>
  <c r="P208" i="3"/>
  <c r="W208" i="3"/>
  <c r="P239" i="12"/>
  <c r="J56" i="32"/>
  <c r="H729" i="18"/>
  <c r="J729" i="18" s="1"/>
  <c r="J726" i="18" s="1"/>
  <c r="Q101" i="1" s="1"/>
  <c r="U101" i="1" s="1"/>
  <c r="J601" i="32"/>
  <c r="J89" i="33" s="1"/>
  <c r="O89" i="33" s="1"/>
  <c r="S72" i="1"/>
  <c r="Z10" i="1" s="1"/>
  <c r="Z12" i="1" s="1"/>
  <c r="Q254" i="22"/>
  <c r="P251" i="22"/>
  <c r="X226" i="12" s="1"/>
  <c r="Q878" i="22"/>
  <c r="P231" i="3"/>
  <c r="Q601" i="22"/>
  <c r="N202" i="3"/>
  <c r="P23" i="33"/>
  <c r="H716" i="32"/>
  <c r="J716" i="32" s="1"/>
  <c r="P873" i="22"/>
  <c r="P874" i="22" s="1"/>
  <c r="R209" i="3"/>
  <c r="S209" i="3" s="1"/>
  <c r="W259" i="12"/>
  <c r="S248" i="12"/>
  <c r="P225" i="22"/>
  <c r="S19" i="12"/>
  <c r="P377" i="22"/>
  <c r="Q377" i="22" s="1"/>
  <c r="AL97" i="5"/>
  <c r="AL96" i="5" s="1"/>
  <c r="AN96" i="5" s="1"/>
  <c r="AO96" i="5" s="1"/>
  <c r="N41" i="2" s="1"/>
  <c r="U41" i="2" s="1"/>
  <c r="V41" i="2" s="1"/>
  <c r="S259" i="12"/>
  <c r="Q103" i="22"/>
  <c r="L249" i="12"/>
  <c r="H868" i="32"/>
  <c r="J868" i="32" s="1"/>
  <c r="J867" i="32" s="1"/>
  <c r="J126" i="33" s="1"/>
  <c r="O126" i="33" s="1"/>
  <c r="L231" i="3"/>
  <c r="AA61" i="9"/>
  <c r="N234" i="3"/>
  <c r="N209" i="3"/>
  <c r="P819" i="22"/>
  <c r="Q819" i="22" s="1"/>
  <c r="Q818" i="22" s="1"/>
  <c r="P19" i="12"/>
  <c r="H513" i="32"/>
  <c r="J513" i="32" s="1"/>
  <c r="L234" i="3"/>
  <c r="P698" i="22"/>
  <c r="Q698" i="22" s="1"/>
  <c r="Q359" i="22"/>
  <c r="P707" i="22"/>
  <c r="H717" i="32"/>
  <c r="J717" i="32" s="1"/>
  <c r="J715" i="32" s="1"/>
  <c r="J108" i="33" s="1"/>
  <c r="O108" i="33" s="1"/>
  <c r="Y179" i="12"/>
  <c r="P255" i="12"/>
  <c r="J1326" i="18"/>
  <c r="J1329" i="18" s="1"/>
  <c r="W233" i="3"/>
  <c r="J766" i="18"/>
  <c r="Q107" i="1" s="1"/>
  <c r="U107" i="1" s="1"/>
  <c r="P233" i="3"/>
  <c r="S233" i="3"/>
  <c r="AA19" i="12"/>
  <c r="N98" i="5"/>
  <c r="O98" i="5" s="1"/>
  <c r="P98" i="5" s="1"/>
  <c r="AL98" i="5" s="1"/>
  <c r="H128" i="32"/>
  <c r="J128" i="32" s="1"/>
  <c r="J124" i="32" s="1"/>
  <c r="J29" i="33" s="1"/>
  <c r="O29" i="33" s="1"/>
  <c r="P97" i="33"/>
  <c r="Q53" i="22"/>
  <c r="J359" i="32"/>
  <c r="J61" i="33" s="1"/>
  <c r="J23" i="32"/>
  <c r="J11" i="33" s="1"/>
  <c r="S184" i="12"/>
  <c r="P184" i="12"/>
  <c r="N184" i="12"/>
  <c r="W184" i="12"/>
  <c r="L184" i="12"/>
  <c r="N86" i="12"/>
  <c r="P86" i="12"/>
  <c r="J698" i="32"/>
  <c r="J697" i="32" s="1"/>
  <c r="J106" i="33" s="1"/>
  <c r="O106" i="33" s="1"/>
  <c r="H699" i="32"/>
  <c r="J699" i="32" s="1"/>
  <c r="N141" i="3"/>
  <c r="P141" i="3"/>
  <c r="R226" i="12"/>
  <c r="S226" i="12" s="1"/>
  <c r="O226" i="12"/>
  <c r="P226" i="12" s="1"/>
  <c r="N107" i="3"/>
  <c r="N147" i="12"/>
  <c r="Y147" i="12"/>
  <c r="K80" i="33"/>
  <c r="P69" i="3"/>
  <c r="P79" i="3"/>
  <c r="P36" i="12"/>
  <c r="AA36" i="12"/>
  <c r="L194" i="12"/>
  <c r="W194" i="12"/>
  <c r="Q873" i="22"/>
  <c r="J1640" i="18"/>
  <c r="Q193" i="1" s="1"/>
  <c r="U193" i="1" s="1"/>
  <c r="H1462" i="18"/>
  <c r="J1462" i="18" s="1"/>
  <c r="H1463" i="18" s="1"/>
  <c r="J1463" i="18" s="1"/>
  <c r="J1461" i="18" s="1"/>
  <c r="Q181" i="1" s="1"/>
  <c r="U181" i="1" s="1"/>
  <c r="H1516" i="18"/>
  <c r="J1516" i="18" s="1"/>
  <c r="H1517" i="18" s="1"/>
  <c r="J1517" i="18" s="1"/>
  <c r="J1515" i="18" s="1"/>
  <c r="Q184" i="1" s="1"/>
  <c r="U184" i="1" s="1"/>
  <c r="W235" i="3"/>
  <c r="L255" i="12"/>
  <c r="S243" i="12"/>
  <c r="H468" i="32"/>
  <c r="J468" i="32" s="1"/>
  <c r="P746" i="22"/>
  <c r="Q746" i="22" s="1"/>
  <c r="H377" i="32"/>
  <c r="J377" i="32" s="1"/>
  <c r="H802" i="18"/>
  <c r="J802" i="18" s="1"/>
  <c r="J673" i="18"/>
  <c r="Q94" i="1" s="1"/>
  <c r="U94" i="1" s="1"/>
  <c r="L252" i="12"/>
  <c r="Q29" i="22"/>
  <c r="AA173" i="3"/>
  <c r="K43" i="15"/>
  <c r="P868" i="22"/>
  <c r="Q868" i="22" s="1"/>
  <c r="Q867" i="22" s="1"/>
  <c r="P716" i="22"/>
  <c r="P773" i="22"/>
  <c r="Q773" i="22" s="1"/>
  <c r="N233" i="3"/>
  <c r="N226" i="12"/>
  <c r="N247" i="12"/>
  <c r="H819" i="32"/>
  <c r="J819" i="32" s="1"/>
  <c r="J818" i="32" s="1"/>
  <c r="P725" i="22"/>
  <c r="P243" i="12"/>
  <c r="I158" i="22"/>
  <c r="I149" i="22"/>
  <c r="I156" i="22"/>
  <c r="I155" i="22"/>
  <c r="I154" i="22"/>
  <c r="I153" i="22"/>
  <c r="AA184" i="12"/>
  <c r="J74" i="32"/>
  <c r="K94" i="33"/>
  <c r="J562" i="32"/>
  <c r="L36" i="12"/>
  <c r="Y73" i="12"/>
  <c r="Y142" i="12"/>
  <c r="P194" i="12"/>
  <c r="H1480" i="18"/>
  <c r="J1480" i="18" s="1"/>
  <c r="H1481" i="18" s="1"/>
  <c r="J1481" i="18" s="1"/>
  <c r="J1479" i="18" s="1"/>
  <c r="Q182" i="1" s="1"/>
  <c r="U182" i="1" s="1"/>
  <c r="H1808" i="18"/>
  <c r="J1808" i="18" s="1"/>
  <c r="H1809" i="18" s="1"/>
  <c r="J1809" i="18" s="1"/>
  <c r="J1807" i="18" s="1"/>
  <c r="Q205" i="1" s="1"/>
  <c r="U205" i="1" s="1"/>
  <c r="X9" i="12"/>
  <c r="Z9" i="12" s="1"/>
  <c r="AA9" i="12" s="1"/>
  <c r="Y31" i="12"/>
  <c r="S255" i="12"/>
  <c r="H1678" i="18"/>
  <c r="J1678" i="18" s="1"/>
  <c r="H1547" i="18"/>
  <c r="J1547" i="18" s="1"/>
  <c r="H63" i="34"/>
  <c r="I63" i="34" s="1"/>
  <c r="H49" i="34"/>
  <c r="I49" i="34" s="1"/>
  <c r="L196" i="3"/>
  <c r="S257" i="12"/>
  <c r="Y50" i="12"/>
  <c r="H873" i="32"/>
  <c r="H874" i="32" s="1"/>
  <c r="J874" i="32" s="1"/>
  <c r="H725" i="32"/>
  <c r="H726" i="32" s="1"/>
  <c r="J726" i="32" s="1"/>
  <c r="Q23" i="22"/>
  <c r="P480" i="22"/>
  <c r="Q480" i="22" s="1"/>
  <c r="P426" i="22"/>
  <c r="Q426" i="22" s="1"/>
  <c r="O65" i="5"/>
  <c r="P65" i="5" s="1"/>
  <c r="AL65" i="5" s="1"/>
  <c r="AL64" i="5" s="1"/>
  <c r="AN64" i="5" s="1"/>
  <c r="AO64" i="5" s="1"/>
  <c r="N26" i="2" s="1"/>
  <c r="U26" i="2" s="1"/>
  <c r="V26" i="2" s="1"/>
  <c r="Q308" i="22"/>
  <c r="O217" i="3"/>
  <c r="P217" i="3" s="1"/>
  <c r="W247" i="12"/>
  <c r="G64" i="20"/>
  <c r="H64" i="20" s="1"/>
  <c r="P247" i="12"/>
  <c r="I286" i="22"/>
  <c r="I283" i="22"/>
  <c r="I285" i="22"/>
  <c r="L19" i="12"/>
  <c r="N19" i="12"/>
  <c r="Q777" i="22"/>
  <c r="Q35" i="22"/>
  <c r="J41" i="32"/>
  <c r="J14" i="33" s="1"/>
  <c r="J789" i="32"/>
  <c r="J118" i="33" s="1"/>
  <c r="O118" i="33" s="1"/>
  <c r="O38" i="5"/>
  <c r="P38" i="5" s="1"/>
  <c r="H734" i="32"/>
  <c r="P734" i="22"/>
  <c r="M51" i="33"/>
  <c r="L51" i="33"/>
  <c r="N51" i="33"/>
  <c r="I304" i="22"/>
  <c r="I303" i="22"/>
  <c r="P83" i="3"/>
  <c r="P107" i="3"/>
  <c r="P113" i="12"/>
  <c r="P626" i="22"/>
  <c r="X247" i="12" s="1"/>
  <c r="N6" i="9"/>
  <c r="N42" i="9"/>
  <c r="AA42" i="9"/>
  <c r="S86" i="12"/>
  <c r="P142" i="12"/>
  <c r="AA142" i="12"/>
  <c r="J961" i="18"/>
  <c r="Q128" i="1" s="1"/>
  <c r="U128" i="1" s="1"/>
  <c r="H810" i="18"/>
  <c r="J810" i="18" s="1"/>
  <c r="X79" i="3"/>
  <c r="Z79" i="3" s="1"/>
  <c r="AA79" i="3" s="1"/>
  <c r="P513" i="22"/>
  <c r="Q513" i="22" s="1"/>
  <c r="P202" i="3"/>
  <c r="H1657" i="18"/>
  <c r="J1657" i="18" s="1"/>
  <c r="P785" i="22"/>
  <c r="Q785" i="22" s="1"/>
  <c r="H534" i="32"/>
  <c r="J534" i="32" s="1"/>
  <c r="H42" i="34"/>
  <c r="I42" i="34" s="1"/>
  <c r="X112" i="3"/>
  <c r="Z112" i="3" s="1"/>
  <c r="AA112" i="3" s="1"/>
  <c r="P639" i="22"/>
  <c r="Q639" i="22" s="1"/>
  <c r="H480" i="32"/>
  <c r="J480" i="32" s="1"/>
  <c r="H10" i="34"/>
  <c r="I10" i="34" s="1"/>
  <c r="H1564" i="18"/>
  <c r="J1564" i="18" s="1"/>
  <c r="P580" i="22"/>
  <c r="Q580" i="22" s="1"/>
  <c r="P753" i="22"/>
  <c r="Q753" i="22" s="1"/>
  <c r="H785" i="32"/>
  <c r="J785" i="32" s="1"/>
  <c r="H380" i="18"/>
  <c r="J380" i="18" s="1"/>
  <c r="H978" i="18"/>
  <c r="J978" i="18" s="1"/>
  <c r="H1017" i="18"/>
  <c r="J1017" i="18" s="1"/>
  <c r="N252" i="12"/>
  <c r="P341" i="22"/>
  <c r="P825" i="22"/>
  <c r="Q825" i="22" s="1"/>
  <c r="P118" i="22"/>
  <c r="Q118" i="22" s="1"/>
  <c r="H418" i="32"/>
  <c r="J418" i="32" s="1"/>
  <c r="H753" i="32"/>
  <c r="J753" i="32" s="1"/>
  <c r="H501" i="32"/>
  <c r="J501" i="32" s="1"/>
  <c r="X219" i="12"/>
  <c r="P252" i="12"/>
  <c r="H1636" i="18"/>
  <c r="J1636" i="18" s="1"/>
  <c r="R253" i="12"/>
  <c r="S253" i="12" s="1"/>
  <c r="O253" i="12"/>
  <c r="P253" i="12" s="1"/>
  <c r="K55" i="33"/>
  <c r="P47" i="9"/>
  <c r="S83" i="3"/>
  <c r="S107" i="3"/>
  <c r="S113" i="12"/>
  <c r="J259" i="32"/>
  <c r="Y173" i="12"/>
  <c r="P6" i="9"/>
  <c r="P42" i="9"/>
  <c r="L86" i="12"/>
  <c r="W86" i="12"/>
  <c r="S142" i="12"/>
  <c r="H401" i="32"/>
  <c r="J401" i="32" s="1"/>
  <c r="J398" i="32" s="1"/>
  <c r="J64" i="33" s="1"/>
  <c r="O64" i="33" s="1"/>
  <c r="P837" i="22"/>
  <c r="Q837" i="22" s="1"/>
  <c r="H837" i="32"/>
  <c r="J837" i="32" s="1"/>
  <c r="S199" i="12"/>
  <c r="P175" i="22"/>
  <c r="Q175" i="22" s="1"/>
  <c r="H118" i="32"/>
  <c r="J118" i="32" s="1"/>
  <c r="H825" i="32"/>
  <c r="J825" i="32" s="1"/>
  <c r="H23" i="34"/>
  <c r="I23" i="34" s="1"/>
  <c r="H1713" i="18"/>
  <c r="J1713" i="18" s="1"/>
  <c r="P797" i="22"/>
  <c r="Q797" i="22" s="1"/>
  <c r="H580" i="32"/>
  <c r="J580" i="32" s="1"/>
  <c r="H46" i="34"/>
  <c r="I46" i="34" s="1"/>
  <c r="H1307" i="18"/>
  <c r="J1307" i="18" s="1"/>
  <c r="P679" i="22"/>
  <c r="Q679" i="22" s="1"/>
  <c r="H490" i="32"/>
  <c r="J490" i="32" s="1"/>
  <c r="H28" i="34"/>
  <c r="I28" i="34" s="1"/>
  <c r="H957" i="18"/>
  <c r="J957" i="18" s="1"/>
  <c r="H997" i="18"/>
  <c r="J997" i="18" s="1"/>
  <c r="H1077" i="18"/>
  <c r="J1077" i="18" s="1"/>
  <c r="J225" i="12"/>
  <c r="P126" i="33"/>
  <c r="AA24" i="12"/>
  <c r="H19" i="34"/>
  <c r="I19" i="34" s="1"/>
  <c r="H53" i="34"/>
  <c r="I53" i="34" s="1"/>
  <c r="H36" i="34"/>
  <c r="I36" i="34" s="1"/>
  <c r="P385" i="22"/>
  <c r="Q385" i="22" s="1"/>
  <c r="I301" i="22"/>
  <c r="P597" i="22"/>
  <c r="Q597" i="22" s="1"/>
  <c r="R237" i="3"/>
  <c r="S237" i="3" s="1"/>
  <c r="O237" i="3"/>
  <c r="P237" i="3" s="1"/>
  <c r="S47" i="9"/>
  <c r="L113" i="12"/>
  <c r="AA6" i="9"/>
  <c r="L142" i="12"/>
  <c r="H509" i="32"/>
  <c r="J509" i="32" s="1"/>
  <c r="J505" i="32" s="1"/>
  <c r="J76" i="33" s="1"/>
  <c r="O76" i="33" s="1"/>
  <c r="J1221" i="18"/>
  <c r="Q152" i="1" s="1"/>
  <c r="U152" i="1" s="1"/>
  <c r="AA86" i="12"/>
  <c r="O91" i="5"/>
  <c r="P91" i="5" s="1"/>
  <c r="G25" i="20"/>
  <c r="H25" i="20" s="1"/>
  <c r="H1110" i="18"/>
  <c r="J1110" i="18" s="1"/>
  <c r="H1530" i="18"/>
  <c r="J1530" i="18" s="1"/>
  <c r="P490" i="22"/>
  <c r="Q490" i="22" s="1"/>
  <c r="P739" i="22"/>
  <c r="Q739" i="22" s="1"/>
  <c r="H746" i="32"/>
  <c r="J746" i="32" s="1"/>
  <c r="H57" i="34"/>
  <c r="I57" i="34" s="1"/>
  <c r="P418" i="22"/>
  <c r="Q418" i="22" s="1"/>
  <c r="H175" i="32"/>
  <c r="J175" i="32" s="1"/>
  <c r="H597" i="32"/>
  <c r="J597" i="32" s="1"/>
  <c r="H33" i="34"/>
  <c r="I33" i="34" s="1"/>
  <c r="G35" i="20"/>
  <c r="H35" i="20" s="1"/>
  <c r="P809" i="22"/>
  <c r="Q809" i="22" s="1"/>
  <c r="H739" i="32"/>
  <c r="J739" i="32" s="1"/>
  <c r="H15" i="34"/>
  <c r="I15" i="34" s="1"/>
  <c r="H870" i="18"/>
  <c r="J870" i="18" s="1"/>
  <c r="H1180" i="18"/>
  <c r="J1180" i="18" s="1"/>
  <c r="H1217" i="18"/>
  <c r="J1217" i="18" s="1"/>
  <c r="T72" i="1"/>
  <c r="AA10" i="1" s="1"/>
  <c r="AA12" i="1" s="1"/>
  <c r="J100" i="9"/>
  <c r="AA100" i="9" s="1"/>
  <c r="P590" i="22"/>
  <c r="H1406" i="18"/>
  <c r="J1406" i="18" s="1"/>
  <c r="H1615" i="18"/>
  <c r="J1615" i="18" s="1"/>
  <c r="H426" i="32"/>
  <c r="J426" i="32" s="1"/>
  <c r="Q41" i="22"/>
  <c r="J340" i="32"/>
  <c r="H341" i="32"/>
  <c r="J341" i="32" s="1"/>
  <c r="Q260" i="22"/>
  <c r="X237" i="12"/>
  <c r="Z237" i="12" s="1"/>
  <c r="AA237" i="12" s="1"/>
  <c r="M54" i="16"/>
  <c r="P24" i="12"/>
  <c r="S24" i="12"/>
  <c r="I528" i="22"/>
  <c r="L31" i="12"/>
  <c r="AL23" i="5"/>
  <c r="P27" i="33"/>
  <c r="Y107" i="12"/>
  <c r="Q314" i="22"/>
  <c r="J44" i="18"/>
  <c r="Q16" i="1" s="1"/>
  <c r="U16" i="1" s="1"/>
  <c r="P196" i="3"/>
  <c r="N196" i="3"/>
  <c r="AL88" i="5"/>
  <c r="AL87" i="5" s="1"/>
  <c r="AN87" i="5" s="1"/>
  <c r="AO87" i="5" s="1"/>
  <c r="N38" i="2" s="1"/>
  <c r="U38" i="2" s="1"/>
  <c r="V38" i="2" s="1"/>
  <c r="J207" i="3"/>
  <c r="S252" i="12"/>
  <c r="N235" i="3"/>
  <c r="O100" i="5"/>
  <c r="P100" i="5" s="1"/>
  <c r="AL100" i="5" s="1"/>
  <c r="H233" i="32"/>
  <c r="J233" i="32" s="1"/>
  <c r="Y86" i="12"/>
  <c r="I520" i="22"/>
  <c r="N173" i="12"/>
  <c r="P442" i="22"/>
  <c r="Q440" i="22"/>
  <c r="L50" i="12"/>
  <c r="L87" i="3"/>
  <c r="J1661" i="18"/>
  <c r="Q194" i="1" s="1"/>
  <c r="U194" i="1" s="1"/>
  <c r="J28" i="18"/>
  <c r="H225" i="32"/>
  <c r="J225" i="32" s="1"/>
  <c r="J222" i="32" s="1"/>
  <c r="J39" i="33" s="1"/>
  <c r="O39" i="33" s="1"/>
  <c r="N78" i="33"/>
  <c r="P240" i="22"/>
  <c r="H425" i="32"/>
  <c r="J425" i="32" s="1"/>
  <c r="X191" i="12"/>
  <c r="G89" i="20"/>
  <c r="H89" i="20" s="1"/>
  <c r="H384" i="32"/>
  <c r="J384" i="32" s="1"/>
  <c r="P425" i="22"/>
  <c r="Q425" i="22" s="1"/>
  <c r="P384" i="22"/>
  <c r="Q384" i="22" s="1"/>
  <c r="P50" i="12"/>
  <c r="P87" i="3"/>
  <c r="O44" i="5"/>
  <c r="P44" i="5" s="1"/>
  <c r="J259" i="18"/>
  <c r="J262" i="18" s="1"/>
  <c r="H809" i="18"/>
  <c r="J809" i="18" s="1"/>
  <c r="J1375" i="18"/>
  <c r="J1378" i="18" s="1"/>
  <c r="S50" i="12"/>
  <c r="J171" i="18"/>
  <c r="Q31" i="1" s="1"/>
  <c r="U31" i="1" s="1"/>
  <c r="H877" i="18"/>
  <c r="J877" i="18" s="1"/>
  <c r="N87" i="33"/>
  <c r="P87" i="33" s="1"/>
  <c r="S216" i="3"/>
  <c r="H1734" i="18"/>
  <c r="J1734" i="18" s="1"/>
  <c r="S246" i="12"/>
  <c r="N246" i="12"/>
  <c r="L246" i="12"/>
  <c r="W246" i="12"/>
  <c r="W225" i="12" s="1"/>
  <c r="W50" i="12"/>
  <c r="AA178" i="3"/>
  <c r="L173" i="12"/>
  <c r="J284" i="32"/>
  <c r="J48" i="33" s="1"/>
  <c r="H227" i="18"/>
  <c r="J227" i="18" s="1"/>
  <c r="J224" i="18" s="1"/>
  <c r="P548" i="22"/>
  <c r="Q548" i="22" s="1"/>
  <c r="H287" i="18"/>
  <c r="J287" i="18" s="1"/>
  <c r="J283" i="18" s="1"/>
  <c r="Q46" i="1" s="1"/>
  <c r="U46" i="1" s="1"/>
  <c r="P80" i="33"/>
  <c r="H863" i="32"/>
  <c r="J863" i="32" s="1"/>
  <c r="J862" i="32"/>
  <c r="N50" i="12"/>
  <c r="AA50" i="12"/>
  <c r="P699" i="22"/>
  <c r="J577" i="18"/>
  <c r="Q80" i="1" s="1"/>
  <c r="U80" i="1" s="1"/>
  <c r="P55" i="33"/>
  <c r="Y211" i="12"/>
  <c r="K54" i="16"/>
  <c r="P173" i="12"/>
  <c r="J1345" i="18"/>
  <c r="J1346" i="18" s="1"/>
  <c r="N46" i="12"/>
  <c r="P235" i="3"/>
  <c r="O21" i="5"/>
  <c r="P21" i="5" s="1"/>
  <c r="AL21" i="5" s="1"/>
  <c r="AL68" i="5"/>
  <c r="AN68" i="5" s="1"/>
  <c r="AO68" i="5" s="1"/>
  <c r="N28" i="2" s="1"/>
  <c r="U28" i="2" s="1"/>
  <c r="V28" i="2" s="1"/>
  <c r="H458" i="18" s="1"/>
  <c r="J458" i="18" s="1"/>
  <c r="H461" i="18" s="1"/>
  <c r="J461" i="18" s="1"/>
  <c r="J457" i="18" s="1"/>
  <c r="Y24" i="12"/>
  <c r="H344" i="18"/>
  <c r="J344" i="18" s="1"/>
  <c r="Y98" i="3"/>
  <c r="J526" i="32"/>
  <c r="J78" i="33" s="1"/>
  <c r="O78" i="33" s="1"/>
  <c r="H390" i="18"/>
  <c r="J390" i="18" s="1"/>
  <c r="J386" i="18" s="1"/>
  <c r="Q59" i="1" s="1"/>
  <c r="U59" i="1" s="1"/>
  <c r="H209" i="18"/>
  <c r="J209" i="18" s="1"/>
  <c r="AA173" i="12"/>
  <c r="S173" i="12"/>
  <c r="P199" i="12"/>
  <c r="J60" i="18"/>
  <c r="Q18" i="1" s="1"/>
  <c r="U18" i="1" s="1"/>
  <c r="H711" i="18"/>
  <c r="J711" i="18" s="1"/>
  <c r="AA46" i="12"/>
  <c r="P29" i="5"/>
  <c r="AL29" i="5" s="1"/>
  <c r="H426" i="18"/>
  <c r="J426" i="18" s="1"/>
  <c r="O54" i="16"/>
  <c r="J545" i="18"/>
  <c r="J548" i="18" s="1"/>
  <c r="N216" i="3"/>
  <c r="L76" i="12"/>
  <c r="H323" i="18"/>
  <c r="J323" i="18" s="1"/>
  <c r="J921" i="18"/>
  <c r="Q122" i="1" s="1"/>
  <c r="U122" i="1" s="1"/>
  <c r="AL33" i="5"/>
  <c r="AL30" i="5" s="1"/>
  <c r="AN30" i="5" s="1"/>
  <c r="AO30" i="5" s="1"/>
  <c r="N11" i="2" s="1"/>
  <c r="U11" i="2" s="1"/>
  <c r="V11" i="2" s="1"/>
  <c r="H1457" i="18" s="1"/>
  <c r="J1457" i="18" s="1"/>
  <c r="H1458" i="18" s="1"/>
  <c r="J1458" i="18" s="1"/>
  <c r="J1456" i="18" s="1"/>
  <c r="N181" i="1" s="1"/>
  <c r="R181" i="1" s="1"/>
  <c r="J561" i="18"/>
  <c r="Q78" i="1" s="1"/>
  <c r="U78" i="1" s="1"/>
  <c r="P31" i="12"/>
  <c r="N76" i="12"/>
  <c r="G31" i="20"/>
  <c r="H31" i="20" s="1"/>
  <c r="P46" i="12"/>
  <c r="W46" i="12"/>
  <c r="P760" i="22"/>
  <c r="Q760" i="22" s="1"/>
  <c r="I527" i="22"/>
  <c r="I523" i="22"/>
  <c r="I522" i="22"/>
  <c r="I525" i="22"/>
  <c r="W76" i="12"/>
  <c r="Y76" i="12"/>
  <c r="L46" i="12"/>
  <c r="H1201" i="18"/>
  <c r="J1201" i="18" s="1"/>
  <c r="J1198" i="18" s="1"/>
  <c r="Q149" i="1" s="1"/>
  <c r="U149" i="1" s="1"/>
  <c r="Q258" i="22"/>
  <c r="P447" i="22"/>
  <c r="Q447" i="22" s="1"/>
  <c r="H447" i="32"/>
  <c r="J447" i="32" s="1"/>
  <c r="H406" i="32"/>
  <c r="J406" i="32" s="1"/>
  <c r="X202" i="3"/>
  <c r="Z202" i="3" s="1"/>
  <c r="AA202" i="3" s="1"/>
  <c r="H917" i="18"/>
  <c r="J917" i="18" s="1"/>
  <c r="P406" i="22"/>
  <c r="Q406" i="22" s="1"/>
  <c r="H849" i="18"/>
  <c r="J849" i="18" s="1"/>
  <c r="G50" i="20"/>
  <c r="H50" i="20" s="1"/>
  <c r="X199" i="3"/>
  <c r="P405" i="22"/>
  <c r="Q405" i="22" s="1"/>
  <c r="H405" i="32"/>
  <c r="J405" i="32" s="1"/>
  <c r="P446" i="22"/>
  <c r="Q446" i="22" s="1"/>
  <c r="H446" i="32"/>
  <c r="J446" i="32" s="1"/>
  <c r="G49" i="20"/>
  <c r="H49" i="20" s="1"/>
  <c r="H916" i="18"/>
  <c r="J916" i="18" s="1"/>
  <c r="H848" i="18"/>
  <c r="J848" i="18" s="1"/>
  <c r="O45" i="5"/>
  <c r="P45" i="5" s="1"/>
  <c r="AL45" i="5" s="1"/>
  <c r="AL46" i="5"/>
  <c r="AN46" i="5" s="1"/>
  <c r="AO46" i="5" s="1"/>
  <c r="N17" i="2" s="1"/>
  <c r="U17" i="2" s="1"/>
  <c r="V17" i="2" s="1"/>
  <c r="H1215" i="18" s="1"/>
  <c r="J1215" i="18" s="1"/>
  <c r="T216" i="1"/>
  <c r="P863" i="22"/>
  <c r="Q862" i="22"/>
  <c r="H251" i="32"/>
  <c r="J251" i="32" s="1"/>
  <c r="J249" i="32"/>
  <c r="P563" i="22"/>
  <c r="Q562" i="22"/>
  <c r="S141" i="3"/>
  <c r="S173" i="3"/>
  <c r="P53" i="33"/>
  <c r="O39" i="5"/>
  <c r="P39" i="5" s="1"/>
  <c r="O260" i="12"/>
  <c r="P260" i="12" s="1"/>
  <c r="N260" i="12"/>
  <c r="X134" i="3"/>
  <c r="AA199" i="12"/>
  <c r="W199" i="12"/>
  <c r="W127" i="12"/>
  <c r="P86" i="22"/>
  <c r="Q86" i="22" s="1"/>
  <c r="H423" i="18"/>
  <c r="J423" i="18" s="1"/>
  <c r="H341" i="18"/>
  <c r="J341" i="18" s="1"/>
  <c r="H320" i="18"/>
  <c r="J320" i="18" s="1"/>
  <c r="H708" i="18"/>
  <c r="J708" i="18" s="1"/>
  <c r="H206" i="18"/>
  <c r="J206" i="18" s="1"/>
  <c r="H330" i="32"/>
  <c r="J330" i="32" s="1"/>
  <c r="H86" i="32"/>
  <c r="J86" i="32" s="1"/>
  <c r="P330" i="22"/>
  <c r="Q330" i="22" s="1"/>
  <c r="X95" i="12"/>
  <c r="H199" i="32"/>
  <c r="J199" i="32" s="1"/>
  <c r="H369" i="32"/>
  <c r="J369" i="32" s="1"/>
  <c r="P199" i="22"/>
  <c r="Q199" i="22" s="1"/>
  <c r="P369" i="22"/>
  <c r="Q369" i="22" s="1"/>
  <c r="H154" i="32"/>
  <c r="J154" i="32" s="1"/>
  <c r="H142" i="32"/>
  <c r="J142" i="32" s="1"/>
  <c r="H351" i="32"/>
  <c r="J351" i="32" s="1"/>
  <c r="P351" i="22"/>
  <c r="Q351" i="22" s="1"/>
  <c r="P154" i="22"/>
  <c r="Q154" i="22" s="1"/>
  <c r="P142" i="22"/>
  <c r="Q142" i="22" s="1"/>
  <c r="H240" i="32"/>
  <c r="J240" i="32" s="1"/>
  <c r="J238" i="32"/>
  <c r="N232" i="3"/>
  <c r="Y178" i="3"/>
  <c r="L47" i="9"/>
  <c r="Y47" i="9"/>
  <c r="L24" i="12"/>
  <c r="W24" i="12"/>
  <c r="P76" i="12"/>
  <c r="AA76" i="12"/>
  <c r="Y199" i="12"/>
  <c r="J318" i="32"/>
  <c r="S6" i="9"/>
  <c r="L141" i="3"/>
  <c r="L173" i="3"/>
  <c r="Y173" i="3"/>
  <c r="Y184" i="12"/>
  <c r="Q851" i="22"/>
  <c r="Q249" i="22"/>
  <c r="X233" i="12"/>
  <c r="Y233" i="12" s="1"/>
  <c r="J530" i="18"/>
  <c r="J533" i="18" s="1"/>
  <c r="J1794" i="18"/>
  <c r="J1796" i="18" s="1"/>
  <c r="J1823" i="18"/>
  <c r="Q206" i="1" s="1"/>
  <c r="U206" i="1" s="1"/>
  <c r="P77" i="5"/>
  <c r="AL77" i="5" s="1"/>
  <c r="G14" i="20"/>
  <c r="H14" i="20" s="1"/>
  <c r="L94" i="3"/>
  <c r="L256" i="12"/>
  <c r="N31" i="12"/>
  <c r="H1581" i="18"/>
  <c r="J1581" i="18" s="1"/>
  <c r="H1582" i="18" s="1"/>
  <c r="J1582" i="18" s="1"/>
  <c r="J1579" i="18" s="1"/>
  <c r="J1586" i="18" s="1"/>
  <c r="L56" i="3"/>
  <c r="J76" i="18"/>
  <c r="G36" i="20"/>
  <c r="H36" i="20" s="1"/>
  <c r="L127" i="12"/>
  <c r="AL15" i="5"/>
  <c r="P7" i="5"/>
  <c r="AL7" i="5" s="1"/>
  <c r="H231" i="32"/>
  <c r="J231" i="32" s="1"/>
  <c r="S202" i="3"/>
  <c r="P56" i="3"/>
  <c r="P127" i="12"/>
  <c r="H1062" i="18"/>
  <c r="J1062" i="18" s="1"/>
  <c r="J1060" i="18" s="1"/>
  <c r="Q135" i="1" s="1"/>
  <c r="U135" i="1" s="1"/>
  <c r="AL57" i="5"/>
  <c r="AN57" i="5" s="1"/>
  <c r="AO57" i="5" s="1"/>
  <c r="N22" i="2" s="1"/>
  <c r="U22" i="2" s="1"/>
  <c r="V22" i="2" s="1"/>
  <c r="P675" i="22" s="1"/>
  <c r="J589" i="32"/>
  <c r="H590" i="32"/>
  <c r="J590" i="32" s="1"/>
  <c r="R220" i="3"/>
  <c r="S220" i="3" s="1"/>
  <c r="N220" i="3"/>
  <c r="J730" i="18"/>
  <c r="J733" i="18" s="1"/>
  <c r="J1699" i="18"/>
  <c r="J1702" i="18" s="1"/>
  <c r="AL28" i="5"/>
  <c r="X20" i="3"/>
  <c r="Z20" i="3" s="1"/>
  <c r="AA20" i="3" s="1"/>
  <c r="AL107" i="5"/>
  <c r="AL105" i="5" s="1"/>
  <c r="AN105" i="5" s="1"/>
  <c r="Y46" i="12"/>
  <c r="AL114" i="5"/>
  <c r="P231" i="22"/>
  <c r="Q231" i="22" s="1"/>
  <c r="H97" i="32"/>
  <c r="J97" i="32" s="1"/>
  <c r="J95" i="32"/>
  <c r="N47" i="9"/>
  <c r="N24" i="12"/>
  <c r="Y127" i="12"/>
  <c r="L6" i="9"/>
  <c r="N173" i="3"/>
  <c r="AL89" i="5"/>
  <c r="H1721" i="18"/>
  <c r="J1721" i="18" s="1"/>
  <c r="J1717" i="18" s="1"/>
  <c r="Q197" i="1" s="1"/>
  <c r="U197" i="1" s="1"/>
  <c r="AL73" i="5"/>
  <c r="P232" i="22"/>
  <c r="Q232" i="22" s="1"/>
  <c r="N94" i="3"/>
  <c r="L199" i="12"/>
  <c r="W31" i="12"/>
  <c r="AA31" i="12"/>
  <c r="P12" i="5"/>
  <c r="AL12" i="5" s="1"/>
  <c r="H760" i="32"/>
  <c r="J760" i="32" s="1"/>
  <c r="N56" i="3"/>
  <c r="J12" i="18"/>
  <c r="N127" i="12"/>
  <c r="X100" i="3"/>
  <c r="R222" i="3"/>
  <c r="S222" i="3" s="1"/>
  <c r="N222" i="3"/>
  <c r="H354" i="32"/>
  <c r="J354" i="32" s="1"/>
  <c r="H145" i="32"/>
  <c r="J145" i="32" s="1"/>
  <c r="P354" i="22"/>
  <c r="Q354" i="22" s="1"/>
  <c r="P145" i="22"/>
  <c r="Q145" i="22" s="1"/>
  <c r="H333" i="32"/>
  <c r="J333" i="32" s="1"/>
  <c r="H89" i="32"/>
  <c r="J89" i="32" s="1"/>
  <c r="P333" i="22"/>
  <c r="Q333" i="22" s="1"/>
  <c r="P89" i="22"/>
  <c r="Q89" i="22" s="1"/>
  <c r="H157" i="32"/>
  <c r="J157" i="32" s="1"/>
  <c r="P157" i="22"/>
  <c r="Q157" i="22" s="1"/>
  <c r="P202" i="22"/>
  <c r="Q202" i="22" s="1"/>
  <c r="H372" i="32"/>
  <c r="J372" i="32" s="1"/>
  <c r="P372" i="22"/>
  <c r="Q372" i="22" s="1"/>
  <c r="H202" i="32"/>
  <c r="J202" i="32" s="1"/>
  <c r="O234" i="3"/>
  <c r="P234" i="3" s="1"/>
  <c r="J851" i="32"/>
  <c r="H852" i="32"/>
  <c r="J852" i="32" s="1"/>
  <c r="P94" i="3"/>
  <c r="AA127" i="12"/>
  <c r="O20" i="5"/>
  <c r="P213" i="22"/>
  <c r="Q212" i="22"/>
  <c r="P97" i="22"/>
  <c r="P528" i="22"/>
  <c r="Q527" i="22"/>
  <c r="N257" i="12"/>
  <c r="H1216" i="18"/>
  <c r="J1216" i="18" s="1"/>
  <c r="H1076" i="18"/>
  <c r="J1076" i="18" s="1"/>
  <c r="H1016" i="18"/>
  <c r="J1016" i="18" s="1"/>
  <c r="H41" i="34"/>
  <c r="I41" i="34" s="1"/>
  <c r="H596" i="32"/>
  <c r="J596" i="32" s="1"/>
  <c r="P808" i="22"/>
  <c r="Q808" i="22" s="1"/>
  <c r="X56" i="3"/>
  <c r="H27" i="34"/>
  <c r="I27" i="34" s="1"/>
  <c r="H533" i="32"/>
  <c r="J533" i="32" s="1"/>
  <c r="P533" i="22"/>
  <c r="Q533" i="22" s="1"/>
  <c r="H1677" i="18"/>
  <c r="J1677" i="18" s="1"/>
  <c r="H32" i="34"/>
  <c r="I32" i="34" s="1"/>
  <c r="H500" i="32"/>
  <c r="J500" i="32" s="1"/>
  <c r="P500" i="22"/>
  <c r="Q500" i="22" s="1"/>
  <c r="G20" i="20"/>
  <c r="H20" i="20" s="1"/>
  <c r="P596" i="22"/>
  <c r="Q596" i="22" s="1"/>
  <c r="H808" i="32"/>
  <c r="J808" i="32" s="1"/>
  <c r="H1015" i="18"/>
  <c r="J1015" i="18" s="1"/>
  <c r="H402" i="18"/>
  <c r="J402" i="18" s="1"/>
  <c r="H403" i="18" s="1"/>
  <c r="J403" i="18" s="1"/>
  <c r="J401" i="18" s="1"/>
  <c r="H299" i="18"/>
  <c r="J299" i="18" s="1"/>
  <c r="H606" i="32"/>
  <c r="P188" i="22"/>
  <c r="H1235" i="18"/>
  <c r="J1235" i="18" s="1"/>
  <c r="H1236" i="18" s="1"/>
  <c r="J1236" i="18" s="1"/>
  <c r="J1234" i="18" s="1"/>
  <c r="J1240" i="18" s="1"/>
  <c r="P606" i="22"/>
  <c r="G26" i="20"/>
  <c r="H26" i="20" s="1"/>
  <c r="H188" i="32"/>
  <c r="X83" i="3"/>
  <c r="H131" i="32"/>
  <c r="P131" i="22"/>
  <c r="P85" i="5"/>
  <c r="AL85" i="5" s="1"/>
  <c r="H956" i="18"/>
  <c r="J956" i="18" s="1"/>
  <c r="H379" i="18"/>
  <c r="J379" i="18" s="1"/>
  <c r="H276" i="18"/>
  <c r="J276" i="18" s="1"/>
  <c r="H14" i="34"/>
  <c r="I14" i="34" s="1"/>
  <c r="H824" i="32"/>
  <c r="J824" i="32" s="1"/>
  <c r="P824" i="22"/>
  <c r="Q824" i="22" s="1"/>
  <c r="P467" i="22"/>
  <c r="Q467" i="22" s="1"/>
  <c r="X61" i="3"/>
  <c r="H1635" i="18"/>
  <c r="J1635" i="18" s="1"/>
  <c r="H796" i="32"/>
  <c r="J796" i="32" s="1"/>
  <c r="H467" i="32"/>
  <c r="J467" i="32" s="1"/>
  <c r="P796" i="22"/>
  <c r="Q796" i="22" s="1"/>
  <c r="P174" i="22"/>
  <c r="Q174" i="22" s="1"/>
  <c r="H1712" i="18"/>
  <c r="J1712" i="18" s="1"/>
  <c r="H9" i="34"/>
  <c r="I9" i="34" s="1"/>
  <c r="H784" i="32"/>
  <c r="J784" i="32" s="1"/>
  <c r="H174" i="32"/>
  <c r="J174" i="32" s="1"/>
  <c r="P784" i="22"/>
  <c r="Q784" i="22" s="1"/>
  <c r="P117" i="22"/>
  <c r="Q117" i="22" s="1"/>
  <c r="H1656" i="18"/>
  <c r="J1656" i="18" s="1"/>
  <c r="P772" i="22"/>
  <c r="Q772" i="22" s="1"/>
  <c r="H1614" i="18"/>
  <c r="J1614" i="18" s="1"/>
  <c r="H62" i="34"/>
  <c r="I62" i="34" s="1"/>
  <c r="G21" i="20"/>
  <c r="H21" i="20" s="1"/>
  <c r="H772" i="32"/>
  <c r="J772" i="32" s="1"/>
  <c r="H117" i="32"/>
  <c r="J117" i="32" s="1"/>
  <c r="O9" i="5"/>
  <c r="P9" i="5" s="1"/>
  <c r="AA176" i="12"/>
  <c r="N176" i="12"/>
  <c r="Y176" i="12"/>
  <c r="L176" i="12"/>
  <c r="W176" i="12"/>
  <c r="S176" i="12"/>
  <c r="Q165" i="1"/>
  <c r="U165" i="1" s="1"/>
  <c r="R223" i="3"/>
  <c r="S223" i="3" s="1"/>
  <c r="N223" i="3"/>
  <c r="O223" i="3"/>
  <c r="P223" i="3" s="1"/>
  <c r="O25" i="5"/>
  <c r="P25" i="5" s="1"/>
  <c r="Q29" i="1"/>
  <c r="U29" i="1" s="1"/>
  <c r="J158" i="18"/>
  <c r="J181" i="32"/>
  <c r="J35" i="33" s="1"/>
  <c r="O35" i="33" s="1"/>
  <c r="AA120" i="12"/>
  <c r="N120" i="12"/>
  <c r="Y120" i="12"/>
  <c r="L120" i="12"/>
  <c r="W120" i="12"/>
  <c r="S120" i="12"/>
  <c r="P94" i="5"/>
  <c r="AL94" i="5" s="1"/>
  <c r="H1025" i="18"/>
  <c r="J1025" i="18" s="1"/>
  <c r="J1021" i="18" s="1"/>
  <c r="Q132" i="1" s="1"/>
  <c r="U132" i="1" s="1"/>
  <c r="N179" i="12"/>
  <c r="L179" i="12"/>
  <c r="W179" i="12"/>
  <c r="S179" i="12"/>
  <c r="R229" i="3"/>
  <c r="S229" i="3" s="1"/>
  <c r="O229" i="3"/>
  <c r="P229" i="3" s="1"/>
  <c r="N229" i="3"/>
  <c r="L222" i="3"/>
  <c r="O222" i="3"/>
  <c r="P222" i="3" s="1"/>
  <c r="X84" i="12"/>
  <c r="H814" i="18"/>
  <c r="J814" i="18" s="1"/>
  <c r="H322" i="18"/>
  <c r="J322" i="18" s="1"/>
  <c r="H882" i="18"/>
  <c r="J882" i="18" s="1"/>
  <c r="H343" i="18"/>
  <c r="J343" i="18" s="1"/>
  <c r="H425" i="18"/>
  <c r="J425" i="18" s="1"/>
  <c r="H710" i="18"/>
  <c r="J710" i="18" s="1"/>
  <c r="H208" i="18"/>
  <c r="J208" i="18" s="1"/>
  <c r="H353" i="32"/>
  <c r="J353" i="32" s="1"/>
  <c r="H144" i="32"/>
  <c r="J144" i="32" s="1"/>
  <c r="P430" i="22"/>
  <c r="P332" i="22"/>
  <c r="Q332" i="22" s="1"/>
  <c r="P88" i="22"/>
  <c r="Q88" i="22" s="1"/>
  <c r="H389" i="32"/>
  <c r="H332" i="32"/>
  <c r="J332" i="32" s="1"/>
  <c r="H88" i="32"/>
  <c r="J88" i="32" s="1"/>
  <c r="P371" i="22"/>
  <c r="Q371" i="22" s="1"/>
  <c r="P201" i="22"/>
  <c r="Q201" i="22" s="1"/>
  <c r="P156" i="22"/>
  <c r="Q156" i="22" s="1"/>
  <c r="H430" i="32"/>
  <c r="H156" i="32"/>
  <c r="J156" i="32" s="1"/>
  <c r="H371" i="32"/>
  <c r="J371" i="32" s="1"/>
  <c r="P389" i="22"/>
  <c r="P144" i="22"/>
  <c r="Q144" i="22" s="1"/>
  <c r="H201" i="32"/>
  <c r="J201" i="32" s="1"/>
  <c r="P353" i="22"/>
  <c r="Q353" i="22" s="1"/>
  <c r="R236" i="3"/>
  <c r="S236" i="3" s="1"/>
  <c r="N236" i="3"/>
  <c r="O236" i="3"/>
  <c r="P236" i="3" s="1"/>
  <c r="O41" i="5"/>
  <c r="P41" i="5" s="1"/>
  <c r="AL41" i="5" s="1"/>
  <c r="T167" i="1"/>
  <c r="J1840" i="18"/>
  <c r="Q209" i="1"/>
  <c r="U209" i="1" s="1"/>
  <c r="Z34" i="12"/>
  <c r="AA34" i="12" s="1"/>
  <c r="Y34" i="12"/>
  <c r="J853" i="18"/>
  <c r="Q115" i="1" s="1"/>
  <c r="U115" i="1" s="1"/>
  <c r="W107" i="12"/>
  <c r="S107" i="12"/>
  <c r="N107" i="12"/>
  <c r="L107" i="12"/>
  <c r="R210" i="3"/>
  <c r="S210" i="3" s="1"/>
  <c r="N210" i="3"/>
  <c r="O210" i="3"/>
  <c r="P210" i="3" s="1"/>
  <c r="AL63" i="5"/>
  <c r="AL61" i="5" s="1"/>
  <c r="AN61" i="5" s="1"/>
  <c r="AO61" i="5" s="1"/>
  <c r="N25" i="2" s="1"/>
  <c r="U25" i="2" s="1"/>
  <c r="V25" i="2" s="1"/>
  <c r="H479" i="18"/>
  <c r="J479" i="18" s="1"/>
  <c r="H485" i="18" s="1"/>
  <c r="J485" i="18" s="1"/>
  <c r="J478" i="18" s="1"/>
  <c r="H228" i="32"/>
  <c r="P120" i="12"/>
  <c r="O13" i="5"/>
  <c r="P13" i="5" s="1"/>
  <c r="AL13" i="5" s="1"/>
  <c r="H1128" i="18"/>
  <c r="J1128" i="18" s="1"/>
  <c r="H440" i="18"/>
  <c r="J440" i="18" s="1"/>
  <c r="H358" i="18"/>
  <c r="J358" i="18" s="1"/>
  <c r="H1056" i="18"/>
  <c r="J1056" i="18" s="1"/>
  <c r="H557" i="32"/>
  <c r="J557" i="32" s="1"/>
  <c r="H207" i="32"/>
  <c r="J207" i="32" s="1"/>
  <c r="P620" i="22"/>
  <c r="Q620" i="22" s="1"/>
  <c r="P162" i="22"/>
  <c r="Q162" i="22" s="1"/>
  <c r="H1772" i="18"/>
  <c r="J1772" i="18" s="1"/>
  <c r="H846" i="32"/>
  <c r="J846" i="32" s="1"/>
  <c r="P857" i="22"/>
  <c r="Q857" i="22" s="1"/>
  <c r="P522" i="22"/>
  <c r="Q522" i="22" s="1"/>
  <c r="X141" i="3"/>
  <c r="H162" i="32"/>
  <c r="J162" i="32" s="1"/>
  <c r="G39" i="20"/>
  <c r="H39" i="20" s="1"/>
  <c r="P557" i="22"/>
  <c r="Q557" i="22" s="1"/>
  <c r="H620" i="32"/>
  <c r="J620" i="32" s="1"/>
  <c r="P846" i="22"/>
  <c r="Q846" i="22" s="1"/>
  <c r="H1752" i="18"/>
  <c r="J1752" i="18" s="1"/>
  <c r="H522" i="32"/>
  <c r="J522" i="32" s="1"/>
  <c r="P207" i="22"/>
  <c r="Q207" i="22" s="1"/>
  <c r="H857" i="32"/>
  <c r="J857" i="32" s="1"/>
  <c r="H1269" i="18"/>
  <c r="J1269" i="18" s="1"/>
  <c r="Q21" i="1"/>
  <c r="U21" i="1" s="1"/>
  <c r="J95" i="18"/>
  <c r="Q42" i="1"/>
  <c r="U42" i="1" s="1"/>
  <c r="J246" i="18"/>
  <c r="J676" i="18"/>
  <c r="Q89" i="1"/>
  <c r="U89" i="1" s="1"/>
  <c r="J644" i="18"/>
  <c r="R232" i="12"/>
  <c r="S232" i="12" s="1"/>
  <c r="N232" i="12"/>
  <c r="O232" i="12"/>
  <c r="P232" i="12" s="1"/>
  <c r="P19" i="33"/>
  <c r="N130" i="33"/>
  <c r="O130" i="33"/>
  <c r="M130" i="33"/>
  <c r="L130" i="33"/>
  <c r="O16" i="5"/>
  <c r="P107" i="12"/>
  <c r="Q27" i="1"/>
  <c r="U27" i="1" s="1"/>
  <c r="J142" i="18"/>
  <c r="R249" i="12"/>
  <c r="S249" i="12" s="1"/>
  <c r="O249" i="12"/>
  <c r="P249" i="12" s="1"/>
  <c r="Z182" i="12"/>
  <c r="AA182" i="12" s="1"/>
  <c r="Y182" i="12"/>
  <c r="R228" i="12"/>
  <c r="S228" i="12" s="1"/>
  <c r="N228" i="12"/>
  <c r="O228" i="12"/>
  <c r="P228" i="12" s="1"/>
  <c r="N162" i="3"/>
  <c r="L162" i="3"/>
  <c r="S162" i="3"/>
  <c r="J1363" i="18"/>
  <c r="J1362" i="18"/>
  <c r="J1361" i="18"/>
  <c r="P162" i="3"/>
  <c r="L220" i="3"/>
  <c r="O220" i="3"/>
  <c r="P220" i="3" s="1"/>
  <c r="J439" i="32"/>
  <c r="J68" i="33" s="1"/>
  <c r="O68" i="33" s="1"/>
  <c r="N112" i="3"/>
  <c r="L112" i="3"/>
  <c r="S112" i="3"/>
  <c r="N42" i="5"/>
  <c r="R230" i="3"/>
  <c r="S230" i="3" s="1"/>
  <c r="N230" i="3"/>
  <c r="O230" i="3"/>
  <c r="P230" i="3" s="1"/>
  <c r="R226" i="3"/>
  <c r="S226" i="3" s="1"/>
  <c r="O226" i="3"/>
  <c r="P226" i="3" s="1"/>
  <c r="N226" i="3"/>
  <c r="Q139" i="1"/>
  <c r="U139" i="1" s="1"/>
  <c r="J1098" i="18"/>
  <c r="H1445" i="18"/>
  <c r="J1445" i="18" s="1"/>
  <c r="J1443" i="18" s="1"/>
  <c r="Q180" i="1" s="1"/>
  <c r="U180" i="1" s="1"/>
  <c r="L216" i="3"/>
  <c r="O216" i="3"/>
  <c r="P216" i="3" s="1"/>
  <c r="L257" i="12"/>
  <c r="O257" i="12"/>
  <c r="P257" i="12" s="1"/>
  <c r="S38" i="3"/>
  <c r="N38" i="3"/>
  <c r="L38" i="3"/>
  <c r="P101" i="5"/>
  <c r="AL101" i="5" s="1"/>
  <c r="O120" i="5"/>
  <c r="P120" i="5" s="1"/>
  <c r="AL120" i="5" s="1"/>
  <c r="Q97" i="1"/>
  <c r="U97" i="1" s="1"/>
  <c r="J692" i="18"/>
  <c r="R250" i="12"/>
  <c r="S250" i="12" s="1"/>
  <c r="O250" i="12"/>
  <c r="P250" i="12" s="1"/>
  <c r="O245" i="12"/>
  <c r="P245" i="12" s="1"/>
  <c r="L245" i="12"/>
  <c r="N95" i="5"/>
  <c r="P92" i="5"/>
  <c r="AL92" i="5" s="1"/>
  <c r="L260" i="12"/>
  <c r="O36" i="5"/>
  <c r="P36" i="5" s="1"/>
  <c r="AL36" i="5" s="1"/>
  <c r="AL35" i="5" s="1"/>
  <c r="AN35" i="5" s="1"/>
  <c r="AO35" i="5" s="1"/>
  <c r="N13" i="2" s="1"/>
  <c r="U13" i="2" s="1"/>
  <c r="V13" i="2" s="1"/>
  <c r="S178" i="3"/>
  <c r="N178" i="3"/>
  <c r="L178" i="3"/>
  <c r="Q23" i="1"/>
  <c r="U23" i="1" s="1"/>
  <c r="J111" i="18"/>
  <c r="Q25" i="1"/>
  <c r="U25" i="1" s="1"/>
  <c r="J127" i="18"/>
  <c r="Q82" i="1"/>
  <c r="U82" i="1" s="1"/>
  <c r="J596" i="18"/>
  <c r="Q92" i="1"/>
  <c r="U92" i="1" s="1"/>
  <c r="J660" i="18"/>
  <c r="K17" i="33"/>
  <c r="O121" i="5"/>
  <c r="O56" i="5"/>
  <c r="P56" i="5" s="1"/>
  <c r="AL56" i="5" s="1"/>
  <c r="AL55" i="5" s="1"/>
  <c r="AN55" i="5" s="1"/>
  <c r="AO55" i="5" s="1"/>
  <c r="N21" i="2" s="1"/>
  <c r="U21" i="2" s="1"/>
  <c r="V21" i="2" s="1"/>
  <c r="L232" i="3"/>
  <c r="O232" i="3"/>
  <c r="P232" i="3" s="1"/>
  <c r="W130" i="12"/>
  <c r="S130" i="12"/>
  <c r="AA130" i="12"/>
  <c r="N130" i="12"/>
  <c r="Y130" i="12"/>
  <c r="L130" i="12"/>
  <c r="Q34" i="1"/>
  <c r="U34" i="1" s="1"/>
  <c r="J190" i="18"/>
  <c r="P84" i="5"/>
  <c r="AL84" i="5" s="1"/>
  <c r="H255" i="32"/>
  <c r="J255" i="32" s="1"/>
  <c r="J254" i="32"/>
  <c r="R233" i="12"/>
  <c r="S233" i="12" s="1"/>
  <c r="O233" i="12"/>
  <c r="P233" i="12" s="1"/>
  <c r="P176" i="12"/>
  <c r="R240" i="12"/>
  <c r="S240" i="12" s="1"/>
  <c r="N240" i="12"/>
  <c r="O240" i="12"/>
  <c r="P240" i="12" s="1"/>
  <c r="W104" i="12"/>
  <c r="S104" i="12"/>
  <c r="AA104" i="12"/>
  <c r="N104" i="12"/>
  <c r="L104" i="12"/>
  <c r="Y104" i="12"/>
  <c r="S216" i="1"/>
  <c r="S207" i="1"/>
  <c r="O78" i="5"/>
  <c r="P78" i="5" s="1"/>
  <c r="S138" i="3"/>
  <c r="N138" i="3"/>
  <c r="L138" i="3"/>
  <c r="AL113" i="5"/>
  <c r="AN113" i="5" s="1"/>
  <c r="AO113" i="5" s="1"/>
  <c r="N46" i="2" s="1"/>
  <c r="U46" i="2" s="1"/>
  <c r="V46" i="2" s="1"/>
  <c r="O54" i="5"/>
  <c r="Z6" i="12"/>
  <c r="AA6" i="12" s="1"/>
  <c r="Y6" i="12"/>
  <c r="R211" i="3"/>
  <c r="S211" i="3" s="1"/>
  <c r="N211" i="3"/>
  <c r="O211" i="3"/>
  <c r="P211" i="3" s="1"/>
  <c r="W214" i="12"/>
  <c r="S214" i="12"/>
  <c r="AA214" i="12"/>
  <c r="N214" i="12"/>
  <c r="Y214" i="12"/>
  <c r="L214" i="12"/>
  <c r="S102" i="3"/>
  <c r="N102" i="3"/>
  <c r="L102" i="3"/>
  <c r="O74" i="5"/>
  <c r="O104" i="5"/>
  <c r="P104" i="5" s="1"/>
  <c r="AL104" i="5" s="1"/>
  <c r="R251" i="12"/>
  <c r="S251" i="12" s="1"/>
  <c r="N251" i="12"/>
  <c r="O251" i="12"/>
  <c r="P251" i="12" s="1"/>
  <c r="R218" i="3"/>
  <c r="S218" i="3" s="1"/>
  <c r="N218" i="3"/>
  <c r="O218" i="3"/>
  <c r="P218" i="3" s="1"/>
  <c r="R225" i="3"/>
  <c r="S225" i="3" s="1"/>
  <c r="N225" i="3"/>
  <c r="O225" i="3"/>
  <c r="P225" i="3" s="1"/>
  <c r="S22" i="3"/>
  <c r="N22" i="3"/>
  <c r="L22" i="3"/>
  <c r="AA208" i="12"/>
  <c r="N208" i="12"/>
  <c r="Y208" i="12"/>
  <c r="L208" i="12"/>
  <c r="W208" i="12"/>
  <c r="S208" i="12"/>
  <c r="H491" i="18"/>
  <c r="J491" i="18" s="1"/>
  <c r="J488" i="18" s="1"/>
  <c r="Q68" i="1" s="1"/>
  <c r="U68" i="1" s="1"/>
  <c r="J1854" i="18"/>
  <c r="Q211" i="1"/>
  <c r="U211" i="1" s="1"/>
  <c r="Q175" i="1"/>
  <c r="U175" i="1" s="1"/>
  <c r="J1390" i="18"/>
  <c r="H903" i="18"/>
  <c r="J903" i="18" s="1"/>
  <c r="J900" i="18" s="1"/>
  <c r="Q120" i="1" s="1"/>
  <c r="U120" i="1" s="1"/>
  <c r="AA107" i="12"/>
  <c r="AA179" i="12"/>
  <c r="J759" i="32"/>
  <c r="J1292" i="18"/>
  <c r="Q87" i="1"/>
  <c r="U87" i="1" s="1"/>
  <c r="J628" i="18"/>
  <c r="Q85" i="1"/>
  <c r="U85" i="1" s="1"/>
  <c r="J612" i="18"/>
  <c r="H784" i="18"/>
  <c r="J784" i="18" s="1"/>
  <c r="J783" i="18" s="1"/>
  <c r="Q109" i="1" s="1"/>
  <c r="U109" i="1" s="1"/>
  <c r="H319" i="18"/>
  <c r="J319" i="18" s="1"/>
  <c r="H422" i="18"/>
  <c r="J422" i="18" s="1"/>
  <c r="H747" i="18"/>
  <c r="J747" i="18" s="1"/>
  <c r="H752" i="18" s="1"/>
  <c r="J752" i="18" s="1"/>
  <c r="J746" i="18" s="1"/>
  <c r="Q105" i="1" s="1"/>
  <c r="U105" i="1" s="1"/>
  <c r="H707" i="18"/>
  <c r="J707" i="18" s="1"/>
  <c r="H205" i="18"/>
  <c r="J205" i="18" s="1"/>
  <c r="H340" i="18"/>
  <c r="J340" i="18" s="1"/>
  <c r="H198" i="32"/>
  <c r="H368" i="32"/>
  <c r="P198" i="22"/>
  <c r="P85" i="22"/>
  <c r="H350" i="32"/>
  <c r="P141" i="22"/>
  <c r="H153" i="32"/>
  <c r="P368" i="22"/>
  <c r="P153" i="22"/>
  <c r="X118" i="12"/>
  <c r="P350" i="22"/>
  <c r="H329" i="32"/>
  <c r="H85" i="32"/>
  <c r="P329" i="22"/>
  <c r="H141" i="32"/>
  <c r="P138" i="3"/>
  <c r="R258" i="12"/>
  <c r="S258" i="12" s="1"/>
  <c r="N258" i="12"/>
  <c r="O258" i="12"/>
  <c r="P258" i="12" s="1"/>
  <c r="N250" i="12"/>
  <c r="AA97" i="12"/>
  <c r="N97" i="12"/>
  <c r="Y97" i="12"/>
  <c r="L97" i="12"/>
  <c r="W97" i="12"/>
  <c r="S97" i="12"/>
  <c r="O17" i="5"/>
  <c r="P17" i="5" s="1"/>
  <c r="AL17" i="5" s="1"/>
  <c r="O8" i="5"/>
  <c r="R254" i="12"/>
  <c r="S254" i="12" s="1"/>
  <c r="N254" i="12"/>
  <c r="O254" i="12"/>
  <c r="P254" i="12" s="1"/>
  <c r="P104" i="12"/>
  <c r="J10" i="33"/>
  <c r="J14" i="32"/>
  <c r="Q128" i="22"/>
  <c r="Q124" i="22" s="1"/>
  <c r="X232" i="12"/>
  <c r="X229" i="12"/>
  <c r="Q699" i="22"/>
  <c r="Q697" i="22" s="1"/>
  <c r="Q626" i="22"/>
  <c r="Q624" i="22" s="1"/>
  <c r="X242" i="12"/>
  <c r="Q168" i="22"/>
  <c r="Q166" i="22" s="1"/>
  <c r="X227" i="12"/>
  <c r="Q225" i="22"/>
  <c r="Q222" i="22" s="1"/>
  <c r="K129" i="33"/>
  <c r="O129" i="33"/>
  <c r="P129" i="33" s="1"/>
  <c r="J50" i="33"/>
  <c r="J293" i="32"/>
  <c r="J26" i="33"/>
  <c r="J100" i="32"/>
  <c r="J38" i="32"/>
  <c r="J45" i="33"/>
  <c r="J263" i="32"/>
  <c r="J49" i="33"/>
  <c r="J287" i="32"/>
  <c r="J9" i="33"/>
  <c r="J8" i="32"/>
  <c r="J13" i="33"/>
  <c r="J32" i="32"/>
  <c r="X231" i="12"/>
  <c r="Q874" i="22"/>
  <c r="Q872" i="22" s="1"/>
  <c r="X239" i="12"/>
  <c r="Q852" i="22"/>
  <c r="Q251" i="22"/>
  <c r="X244" i="12"/>
  <c r="Q401" i="22"/>
  <c r="Q398" i="22" s="1"/>
  <c r="J52" i="33"/>
  <c r="J305" i="32"/>
  <c r="J16" i="33"/>
  <c r="J50" i="32"/>
  <c r="J12" i="33"/>
  <c r="J26" i="32"/>
  <c r="X208" i="3"/>
  <c r="Q255" i="22"/>
  <c r="Q253" i="22" s="1"/>
  <c r="J46" i="33"/>
  <c r="J269" i="32"/>
  <c r="J18" i="33"/>
  <c r="J61" i="32"/>
  <c r="J128" i="33"/>
  <c r="J875" i="32"/>
  <c r="Q509" i="22"/>
  <c r="Q505" i="22" s="1"/>
  <c r="X240" i="12"/>
  <c r="J47" i="33"/>
  <c r="J275" i="32"/>
  <c r="J51" i="33"/>
  <c r="J299" i="32"/>
  <c r="J15" i="33"/>
  <c r="J44" i="32"/>
  <c r="Y237" i="12"/>
  <c r="H844" i="32" l="1"/>
  <c r="P520" i="22"/>
  <c r="X162" i="3"/>
  <c r="W207" i="3"/>
  <c r="W246" i="3" s="1"/>
  <c r="H243" i="32"/>
  <c r="J707" i="32"/>
  <c r="H708" i="32"/>
  <c r="J708" i="32" s="1"/>
  <c r="J532" i="18"/>
  <c r="J873" i="32"/>
  <c r="J872" i="32" s="1"/>
  <c r="Y113" i="12"/>
  <c r="Q833" i="22"/>
  <c r="Q829" i="22" s="1"/>
  <c r="P243" i="22"/>
  <c r="G62" i="20"/>
  <c r="J1810" i="18"/>
  <c r="J1813" i="18" s="1"/>
  <c r="J20" i="32"/>
  <c r="H216" i="32"/>
  <c r="S61" i="9"/>
  <c r="N61" i="9"/>
  <c r="Y61" i="9"/>
  <c r="L61" i="9"/>
  <c r="Z233" i="12"/>
  <c r="AA233" i="12" s="1"/>
  <c r="J1797" i="18"/>
  <c r="AL38" i="5"/>
  <c r="Q43" i="1"/>
  <c r="U43" i="1" s="1"/>
  <c r="H1770" i="18"/>
  <c r="J1770" i="18" s="1"/>
  <c r="H885" i="18"/>
  <c r="J885" i="18" s="1"/>
  <c r="J876" i="18" s="1"/>
  <c r="Q118" i="1" s="1"/>
  <c r="U118" i="1" s="1"/>
  <c r="H62" i="20"/>
  <c r="K126" i="33"/>
  <c r="J864" i="32"/>
  <c r="P708" i="22"/>
  <c r="Q707" i="22"/>
  <c r="H520" i="32"/>
  <c r="J520" i="32" s="1"/>
  <c r="P855" i="22"/>
  <c r="Q855" i="22" s="1"/>
  <c r="Q76" i="1"/>
  <c r="U76" i="1" s="1"/>
  <c r="H555" i="32"/>
  <c r="J555" i="32" s="1"/>
  <c r="P555" i="22"/>
  <c r="Q555" i="22" s="1"/>
  <c r="H1126" i="18"/>
  <c r="J1126" i="18" s="1"/>
  <c r="J281" i="32"/>
  <c r="J1795" i="18"/>
  <c r="H618" i="32"/>
  <c r="H1054" i="18"/>
  <c r="J1054" i="18" s="1"/>
  <c r="J356" i="32"/>
  <c r="H855" i="32"/>
  <c r="J855" i="32" s="1"/>
  <c r="G43" i="20"/>
  <c r="H43" i="20" s="1"/>
  <c r="J174" i="18"/>
  <c r="J175" i="18" s="1"/>
  <c r="J47" i="18"/>
  <c r="H1267" i="18"/>
  <c r="J1267" i="18" s="1"/>
  <c r="N154" i="1"/>
  <c r="R154" i="1" s="1"/>
  <c r="J1377" i="18"/>
  <c r="P844" i="22"/>
  <c r="Q844" i="22" s="1"/>
  <c r="H1750" i="18"/>
  <c r="J1750" i="18" s="1"/>
  <c r="J769" i="18"/>
  <c r="P618" i="22"/>
  <c r="J725" i="32"/>
  <c r="J724" i="32" s="1"/>
  <c r="J109" i="33" s="1"/>
  <c r="O109" i="33" s="1"/>
  <c r="Y79" i="3"/>
  <c r="H817" i="18"/>
  <c r="J817" i="18" s="1"/>
  <c r="J808" i="18" s="1"/>
  <c r="Q111" i="1" s="1"/>
  <c r="U111" i="1" s="1"/>
  <c r="H635" i="32"/>
  <c r="J635" i="32" s="1"/>
  <c r="Q725" i="22"/>
  <c r="P726" i="22"/>
  <c r="J531" i="18"/>
  <c r="J1376" i="18"/>
  <c r="M131" i="33"/>
  <c r="X94" i="3"/>
  <c r="Z94" i="3" s="1"/>
  <c r="AA94" i="3" s="1"/>
  <c r="P228" i="22"/>
  <c r="Q228" i="22" s="1"/>
  <c r="H503" i="18"/>
  <c r="J503" i="18" s="1"/>
  <c r="H505" i="18" s="1"/>
  <c r="J505" i="18" s="1"/>
  <c r="J502" i="18" s="1"/>
  <c r="N69" i="1" s="1"/>
  <c r="R69" i="1" s="1"/>
  <c r="AL91" i="5"/>
  <c r="AL90" i="5" s="1"/>
  <c r="AN90" i="5" s="1"/>
  <c r="AO90" i="5" s="1"/>
  <c r="N39" i="2" s="1"/>
  <c r="U39" i="2" s="1"/>
  <c r="V39" i="2" s="1"/>
  <c r="AA113" i="9"/>
  <c r="J121" i="33"/>
  <c r="J815" i="32"/>
  <c r="P717" i="22"/>
  <c r="Q716" i="22"/>
  <c r="N131" i="33"/>
  <c r="G30" i="20"/>
  <c r="H30" i="20" s="1"/>
  <c r="P216" i="22"/>
  <c r="Q216" i="22" s="1"/>
  <c r="Y9" i="12"/>
  <c r="H40" i="34"/>
  <c r="I40" i="34" s="1"/>
  <c r="I38" i="34" s="1"/>
  <c r="Y112" i="3"/>
  <c r="AL26" i="5"/>
  <c r="AN26" i="5" s="1"/>
  <c r="AO26" i="5" s="1"/>
  <c r="N10" i="2" s="1"/>
  <c r="U10" i="2" s="1"/>
  <c r="V10" i="2" s="1"/>
  <c r="H720" i="32" s="1"/>
  <c r="J720" i="32" s="1"/>
  <c r="P735" i="22"/>
  <c r="Q734" i="22"/>
  <c r="H735" i="32"/>
  <c r="J735" i="32" s="1"/>
  <c r="J734" i="32"/>
  <c r="H1402" i="18"/>
  <c r="J1402" i="18" s="1"/>
  <c r="J237" i="32"/>
  <c r="J40" i="33" s="1"/>
  <c r="O40" i="33" s="1"/>
  <c r="F42" i="17"/>
  <c r="F43" i="17" s="1"/>
  <c r="F41" i="17" s="1"/>
  <c r="G7" i="42" s="1"/>
  <c r="H7" i="42" s="1"/>
  <c r="J1347" i="18"/>
  <c r="Y100" i="9"/>
  <c r="X250" i="12"/>
  <c r="Q341" i="22"/>
  <c r="Q338" i="22" s="1"/>
  <c r="J1348" i="18"/>
  <c r="J1349" i="18" s="1"/>
  <c r="Q590" i="22"/>
  <c r="Q587" i="22" s="1"/>
  <c r="X251" i="12"/>
  <c r="Z219" i="12"/>
  <c r="AA219" i="12" s="1"/>
  <c r="Y219" i="12"/>
  <c r="H761" i="32"/>
  <c r="J761" i="32" s="1"/>
  <c r="J758" i="32" s="1"/>
  <c r="P100" i="9"/>
  <c r="P113" i="9" s="1"/>
  <c r="N100" i="9"/>
  <c r="S100" i="9"/>
  <c r="S113" i="9" s="1"/>
  <c r="L100" i="9"/>
  <c r="Q248" i="22"/>
  <c r="J861" i="32"/>
  <c r="J125" i="33" s="1"/>
  <c r="O125" i="33" s="1"/>
  <c r="AL99" i="5"/>
  <c r="AN99" i="5" s="1"/>
  <c r="AO99" i="5" s="1"/>
  <c r="N42" i="2" s="1"/>
  <c r="U42" i="2" s="1"/>
  <c r="V42" i="2" s="1"/>
  <c r="H1733" i="18" s="1"/>
  <c r="J1733" i="18" s="1"/>
  <c r="J1732" i="18" s="1"/>
  <c r="J580" i="18"/>
  <c r="J581" i="18" s="1"/>
  <c r="H795" i="32"/>
  <c r="J795" i="32" s="1"/>
  <c r="H26" i="34"/>
  <c r="I26" i="34" s="1"/>
  <c r="I24" i="34" s="1"/>
  <c r="H955" i="18"/>
  <c r="J955" i="18" s="1"/>
  <c r="H958" i="18" s="1"/>
  <c r="J958" i="18" s="1"/>
  <c r="J953" i="18" s="1"/>
  <c r="N128" i="1" s="1"/>
  <c r="R128" i="1" s="1"/>
  <c r="P173" i="22"/>
  <c r="Q173" i="22" s="1"/>
  <c r="P745" i="22"/>
  <c r="Q745" i="22" s="1"/>
  <c r="Q744" i="22" s="1"/>
  <c r="H807" i="32"/>
  <c r="J807" i="32" s="1"/>
  <c r="X18" i="3"/>
  <c r="Z18" i="3" s="1"/>
  <c r="AA18" i="3" s="1"/>
  <c r="X38" i="3"/>
  <c r="Z38" i="3" s="1"/>
  <c r="AA38" i="3" s="1"/>
  <c r="H13" i="34"/>
  <c r="I13" i="34" s="1"/>
  <c r="P795" i="22"/>
  <c r="Q795" i="22" s="1"/>
  <c r="Q442" i="22"/>
  <c r="Q439" i="22" s="1"/>
  <c r="X245" i="12"/>
  <c r="Q14" i="1"/>
  <c r="U14" i="1" s="1"/>
  <c r="J31" i="18"/>
  <c r="H595" i="32"/>
  <c r="H598" i="32" s="1"/>
  <c r="J598" i="32" s="1"/>
  <c r="Z191" i="12"/>
  <c r="AA191" i="12" s="1"/>
  <c r="Y191" i="12"/>
  <c r="H35" i="34"/>
  <c r="I35" i="34" s="1"/>
  <c r="I34" i="34" s="1"/>
  <c r="J63" i="18"/>
  <c r="P499" i="22"/>
  <c r="Q499" i="22" s="1"/>
  <c r="Q240" i="22"/>
  <c r="Q237" i="22" s="1"/>
  <c r="X228" i="12"/>
  <c r="AL44" i="5"/>
  <c r="AL43" i="5" s="1"/>
  <c r="AN43" i="5" s="1"/>
  <c r="AO43" i="5" s="1"/>
  <c r="N16" i="2" s="1"/>
  <c r="U16" i="2" s="1"/>
  <c r="V16" i="2" s="1"/>
  <c r="P823" i="22"/>
  <c r="Q823" i="22" s="1"/>
  <c r="H466" i="32"/>
  <c r="J466" i="32" s="1"/>
  <c r="P635" i="22"/>
  <c r="Q635" i="22" s="1"/>
  <c r="P702" i="22"/>
  <c r="Q702" i="22" s="1"/>
  <c r="G13" i="20"/>
  <c r="H13" i="20" s="1"/>
  <c r="J1379" i="18"/>
  <c r="J1380" i="18" s="1"/>
  <c r="J1381" i="18" s="1"/>
  <c r="J1382" i="18" s="1"/>
  <c r="J1383" i="18" s="1"/>
  <c r="Y20" i="3"/>
  <c r="H702" i="32"/>
  <c r="J702" i="32" s="1"/>
  <c r="Q850" i="22"/>
  <c r="W261" i="12"/>
  <c r="H1218" i="18"/>
  <c r="J1218" i="18" s="1"/>
  <c r="J1213" i="18" s="1"/>
  <c r="J1224" i="18" s="1"/>
  <c r="J731" i="18"/>
  <c r="J732" i="18"/>
  <c r="J564" i="18"/>
  <c r="J565" i="18" s="1"/>
  <c r="J1811" i="18"/>
  <c r="AL82" i="5"/>
  <c r="AN82" i="5" s="1"/>
  <c r="AO82" i="5" s="1"/>
  <c r="N36" i="2" s="1"/>
  <c r="U36" i="2" s="1"/>
  <c r="V36" i="2" s="1"/>
  <c r="P419" i="22" s="1"/>
  <c r="H1303" i="18"/>
  <c r="J1303" i="18" s="1"/>
  <c r="J1812" i="18"/>
  <c r="P761" i="22"/>
  <c r="J1202" i="18"/>
  <c r="J1204" i="18" s="1"/>
  <c r="AL10" i="5"/>
  <c r="AN10" i="5" s="1"/>
  <c r="AO10" i="5" s="1"/>
  <c r="N6" i="2" s="1"/>
  <c r="U6" i="2" s="1"/>
  <c r="V6" i="2" s="1"/>
  <c r="P573" i="22" s="1"/>
  <c r="Q213" i="22"/>
  <c r="Q211" i="22" s="1"/>
  <c r="X243" i="12"/>
  <c r="J1700" i="18"/>
  <c r="H678" i="32"/>
  <c r="J678" i="32" s="1"/>
  <c r="H1634" i="18"/>
  <c r="J1634" i="18" s="1"/>
  <c r="H1637" i="18" s="1"/>
  <c r="J1637" i="18" s="1"/>
  <c r="J1632" i="18" s="1"/>
  <c r="P532" i="22"/>
  <c r="Q532" i="22" s="1"/>
  <c r="H1711" i="18"/>
  <c r="J1711" i="18" s="1"/>
  <c r="H1714" i="18" s="1"/>
  <c r="J1714" i="18" s="1"/>
  <c r="J1709" i="18" s="1"/>
  <c r="H771" i="32"/>
  <c r="H774" i="32" s="1"/>
  <c r="J774" i="32" s="1"/>
  <c r="H738" i="32"/>
  <c r="J738" i="32" s="1"/>
  <c r="J737" i="32" s="1"/>
  <c r="H1075" i="18"/>
  <c r="J1075" i="18" s="1"/>
  <c r="H1078" i="18" s="1"/>
  <c r="J1078" i="18" s="1"/>
  <c r="J1073" i="18" s="1"/>
  <c r="J1083" i="18" s="1"/>
  <c r="J850" i="32"/>
  <c r="J124" i="33" s="1"/>
  <c r="O124" i="33" s="1"/>
  <c r="P20" i="5"/>
  <c r="AL20" i="5" s="1"/>
  <c r="AL18" i="5" s="1"/>
  <c r="AN18" i="5" s="1"/>
  <c r="AO18" i="5" s="1"/>
  <c r="N8" i="2" s="1"/>
  <c r="U8" i="2" s="1"/>
  <c r="V8" i="2" s="1"/>
  <c r="Z134" i="3"/>
  <c r="AA134" i="3" s="1"/>
  <c r="Y134" i="3"/>
  <c r="AL39" i="5"/>
  <c r="AL37" i="5" s="1"/>
  <c r="AN37" i="5" s="1"/>
  <c r="AO37" i="5" s="1"/>
  <c r="N14" i="2" s="1"/>
  <c r="U14" i="2" s="1"/>
  <c r="V14" i="2" s="1"/>
  <c r="Z199" i="3"/>
  <c r="AA199" i="3" s="1"/>
  <c r="Y199" i="3"/>
  <c r="N188" i="1"/>
  <c r="R188" i="1" s="1"/>
  <c r="P246" i="3"/>
  <c r="H345" i="18"/>
  <c r="J345" i="18" s="1"/>
  <c r="J339" i="18" s="1"/>
  <c r="Q53" i="1" s="1"/>
  <c r="U53" i="1" s="1"/>
  <c r="J1701" i="18"/>
  <c r="L207" i="3"/>
  <c r="L246" i="3" s="1"/>
  <c r="P130" i="33"/>
  <c r="P738" i="22"/>
  <c r="Q738" i="22" s="1"/>
  <c r="Q737" i="22" s="1"/>
  <c r="H61" i="34"/>
  <c r="I61" i="34" s="1"/>
  <c r="I59" i="34" s="1"/>
  <c r="P579" i="22"/>
  <c r="Q579" i="22" s="1"/>
  <c r="Q578" i="22" s="1"/>
  <c r="P771" i="22"/>
  <c r="Q771" i="22" s="1"/>
  <c r="H1676" i="18"/>
  <c r="J1676" i="18" s="1"/>
  <c r="H1679" i="18" s="1"/>
  <c r="J1679" i="18" s="1"/>
  <c r="J1674" i="18" s="1"/>
  <c r="P783" i="22"/>
  <c r="P786" i="22" s="1"/>
  <c r="H823" i="32"/>
  <c r="J823" i="32" s="1"/>
  <c r="H31" i="34"/>
  <c r="I31" i="34" s="1"/>
  <c r="I29" i="34" s="1"/>
  <c r="P466" i="22"/>
  <c r="P469" i="22" s="1"/>
  <c r="P752" i="22"/>
  <c r="Q752" i="22" s="1"/>
  <c r="Q751" i="22" s="1"/>
  <c r="H8" i="34"/>
  <c r="I8" i="34" s="1"/>
  <c r="I6" i="34" s="1"/>
  <c r="H1306" i="18"/>
  <c r="J1306" i="18" s="1"/>
  <c r="P807" i="22"/>
  <c r="Q807" i="22" s="1"/>
  <c r="H638" i="32"/>
  <c r="J638" i="32" s="1"/>
  <c r="H45" i="34"/>
  <c r="I45" i="34" s="1"/>
  <c r="I43" i="34" s="1"/>
  <c r="H1179" i="18"/>
  <c r="J1179" i="18" s="1"/>
  <c r="J1178" i="18" s="1"/>
  <c r="N148" i="1" s="1"/>
  <c r="R148" i="1" s="1"/>
  <c r="H675" i="32"/>
  <c r="X76" i="3"/>
  <c r="Y76" i="3" s="1"/>
  <c r="H1018" i="18"/>
  <c r="J1018" i="18" s="1"/>
  <c r="J1013" i="18" s="1"/>
  <c r="N132" i="1" s="1"/>
  <c r="R132" i="1" s="1"/>
  <c r="Q97" i="22"/>
  <c r="Q94" i="22" s="1"/>
  <c r="X249" i="12"/>
  <c r="Y202" i="3"/>
  <c r="Q19" i="1"/>
  <c r="U19" i="1" s="1"/>
  <c r="J79" i="18"/>
  <c r="Q563" i="22"/>
  <c r="Q561" i="22" s="1"/>
  <c r="X238" i="12"/>
  <c r="X248" i="12"/>
  <c r="Q863" i="22"/>
  <c r="Q861" i="22" s="1"/>
  <c r="Q38" i="1"/>
  <c r="U38" i="1" s="1"/>
  <c r="J228" i="18"/>
  <c r="Z95" i="12"/>
  <c r="AA95" i="12" s="1"/>
  <c r="Y95" i="12"/>
  <c r="P261" i="12"/>
  <c r="P16" i="5"/>
  <c r="AL16" i="5" s="1"/>
  <c r="AL14" i="5" s="1"/>
  <c r="AN14" i="5" s="1"/>
  <c r="AO14" i="5" s="1"/>
  <c r="N7" i="2" s="1"/>
  <c r="U7" i="2" s="1"/>
  <c r="V7" i="2" s="1"/>
  <c r="H1405" i="18"/>
  <c r="J1405" i="18" s="1"/>
  <c r="H1529" i="18"/>
  <c r="J1529" i="18" s="1"/>
  <c r="J1528" i="18" s="1"/>
  <c r="H532" i="32"/>
  <c r="J532" i="32" s="1"/>
  <c r="H48" i="34"/>
  <c r="I48" i="34" s="1"/>
  <c r="I47" i="34" s="1"/>
  <c r="H173" i="32"/>
  <c r="J173" i="32" s="1"/>
  <c r="H1563" i="18"/>
  <c r="J1563" i="18" s="1"/>
  <c r="J1562" i="18" s="1"/>
  <c r="N187" i="1" s="1"/>
  <c r="R187" i="1" s="1"/>
  <c r="P678" i="22"/>
  <c r="Q678" i="22" s="1"/>
  <c r="H56" i="34"/>
  <c r="I56" i="34" s="1"/>
  <c r="I55" i="34" s="1"/>
  <c r="H378" i="18"/>
  <c r="J378" i="18" s="1"/>
  <c r="H383" i="18" s="1"/>
  <c r="J383" i="18" s="1"/>
  <c r="J376" i="18" s="1"/>
  <c r="N59" i="1" s="1"/>
  <c r="R59" i="1" s="1"/>
  <c r="X246" i="12"/>
  <c r="Q528" i="22"/>
  <c r="Q526" i="22" s="1"/>
  <c r="Q12" i="1"/>
  <c r="U12" i="1" s="1"/>
  <c r="J15" i="18"/>
  <c r="J1826" i="18"/>
  <c r="J1828" i="18" s="1"/>
  <c r="J253" i="32"/>
  <c r="G42" i="33" s="1"/>
  <c r="H1613" i="18"/>
  <c r="J1613" i="18" s="1"/>
  <c r="H1616" i="18" s="1"/>
  <c r="J1616" i="18" s="1"/>
  <c r="J1611" i="18" s="1"/>
  <c r="P116" i="22"/>
  <c r="Q116" i="22" s="1"/>
  <c r="H499" i="32"/>
  <c r="J499" i="32" s="1"/>
  <c r="H752" i="32"/>
  <c r="J752" i="32" s="1"/>
  <c r="J751" i="32" s="1"/>
  <c r="H1655" i="18"/>
  <c r="J1655" i="18" s="1"/>
  <c r="H1658" i="18" s="1"/>
  <c r="J1658" i="18" s="1"/>
  <c r="J1653" i="18" s="1"/>
  <c r="H116" i="32"/>
  <c r="J116" i="32" s="1"/>
  <c r="H745" i="32"/>
  <c r="J745" i="32" s="1"/>
  <c r="J744" i="32" s="1"/>
  <c r="H1546" i="18"/>
  <c r="J1546" i="18" s="1"/>
  <c r="J1545" i="18" s="1"/>
  <c r="P638" i="22"/>
  <c r="Q638" i="22" s="1"/>
  <c r="H579" i="32"/>
  <c r="J579" i="32" s="1"/>
  <c r="J578" i="32" s="1"/>
  <c r="H52" i="34"/>
  <c r="I52" i="34" s="1"/>
  <c r="I51" i="34" s="1"/>
  <c r="G19" i="20"/>
  <c r="H19" i="20" s="1"/>
  <c r="P595" i="22"/>
  <c r="P598" i="22" s="1"/>
  <c r="H783" i="32"/>
  <c r="J783" i="32" s="1"/>
  <c r="H275" i="18"/>
  <c r="J275" i="18" s="1"/>
  <c r="H280" i="18" s="1"/>
  <c r="J280" i="18" s="1"/>
  <c r="J273" i="18" s="1"/>
  <c r="G24" i="20"/>
  <c r="H24" i="20" s="1"/>
  <c r="Z100" i="3"/>
  <c r="AA100" i="3" s="1"/>
  <c r="Y100" i="3"/>
  <c r="J248" i="32"/>
  <c r="J41" i="33" s="1"/>
  <c r="O41" i="33" s="1"/>
  <c r="AL102" i="5"/>
  <c r="AN102" i="5" s="1"/>
  <c r="AO102" i="5" s="1"/>
  <c r="N43" i="2" s="1"/>
  <c r="U43" i="2" s="1"/>
  <c r="V43" i="2" s="1"/>
  <c r="H636" i="32"/>
  <c r="J636" i="32" s="1"/>
  <c r="X73" i="3"/>
  <c r="P676" i="22"/>
  <c r="Q676" i="22" s="1"/>
  <c r="H1304" i="18"/>
  <c r="J1304" i="18" s="1"/>
  <c r="P636" i="22"/>
  <c r="Q636" i="22" s="1"/>
  <c r="H1403" i="18"/>
  <c r="J1403" i="18" s="1"/>
  <c r="H676" i="32"/>
  <c r="J676" i="32" s="1"/>
  <c r="G23" i="20"/>
  <c r="H23" i="20" s="1"/>
  <c r="H743" i="18"/>
  <c r="J743" i="18" s="1"/>
  <c r="J742" i="18" s="1"/>
  <c r="H703" i="18"/>
  <c r="J703" i="18" s="1"/>
  <c r="J702" i="18" s="1"/>
  <c r="H336" i="18"/>
  <c r="J336" i="18" s="1"/>
  <c r="J335" i="18" s="1"/>
  <c r="H780" i="18"/>
  <c r="J780" i="18" s="1"/>
  <c r="J779" i="18" s="1"/>
  <c r="H201" i="18"/>
  <c r="J201" i="18" s="1"/>
  <c r="J200" i="18" s="1"/>
  <c r="H418" i="18"/>
  <c r="J418" i="18" s="1"/>
  <c r="J417" i="18" s="1"/>
  <c r="H315" i="18"/>
  <c r="J315" i="18" s="1"/>
  <c r="J314" i="18" s="1"/>
  <c r="H325" i="32"/>
  <c r="J325" i="32" s="1"/>
  <c r="J324" i="32" s="1"/>
  <c r="H81" i="32"/>
  <c r="J81" i="32" s="1"/>
  <c r="J80" i="32" s="1"/>
  <c r="P325" i="22"/>
  <c r="Q325" i="22" s="1"/>
  <c r="Q324" i="22" s="1"/>
  <c r="G15" i="20"/>
  <c r="H15" i="20" s="1"/>
  <c r="H194" i="32"/>
  <c r="J194" i="32" s="1"/>
  <c r="J193" i="32" s="1"/>
  <c r="H364" i="32"/>
  <c r="J364" i="32" s="1"/>
  <c r="J363" i="32" s="1"/>
  <c r="P194" i="22"/>
  <c r="Q194" i="22" s="1"/>
  <c r="Q193" i="22" s="1"/>
  <c r="P81" i="22"/>
  <c r="Q81" i="22" s="1"/>
  <c r="Q80" i="22" s="1"/>
  <c r="H149" i="32"/>
  <c r="J149" i="32" s="1"/>
  <c r="J148" i="32" s="1"/>
  <c r="P364" i="22"/>
  <c r="Q364" i="22" s="1"/>
  <c r="Q363" i="22" s="1"/>
  <c r="P149" i="22"/>
  <c r="Q149" i="22" s="1"/>
  <c r="Q148" i="22" s="1"/>
  <c r="X22" i="3"/>
  <c r="P346" i="22"/>
  <c r="Q346" i="22" s="1"/>
  <c r="Q345" i="22" s="1"/>
  <c r="P137" i="22"/>
  <c r="Q137" i="22" s="1"/>
  <c r="Q136" i="22" s="1"/>
  <c r="H346" i="32"/>
  <c r="J346" i="32" s="1"/>
  <c r="J345" i="32" s="1"/>
  <c r="H137" i="32"/>
  <c r="J137" i="32" s="1"/>
  <c r="J136" i="32" s="1"/>
  <c r="J1856" i="18"/>
  <c r="J1855" i="18"/>
  <c r="J1857" i="18"/>
  <c r="J679" i="18"/>
  <c r="J678" i="18"/>
  <c r="J677" i="18"/>
  <c r="N68" i="1"/>
  <c r="R68" i="1" s="1"/>
  <c r="J492" i="18"/>
  <c r="J263" i="18"/>
  <c r="J265" i="18"/>
  <c r="J264" i="18"/>
  <c r="J844" i="32"/>
  <c r="P132" i="22"/>
  <c r="Q131" i="22"/>
  <c r="J606" i="32"/>
  <c r="H607" i="32"/>
  <c r="J607" i="32" s="1"/>
  <c r="J1464" i="18"/>
  <c r="J1466" i="18" s="1"/>
  <c r="J85" i="32"/>
  <c r="H90" i="32"/>
  <c r="J90" i="32" s="1"/>
  <c r="Q153" i="22"/>
  <c r="P158" i="22"/>
  <c r="H355" i="32"/>
  <c r="J355" i="32" s="1"/>
  <c r="J350" i="32"/>
  <c r="J198" i="32"/>
  <c r="H203" i="32"/>
  <c r="J203" i="32" s="1"/>
  <c r="J615" i="18"/>
  <c r="J614" i="18"/>
  <c r="J613" i="18"/>
  <c r="J629" i="18"/>
  <c r="J630" i="18"/>
  <c r="J631" i="18"/>
  <c r="P74" i="5"/>
  <c r="AL74" i="5" s="1"/>
  <c r="AL71" i="5" s="1"/>
  <c r="AN71" i="5" s="1"/>
  <c r="AO71" i="5" s="1"/>
  <c r="N31" i="2" s="1"/>
  <c r="U31" i="2" s="1"/>
  <c r="V31" i="2" s="1"/>
  <c r="H847" i="18"/>
  <c r="J847" i="18" s="1"/>
  <c r="H915" i="18"/>
  <c r="J915" i="18" s="1"/>
  <c r="P445" i="22"/>
  <c r="Q445" i="22" s="1"/>
  <c r="H445" i="32"/>
  <c r="J445" i="32" s="1"/>
  <c r="P404" i="22"/>
  <c r="Q404" i="22" s="1"/>
  <c r="G48" i="20"/>
  <c r="H48" i="20" s="1"/>
  <c r="X196" i="3"/>
  <c r="H404" i="32"/>
  <c r="J404" i="32" s="1"/>
  <c r="AL78" i="5"/>
  <c r="AL75" i="5" s="1"/>
  <c r="AN75" i="5" s="1"/>
  <c r="AO75" i="5" s="1"/>
  <c r="N32" i="2" s="1"/>
  <c r="U32" i="2" s="1"/>
  <c r="V32" i="2" s="1"/>
  <c r="J1798" i="18"/>
  <c r="J1799" i="18" s="1"/>
  <c r="J1800" i="18" s="1"/>
  <c r="J1801" i="18" s="1"/>
  <c r="J1802" i="18" s="1"/>
  <c r="J430" i="32"/>
  <c r="H433" i="32"/>
  <c r="J433" i="32" s="1"/>
  <c r="Q618" i="22"/>
  <c r="AL25" i="5"/>
  <c r="AL22" i="5" s="1"/>
  <c r="AN22" i="5" s="1"/>
  <c r="AO22" i="5" s="1"/>
  <c r="N9" i="2" s="1"/>
  <c r="U9" i="2" s="1"/>
  <c r="V9" i="2" s="1"/>
  <c r="AL9" i="5"/>
  <c r="Z61" i="3"/>
  <c r="AA61" i="3" s="1"/>
  <c r="Y61" i="3"/>
  <c r="J188" i="32"/>
  <c r="H189" i="32"/>
  <c r="J189" i="32" s="1"/>
  <c r="P189" i="22"/>
  <c r="Q188" i="22"/>
  <c r="P121" i="5"/>
  <c r="AL121" i="5" s="1"/>
  <c r="AL119" i="5" s="1"/>
  <c r="AN119" i="5" s="1"/>
  <c r="AO119" i="5" s="1"/>
  <c r="N49" i="2" s="1"/>
  <c r="U49" i="2" s="1"/>
  <c r="V49" i="2" s="1"/>
  <c r="I11" i="34"/>
  <c r="H810" i="32"/>
  <c r="J810" i="32" s="1"/>
  <c r="Q675" i="22"/>
  <c r="J329" i="32"/>
  <c r="H334" i="32"/>
  <c r="J334" i="32" s="1"/>
  <c r="P90" i="22"/>
  <c r="Q85" i="22"/>
  <c r="H427" i="18"/>
  <c r="J427" i="18" s="1"/>
  <c r="J421" i="18" s="1"/>
  <c r="Q63" i="1" s="1"/>
  <c r="U63" i="1" s="1"/>
  <c r="J599" i="18"/>
  <c r="J598" i="18"/>
  <c r="J597" i="18"/>
  <c r="O95" i="5"/>
  <c r="P95" i="5" s="1"/>
  <c r="Q243" i="22"/>
  <c r="J228" i="32"/>
  <c r="N207" i="3"/>
  <c r="N246" i="3" s="1"/>
  <c r="Q389" i="22"/>
  <c r="P392" i="22"/>
  <c r="Q430" i="22"/>
  <c r="P433" i="22"/>
  <c r="P8" i="5"/>
  <c r="AL8" i="5" s="1"/>
  <c r="H146" i="32"/>
  <c r="J146" i="32" s="1"/>
  <c r="J141" i="32"/>
  <c r="Q350" i="22"/>
  <c r="P355" i="22"/>
  <c r="H158" i="32"/>
  <c r="J158" i="32" s="1"/>
  <c r="J153" i="32"/>
  <c r="Q198" i="22"/>
  <c r="P203" i="22"/>
  <c r="H210" i="18"/>
  <c r="J210" i="18" s="1"/>
  <c r="J204" i="18" s="1"/>
  <c r="Q36" i="1" s="1"/>
  <c r="U36" i="1" s="1"/>
  <c r="H324" i="18"/>
  <c r="J324" i="18" s="1"/>
  <c r="J318" i="18" s="1"/>
  <c r="Q51" i="1" s="1"/>
  <c r="U51" i="1" s="1"/>
  <c r="J550" i="18"/>
  <c r="J549" i="18"/>
  <c r="J551" i="18"/>
  <c r="J1293" i="18"/>
  <c r="J1295" i="18"/>
  <c r="J1294" i="18"/>
  <c r="J1393" i="18"/>
  <c r="J1392" i="18"/>
  <c r="J1391" i="18"/>
  <c r="P54" i="5"/>
  <c r="AL54" i="5" s="1"/>
  <c r="AL53" i="5" s="1"/>
  <c r="AN53" i="5" s="1"/>
  <c r="AO53" i="5" s="1"/>
  <c r="N20" i="2" s="1"/>
  <c r="U20" i="2" s="1"/>
  <c r="V20" i="2" s="1"/>
  <c r="L225" i="12"/>
  <c r="L261" i="12" s="1"/>
  <c r="J694" i="18"/>
  <c r="J693" i="18"/>
  <c r="J695" i="18"/>
  <c r="J1101" i="18"/>
  <c r="J1100" i="18"/>
  <c r="J1099" i="18"/>
  <c r="H218" i="32"/>
  <c r="J218" i="32" s="1"/>
  <c r="G40" i="20"/>
  <c r="H40" i="20" s="1"/>
  <c r="H244" i="32"/>
  <c r="J244" i="32" s="1"/>
  <c r="P218" i="22"/>
  <c r="Q218" i="22" s="1"/>
  <c r="P244" i="22"/>
  <c r="Q244" i="22" s="1"/>
  <c r="P230" i="22"/>
  <c r="Q230" i="22" s="1"/>
  <c r="H230" i="32"/>
  <c r="J230" i="32" s="1"/>
  <c r="X149" i="3"/>
  <c r="J1364" i="18"/>
  <c r="J1365" i="18" s="1"/>
  <c r="J1366" i="18" s="1"/>
  <c r="J1367" i="18" s="1"/>
  <c r="J1368" i="18" s="1"/>
  <c r="S225" i="12"/>
  <c r="S261" i="12" s="1"/>
  <c r="J144" i="18"/>
  <c r="J143" i="18"/>
  <c r="J145" i="18"/>
  <c r="N67" i="1"/>
  <c r="R67" i="1" s="1"/>
  <c r="J468" i="18"/>
  <c r="S207" i="3"/>
  <c r="S246" i="3" s="1"/>
  <c r="U207" i="1"/>
  <c r="J389" i="32"/>
  <c r="H392" i="32"/>
  <c r="J392" i="32" s="1"/>
  <c r="O42" i="5"/>
  <c r="P42" i="5" s="1"/>
  <c r="AL42" i="5" s="1"/>
  <c r="AL40" i="5" s="1"/>
  <c r="AN40" i="5" s="1"/>
  <c r="AO40" i="5" s="1"/>
  <c r="N15" i="2" s="1"/>
  <c r="U15" i="2" s="1"/>
  <c r="V15" i="2" s="1"/>
  <c r="H132" i="32"/>
  <c r="J132" i="32" s="1"/>
  <c r="J131" i="32"/>
  <c r="Q606" i="22"/>
  <c r="P607" i="22"/>
  <c r="H300" i="18"/>
  <c r="J300" i="18" s="1"/>
  <c r="J298" i="18" s="1"/>
  <c r="Q783" i="22"/>
  <c r="Y18" i="3"/>
  <c r="Q368" i="22"/>
  <c r="P373" i="22"/>
  <c r="J129" i="18"/>
  <c r="J128" i="18"/>
  <c r="J130" i="18"/>
  <c r="N225" i="12"/>
  <c r="N261" i="12" s="1"/>
  <c r="J249" i="18"/>
  <c r="J247" i="18"/>
  <c r="J248" i="18"/>
  <c r="Z56" i="3"/>
  <c r="AA56" i="3" s="1"/>
  <c r="Y56" i="3"/>
  <c r="Q329" i="22"/>
  <c r="P334" i="22"/>
  <c r="Z118" i="12"/>
  <c r="AA118" i="12" s="1"/>
  <c r="Y118" i="12"/>
  <c r="Q141" i="22"/>
  <c r="P146" i="22"/>
  <c r="J368" i="32"/>
  <c r="H373" i="32"/>
  <c r="J373" i="32" s="1"/>
  <c r="H712" i="18"/>
  <c r="J712" i="18" s="1"/>
  <c r="J706" i="18" s="1"/>
  <c r="Q99" i="1" s="1"/>
  <c r="U99" i="1" s="1"/>
  <c r="P766" i="22"/>
  <c r="Q766" i="22" s="1"/>
  <c r="Q765" i="22" s="1"/>
  <c r="G28" i="20"/>
  <c r="H28" i="20" s="1"/>
  <c r="X90" i="3"/>
  <c r="H1597" i="18"/>
  <c r="J1597" i="18" s="1"/>
  <c r="J1596" i="18" s="1"/>
  <c r="H766" i="32"/>
  <c r="J766" i="32" s="1"/>
  <c r="U167" i="1"/>
  <c r="J193" i="18"/>
  <c r="J192" i="18"/>
  <c r="J191" i="18"/>
  <c r="J661" i="18"/>
  <c r="J663" i="18"/>
  <c r="J662" i="18"/>
  <c r="J177" i="18"/>
  <c r="J113" i="18"/>
  <c r="J112" i="18"/>
  <c r="J114" i="18"/>
  <c r="J645" i="18"/>
  <c r="J647" i="18"/>
  <c r="J646" i="18"/>
  <c r="J96" i="18"/>
  <c r="J97" i="18"/>
  <c r="J98" i="18"/>
  <c r="Z141" i="3"/>
  <c r="AA141" i="3" s="1"/>
  <c r="Y141" i="3"/>
  <c r="J216" i="32"/>
  <c r="J243" i="32"/>
  <c r="P119" i="22"/>
  <c r="Q119" i="22" s="1"/>
  <c r="H176" i="32"/>
  <c r="J176" i="32" s="1"/>
  <c r="G27" i="20"/>
  <c r="H27" i="20" s="1"/>
  <c r="H119" i="32"/>
  <c r="J119" i="32" s="1"/>
  <c r="X87" i="3"/>
  <c r="P176" i="22"/>
  <c r="Q176" i="22" s="1"/>
  <c r="J1843" i="18"/>
  <c r="J1842" i="18"/>
  <c r="J1841" i="18"/>
  <c r="Z84" i="12"/>
  <c r="AA84" i="12" s="1"/>
  <c r="Y84" i="12"/>
  <c r="J161" i="18"/>
  <c r="J160" i="18"/>
  <c r="J159" i="18"/>
  <c r="Z162" i="3"/>
  <c r="AA162" i="3" s="1"/>
  <c r="Y162" i="3"/>
  <c r="J618" i="32"/>
  <c r="Q520" i="22"/>
  <c r="J1330" i="18"/>
  <c r="J1332" i="18"/>
  <c r="J1331" i="18"/>
  <c r="Z83" i="3"/>
  <c r="AA83" i="3" s="1"/>
  <c r="Y83" i="3"/>
  <c r="N61" i="1"/>
  <c r="R61" i="1" s="1"/>
  <c r="J407" i="18"/>
  <c r="Q595" i="22"/>
  <c r="P703" i="22"/>
  <c r="Z240" i="12"/>
  <c r="AA240" i="12" s="1"/>
  <c r="Y240" i="12"/>
  <c r="Z241" i="12"/>
  <c r="AA241" i="12" s="1"/>
  <c r="Y241" i="12"/>
  <c r="Z244" i="12"/>
  <c r="AA244" i="12" s="1"/>
  <c r="Y244" i="12"/>
  <c r="Z226" i="12"/>
  <c r="AA226" i="12" s="1"/>
  <c r="Y226" i="12"/>
  <c r="Z239" i="12"/>
  <c r="AA239" i="12" s="1"/>
  <c r="Y239" i="12"/>
  <c r="Z231" i="12"/>
  <c r="AA231" i="12" s="1"/>
  <c r="Y231" i="12"/>
  <c r="O10" i="33"/>
  <c r="P10" i="33" s="1"/>
  <c r="K10" i="33"/>
  <c r="O48" i="33"/>
  <c r="P48" i="33" s="1"/>
  <c r="K48" i="33"/>
  <c r="O61" i="33"/>
  <c r="P61" i="33" s="1"/>
  <c r="K61" i="33"/>
  <c r="J1243" i="18"/>
  <c r="J1242" i="18"/>
  <c r="J1241" i="18"/>
  <c r="J1589" i="18"/>
  <c r="J1588" i="18"/>
  <c r="J1587" i="18"/>
  <c r="O15" i="33"/>
  <c r="P15" i="33" s="1"/>
  <c r="K15" i="33"/>
  <c r="O11" i="33"/>
  <c r="P11" i="33" s="1"/>
  <c r="K11" i="33"/>
  <c r="O51" i="33"/>
  <c r="P51" i="33" s="1"/>
  <c r="K51" i="33"/>
  <c r="O47" i="33"/>
  <c r="P47" i="33" s="1"/>
  <c r="K47" i="33"/>
  <c r="O128" i="33"/>
  <c r="P128" i="33" s="1"/>
  <c r="K128" i="33"/>
  <c r="O18" i="33"/>
  <c r="P18" i="33" s="1"/>
  <c r="K18" i="33"/>
  <c r="O46" i="33"/>
  <c r="P46" i="33" s="1"/>
  <c r="K46" i="33"/>
  <c r="Z208" i="3"/>
  <c r="AA208" i="3" s="1"/>
  <c r="Y208" i="3"/>
  <c r="O12" i="33"/>
  <c r="P12" i="33" s="1"/>
  <c r="K12" i="33"/>
  <c r="O16" i="33"/>
  <c r="P16" i="33" s="1"/>
  <c r="K16" i="33"/>
  <c r="O52" i="33"/>
  <c r="P52" i="33" s="1"/>
  <c r="K52" i="33"/>
  <c r="O13" i="33"/>
  <c r="P13" i="33" s="1"/>
  <c r="K13" i="33"/>
  <c r="O9" i="33"/>
  <c r="K9" i="33"/>
  <c r="O49" i="33"/>
  <c r="P49" i="33" s="1"/>
  <c r="K49" i="33"/>
  <c r="O45" i="33"/>
  <c r="P45" i="33" s="1"/>
  <c r="K45" i="33"/>
  <c r="O14" i="33"/>
  <c r="P14" i="33" s="1"/>
  <c r="K14" i="33"/>
  <c r="O26" i="33"/>
  <c r="P26" i="33" s="1"/>
  <c r="K26" i="33"/>
  <c r="O50" i="33"/>
  <c r="P50" i="33" s="1"/>
  <c r="K50" i="33"/>
  <c r="Z227" i="12"/>
  <c r="AA227" i="12" s="1"/>
  <c r="Y227" i="12"/>
  <c r="Z242" i="12"/>
  <c r="AA242" i="12" s="1"/>
  <c r="Y242" i="12"/>
  <c r="Z247" i="12"/>
  <c r="AA247" i="12" s="1"/>
  <c r="Y247" i="12"/>
  <c r="Z229" i="12"/>
  <c r="AA229" i="12" s="1"/>
  <c r="Y229" i="12"/>
  <c r="Z232" i="12"/>
  <c r="AA232" i="12" s="1"/>
  <c r="Y232" i="12"/>
  <c r="J534" i="18" l="1"/>
  <c r="J176" i="18"/>
  <c r="J178" i="18" s="1"/>
  <c r="J179" i="18" s="1"/>
  <c r="J180" i="18" s="1"/>
  <c r="J181" i="18" s="1"/>
  <c r="J182" i="18" s="1"/>
  <c r="Q466" i="22"/>
  <c r="H798" i="32"/>
  <c r="J798" i="32" s="1"/>
  <c r="J566" i="18"/>
  <c r="J706" i="32"/>
  <c r="J107" i="33" s="1"/>
  <c r="O107" i="33" s="1"/>
  <c r="Z76" i="3"/>
  <c r="AA76" i="3" s="1"/>
  <c r="L113" i="9"/>
  <c r="Y113" i="9"/>
  <c r="J252" i="32"/>
  <c r="J583" i="18"/>
  <c r="J634" i="32"/>
  <c r="N113" i="9"/>
  <c r="P535" i="22"/>
  <c r="Q535" i="22" s="1"/>
  <c r="Q530" i="22" s="1"/>
  <c r="J964" i="18"/>
  <c r="J965" i="18" s="1"/>
  <c r="H535" i="32"/>
  <c r="J535" i="32" s="1"/>
  <c r="J733" i="32"/>
  <c r="J110" i="33" s="1"/>
  <c r="O110" i="33" s="1"/>
  <c r="J1814" i="18"/>
  <c r="X16" i="3"/>
  <c r="J772" i="18"/>
  <c r="J771" i="18"/>
  <c r="H721" i="32"/>
  <c r="J721" i="32" s="1"/>
  <c r="J719" i="32" s="1"/>
  <c r="P720" i="22"/>
  <c r="H547" i="32"/>
  <c r="J547" i="32" s="1"/>
  <c r="J546" i="32" s="1"/>
  <c r="G81" i="33" s="1"/>
  <c r="J770" i="18"/>
  <c r="G12" i="20"/>
  <c r="H12" i="20" s="1"/>
  <c r="P547" i="22"/>
  <c r="Q547" i="22" s="1"/>
  <c r="Q546" i="22" s="1"/>
  <c r="J512" i="18"/>
  <c r="J515" i="18" s="1"/>
  <c r="N152" i="1"/>
  <c r="R152" i="1" s="1"/>
  <c r="J49" i="18"/>
  <c r="J50" i="18"/>
  <c r="J48" i="18"/>
  <c r="J595" i="32"/>
  <c r="J593" i="32" s="1"/>
  <c r="Y94" i="3"/>
  <c r="J567" i="18"/>
  <c r="U72" i="1"/>
  <c r="AB10" i="1" s="1"/>
  <c r="J771" i="32"/>
  <c r="J769" i="32" s="1"/>
  <c r="G117" i="33" s="1"/>
  <c r="P798" i="22"/>
  <c r="X234" i="12"/>
  <c r="Q708" i="22"/>
  <c r="Q706" i="22" s="1"/>
  <c r="O121" i="33"/>
  <c r="P121" i="33" s="1"/>
  <c r="K121" i="33"/>
  <c r="H836" i="32"/>
  <c r="J836" i="32" s="1"/>
  <c r="J835" i="32" s="1"/>
  <c r="J582" i="18"/>
  <c r="J584" i="18" s="1"/>
  <c r="J1829" i="18"/>
  <c r="X230" i="12"/>
  <c r="Q717" i="22"/>
  <c r="Q715" i="22" s="1"/>
  <c r="Q726" i="22"/>
  <c r="Q724" i="22" s="1"/>
  <c r="X235" i="12"/>
  <c r="P836" i="22"/>
  <c r="Q836" i="22" s="1"/>
  <c r="Q835" i="22" s="1"/>
  <c r="H1493" i="18"/>
  <c r="J1493" i="18" s="1"/>
  <c r="H1494" i="18" s="1"/>
  <c r="J1494" i="18" s="1"/>
  <c r="J1492" i="18" s="1"/>
  <c r="N183" i="1" s="1"/>
  <c r="R183" i="1" s="1"/>
  <c r="X236" i="12"/>
  <c r="Q735" i="22"/>
  <c r="Q733" i="22" s="1"/>
  <c r="G44" i="20"/>
  <c r="H44" i="20" s="1"/>
  <c r="H1109" i="18"/>
  <c r="J1109" i="18" s="1"/>
  <c r="J1108" i="18" s="1"/>
  <c r="J1115" i="18" s="1"/>
  <c r="P810" i="22"/>
  <c r="H703" i="32"/>
  <c r="J703" i="32" s="1"/>
  <c r="J701" i="32" s="1"/>
  <c r="J700" i="32" s="1"/>
  <c r="Z251" i="12"/>
  <c r="AA251" i="12" s="1"/>
  <c r="Y251" i="12"/>
  <c r="Z250" i="12"/>
  <c r="AA250" i="12" s="1"/>
  <c r="Y250" i="12"/>
  <c r="J1467" i="18"/>
  <c r="X168" i="3"/>
  <c r="Y168" i="3" s="1"/>
  <c r="U9" i="1"/>
  <c r="H245" i="32"/>
  <c r="J245" i="32" s="1"/>
  <c r="J242" i="32" s="1"/>
  <c r="J793" i="32"/>
  <c r="J792" i="32" s="1"/>
  <c r="N138" i="1"/>
  <c r="R138" i="1" s="1"/>
  <c r="H469" i="32"/>
  <c r="J469" i="32" s="1"/>
  <c r="J464" i="32" s="1"/>
  <c r="P826" i="22"/>
  <c r="Q826" i="22" s="1"/>
  <c r="Q821" i="22" s="1"/>
  <c r="H378" i="32"/>
  <c r="H803" i="18"/>
  <c r="J803" i="18" s="1"/>
  <c r="H804" i="18" s="1"/>
  <c r="J804" i="18" s="1"/>
  <c r="J800" i="18" s="1"/>
  <c r="H977" i="18"/>
  <c r="J977" i="18" s="1"/>
  <c r="X36" i="3"/>
  <c r="Z36" i="3" s="1"/>
  <c r="AA36" i="3" s="1"/>
  <c r="P479" i="22"/>
  <c r="Q479" i="22" s="1"/>
  <c r="H18" i="34"/>
  <c r="I18" i="34" s="1"/>
  <c r="I16" i="34" s="1"/>
  <c r="H479" i="32"/>
  <c r="J479" i="32" s="1"/>
  <c r="G18" i="20"/>
  <c r="H18" i="20" s="1"/>
  <c r="H786" i="32"/>
  <c r="J786" i="32" s="1"/>
  <c r="J781" i="32" s="1"/>
  <c r="H826" i="32"/>
  <c r="J826" i="32" s="1"/>
  <c r="J821" i="32" s="1"/>
  <c r="AL6" i="5"/>
  <c r="AN6" i="5" s="1"/>
  <c r="AO6" i="5" s="1"/>
  <c r="N5" i="2" s="1"/>
  <c r="U5" i="2" s="1"/>
  <c r="V5" i="2" s="1"/>
  <c r="G7" i="20" s="1"/>
  <c r="P502" i="22"/>
  <c r="Q502" i="22" s="1"/>
  <c r="Q497" i="22" s="1"/>
  <c r="J1026" i="18"/>
  <c r="H871" i="18"/>
  <c r="J871" i="18" s="1"/>
  <c r="H872" i="18" s="1"/>
  <c r="J872" i="18" s="1"/>
  <c r="J868" i="18" s="1"/>
  <c r="N118" i="1" s="1"/>
  <c r="R118" i="1" s="1"/>
  <c r="Y228" i="12"/>
  <c r="Z228" i="12"/>
  <c r="AA228" i="12" s="1"/>
  <c r="J65" i="18"/>
  <c r="J64" i="18"/>
  <c r="J66" i="18"/>
  <c r="H419" i="32"/>
  <c r="J419" i="32" s="1"/>
  <c r="J1302" i="18"/>
  <c r="J1312" i="18" s="1"/>
  <c r="Y38" i="3"/>
  <c r="P378" i="22"/>
  <c r="Q378" i="22" s="1"/>
  <c r="G38" i="20"/>
  <c r="H38" i="20" s="1"/>
  <c r="X138" i="3"/>
  <c r="J1703" i="18"/>
  <c r="J1704" i="18" s="1"/>
  <c r="J1705" i="18" s="1"/>
  <c r="J34" i="18"/>
  <c r="J33" i="18"/>
  <c r="J32" i="18"/>
  <c r="Z245" i="12"/>
  <c r="AA245" i="12" s="1"/>
  <c r="Y245" i="12"/>
  <c r="J1590" i="18"/>
  <c r="J1591" i="18" s="1"/>
  <c r="J152" i="32"/>
  <c r="J32" i="33" s="1"/>
  <c r="O32" i="33" s="1"/>
  <c r="J140" i="32"/>
  <c r="J31" i="33" s="1"/>
  <c r="O31" i="33" s="1"/>
  <c r="J734" i="18"/>
  <c r="J735" i="18" s="1"/>
  <c r="J736" i="18" s="1"/>
  <c r="H1407" i="18"/>
  <c r="J1407" i="18" s="1"/>
  <c r="J1401" i="18" s="1"/>
  <c r="N178" i="1" s="1"/>
  <c r="R178" i="1" s="1"/>
  <c r="J367" i="32"/>
  <c r="J62" i="33" s="1"/>
  <c r="O62" i="33" s="1"/>
  <c r="J130" i="32"/>
  <c r="J328" i="32"/>
  <c r="J56" i="33" s="1"/>
  <c r="O56" i="33" s="1"/>
  <c r="H573" i="32"/>
  <c r="H574" i="32" s="1"/>
  <c r="J574" i="32" s="1"/>
  <c r="J1205" i="18"/>
  <c r="J1203" i="18"/>
  <c r="X8" i="3"/>
  <c r="Z8" i="3" s="1"/>
  <c r="AA8" i="3" s="1"/>
  <c r="Q761" i="22"/>
  <c r="Q758" i="22" s="1"/>
  <c r="X245" i="3"/>
  <c r="G8" i="20"/>
  <c r="H8" i="20" s="1"/>
  <c r="J187" i="32"/>
  <c r="G36" i="33" s="1"/>
  <c r="H1163" i="18"/>
  <c r="J1163" i="18" s="1"/>
  <c r="H1164" i="18" s="1"/>
  <c r="J1164" i="18" s="1"/>
  <c r="J1162" i="18" s="1"/>
  <c r="J1333" i="18"/>
  <c r="J1334" i="18" s="1"/>
  <c r="J1335" i="18" s="1"/>
  <c r="J1336" i="18" s="1"/>
  <c r="J1337" i="18" s="1"/>
  <c r="P680" i="22"/>
  <c r="X218" i="3" s="1"/>
  <c r="H680" i="32"/>
  <c r="J680" i="32" s="1"/>
  <c r="J869" i="32"/>
  <c r="J127" i="33"/>
  <c r="Q634" i="22"/>
  <c r="N46" i="1"/>
  <c r="R46" i="1" s="1"/>
  <c r="J288" i="18"/>
  <c r="J291" i="18" s="1"/>
  <c r="H996" i="18"/>
  <c r="J996" i="18" s="1"/>
  <c r="H998" i="18" s="1"/>
  <c r="J998" i="18" s="1"/>
  <c r="J994" i="18" s="1"/>
  <c r="H613" i="32"/>
  <c r="J613" i="32" s="1"/>
  <c r="X30" i="3"/>
  <c r="Z30" i="3" s="1"/>
  <c r="AA30" i="3" s="1"/>
  <c r="H1252" i="18"/>
  <c r="J1252" i="18" s="1"/>
  <c r="H1424" i="18"/>
  <c r="J1424" i="18" s="1"/>
  <c r="H460" i="32"/>
  <c r="J460" i="32" s="1"/>
  <c r="G16" i="20"/>
  <c r="H16" i="20" s="1"/>
  <c r="P613" i="22"/>
  <c r="Q613" i="22" s="1"/>
  <c r="P460" i="22"/>
  <c r="Q460" i="22" s="1"/>
  <c r="P688" i="22"/>
  <c r="Q688" i="22" s="1"/>
  <c r="H688" i="32"/>
  <c r="J688" i="32" s="1"/>
  <c r="H1511" i="18"/>
  <c r="J1511" i="18" s="1"/>
  <c r="H1512" i="18" s="1"/>
  <c r="J1512" i="18" s="1"/>
  <c r="J1510" i="18" s="1"/>
  <c r="H729" i="32"/>
  <c r="J729" i="32" s="1"/>
  <c r="X10" i="3"/>
  <c r="Z10" i="3" s="1"/>
  <c r="AA10" i="3" s="1"/>
  <c r="G9" i="20"/>
  <c r="H9" i="20" s="1"/>
  <c r="P729" i="22"/>
  <c r="Q729" i="22" s="1"/>
  <c r="Y246" i="12"/>
  <c r="Z246" i="12"/>
  <c r="AA246" i="12" s="1"/>
  <c r="N185" i="1"/>
  <c r="R185" i="1" s="1"/>
  <c r="J1535" i="18"/>
  <c r="J250" i="18"/>
  <c r="J251" i="18" s="1"/>
  <c r="J252" i="18" s="1"/>
  <c r="J424" i="32"/>
  <c r="J67" i="33" s="1"/>
  <c r="O67" i="33" s="1"/>
  <c r="J1827" i="18"/>
  <c r="J577" i="32"/>
  <c r="G86" i="33"/>
  <c r="J18" i="18"/>
  <c r="J17" i="18"/>
  <c r="J16" i="18"/>
  <c r="J81" i="18"/>
  <c r="J82" i="18"/>
  <c r="J80" i="18"/>
  <c r="H1475" i="18"/>
  <c r="J1475" i="18" s="1"/>
  <c r="H1476" i="18" s="1"/>
  <c r="J1476" i="18" s="1"/>
  <c r="J1474" i="18" s="1"/>
  <c r="N182" i="1" s="1"/>
  <c r="R182" i="1" s="1"/>
  <c r="X12" i="3"/>
  <c r="H711" i="32"/>
  <c r="P711" i="22"/>
  <c r="G10" i="20"/>
  <c r="H10" i="20" s="1"/>
  <c r="J1465" i="18"/>
  <c r="J675" i="32"/>
  <c r="J674" i="32" s="1"/>
  <c r="H502" i="32"/>
  <c r="J502" i="32" s="1"/>
  <c r="J497" i="32" s="1"/>
  <c r="J1844" i="18"/>
  <c r="J1845" i="18" s="1"/>
  <c r="J194" i="18"/>
  <c r="J195" i="18" s="1"/>
  <c r="J196" i="18" s="1"/>
  <c r="J197" i="18" s="1"/>
  <c r="J198" i="18" s="1"/>
  <c r="I29" i="37" s="1"/>
  <c r="J1185" i="18"/>
  <c r="J1187" i="18" s="1"/>
  <c r="P774" i="22"/>
  <c r="X222" i="3" s="1"/>
  <c r="J1102" i="18"/>
  <c r="J1103" i="18" s="1"/>
  <c r="J1104" i="18" s="1"/>
  <c r="J1105" i="18" s="1"/>
  <c r="J1106" i="18" s="1"/>
  <c r="G81" i="19" s="1"/>
  <c r="H81" i="19" s="1"/>
  <c r="J391" i="18"/>
  <c r="J392" i="18" s="1"/>
  <c r="J197" i="32"/>
  <c r="J37" i="33" s="1"/>
  <c r="O37" i="33" s="1"/>
  <c r="J1569" i="18"/>
  <c r="J266" i="18"/>
  <c r="J230" i="18"/>
  <c r="J231" i="18"/>
  <c r="J229" i="18"/>
  <c r="Z248" i="12"/>
  <c r="AA248" i="12" s="1"/>
  <c r="Y248" i="12"/>
  <c r="J1350" i="18"/>
  <c r="J1351" i="18" s="1"/>
  <c r="J1352" i="18" s="1"/>
  <c r="J1353" i="18" s="1"/>
  <c r="G112" i="33"/>
  <c r="J743" i="32"/>
  <c r="Y249" i="12"/>
  <c r="Z249" i="12"/>
  <c r="AA249" i="12" s="1"/>
  <c r="Y243" i="12"/>
  <c r="Z243" i="12"/>
  <c r="AA243" i="12" s="1"/>
  <c r="J664" i="18"/>
  <c r="J1244" i="18"/>
  <c r="J1245" i="18" s="1"/>
  <c r="J1246" i="18" s="1"/>
  <c r="J600" i="18"/>
  <c r="J601" i="18" s="1"/>
  <c r="J602" i="18" s="1"/>
  <c r="J603" i="18" s="1"/>
  <c r="J604" i="18" s="1"/>
  <c r="I50" i="37" s="1"/>
  <c r="J349" i="32"/>
  <c r="J60" i="33" s="1"/>
  <c r="O60" i="33" s="1"/>
  <c r="N186" i="1"/>
  <c r="R186" i="1" s="1"/>
  <c r="J1552" i="18"/>
  <c r="G113" i="33"/>
  <c r="J750" i="32"/>
  <c r="Z238" i="12"/>
  <c r="AA238" i="12" s="1"/>
  <c r="Y238" i="12"/>
  <c r="G111" i="33"/>
  <c r="J736" i="32"/>
  <c r="J1643" i="18"/>
  <c r="N193" i="1"/>
  <c r="R193" i="1" s="1"/>
  <c r="N192" i="1"/>
  <c r="R192" i="1" s="1"/>
  <c r="J1622" i="18"/>
  <c r="J253" i="18"/>
  <c r="J254" i="18" s="1"/>
  <c r="G17" i="20"/>
  <c r="H17" i="20" s="1"/>
  <c r="H22" i="34"/>
  <c r="I22" i="34" s="1"/>
  <c r="I20" i="34" s="1"/>
  <c r="X34" i="3"/>
  <c r="H489" i="32"/>
  <c r="P489" i="22"/>
  <c r="AB9" i="1"/>
  <c r="U45" i="1"/>
  <c r="F12" i="17" s="1"/>
  <c r="F13" i="17" s="1"/>
  <c r="F11" i="17" s="1"/>
  <c r="F8" i="42" s="1"/>
  <c r="U216" i="1"/>
  <c r="J1500" i="18"/>
  <c r="H975" i="18"/>
  <c r="J975" i="18" s="1"/>
  <c r="H477" i="32"/>
  <c r="P477" i="22"/>
  <c r="G51" i="20"/>
  <c r="H51" i="20" s="1"/>
  <c r="X205" i="3"/>
  <c r="H938" i="18"/>
  <c r="J938" i="18" s="1"/>
  <c r="J937" i="18" s="1"/>
  <c r="P687" i="22"/>
  <c r="Q687" i="22" s="1"/>
  <c r="X69" i="3"/>
  <c r="H687" i="32"/>
  <c r="J687" i="32" s="1"/>
  <c r="P612" i="22"/>
  <c r="Q612" i="22" s="1"/>
  <c r="H1423" i="18"/>
  <c r="J1423" i="18" s="1"/>
  <c r="H459" i="32"/>
  <c r="J459" i="32" s="1"/>
  <c r="P459" i="22"/>
  <c r="Q459" i="22" s="1"/>
  <c r="H1251" i="18"/>
  <c r="J1251" i="18" s="1"/>
  <c r="G22" i="20"/>
  <c r="H22" i="20" s="1"/>
  <c r="H612" i="32"/>
  <c r="J612" i="32" s="1"/>
  <c r="N163" i="1"/>
  <c r="R163" i="1" s="1"/>
  <c r="J1722" i="18"/>
  <c r="N197" i="1"/>
  <c r="R197" i="1" s="1"/>
  <c r="H120" i="32"/>
  <c r="P120" i="22"/>
  <c r="Q120" i="22" s="1"/>
  <c r="H229" i="32"/>
  <c r="P217" i="22"/>
  <c r="G33" i="20"/>
  <c r="H33" i="20" s="1"/>
  <c r="H217" i="32"/>
  <c r="P229" i="22"/>
  <c r="X102" i="3"/>
  <c r="P177" i="22"/>
  <c r="H177" i="32"/>
  <c r="X242" i="3"/>
  <c r="Q703" i="22"/>
  <c r="Q701" i="22" s="1"/>
  <c r="Q334" i="22"/>
  <c r="Q328" i="22" s="1"/>
  <c r="X256" i="12"/>
  <c r="X230" i="3"/>
  <c r="Q810" i="22"/>
  <c r="Q805" i="22" s="1"/>
  <c r="J470" i="18"/>
  <c r="J469" i="18"/>
  <c r="J471" i="18"/>
  <c r="J393" i="18"/>
  <c r="J394" i="18"/>
  <c r="H897" i="18"/>
  <c r="J897" i="18" s="1"/>
  <c r="J896" i="18" s="1"/>
  <c r="H850" i="18"/>
  <c r="J850" i="18" s="1"/>
  <c r="J846" i="18" s="1"/>
  <c r="H829" i="18"/>
  <c r="J829" i="18" s="1"/>
  <c r="J828" i="18" s="1"/>
  <c r="H918" i="18"/>
  <c r="J918" i="18" s="1"/>
  <c r="J914" i="18" s="1"/>
  <c r="H436" i="32"/>
  <c r="J436" i="32" s="1"/>
  <c r="J435" i="32" s="1"/>
  <c r="P436" i="22"/>
  <c r="Q436" i="22" s="1"/>
  <c r="Q435" i="22" s="1"/>
  <c r="X107" i="3"/>
  <c r="H407" i="32"/>
  <c r="J407" i="32" s="1"/>
  <c r="J403" i="32" s="1"/>
  <c r="P407" i="22"/>
  <c r="Q407" i="22" s="1"/>
  <c r="Q403" i="22" s="1"/>
  <c r="H395" i="32"/>
  <c r="J395" i="32" s="1"/>
  <c r="J394" i="32" s="1"/>
  <c r="P395" i="22"/>
  <c r="Q395" i="22" s="1"/>
  <c r="Q394" i="22" s="1"/>
  <c r="H448" i="32"/>
  <c r="J448" i="32" s="1"/>
  <c r="J444" i="32" s="1"/>
  <c r="G34" i="20"/>
  <c r="H34" i="20" s="1"/>
  <c r="P448" i="22"/>
  <c r="Q448" i="22" s="1"/>
  <c r="Q444" i="22" s="1"/>
  <c r="N198" i="1"/>
  <c r="R198" i="1" s="1"/>
  <c r="J1739" i="18"/>
  <c r="J1684" i="18"/>
  <c r="N195" i="1"/>
  <c r="R195" i="1" s="1"/>
  <c r="N49" i="1"/>
  <c r="R49" i="1" s="1"/>
  <c r="J304" i="18"/>
  <c r="J383" i="32"/>
  <c r="J63" i="33" s="1"/>
  <c r="O63" i="33" s="1"/>
  <c r="J146" i="18"/>
  <c r="J147" i="18" s="1"/>
  <c r="J148" i="18" s="1"/>
  <c r="J149" i="18" s="1"/>
  <c r="J150" i="18" s="1"/>
  <c r="J27" i="36" s="1"/>
  <c r="Z149" i="3"/>
  <c r="AA149" i="3" s="1"/>
  <c r="Y149" i="3"/>
  <c r="J696" i="18"/>
  <c r="J552" i="18"/>
  <c r="J553" i="18" s="1"/>
  <c r="J554" i="18" s="1"/>
  <c r="J555" i="18" s="1"/>
  <c r="J556" i="18" s="1"/>
  <c r="G46" i="19" s="1"/>
  <c r="H46" i="19" s="1"/>
  <c r="Q433" i="22"/>
  <c r="Q424" i="22" s="1"/>
  <c r="X260" i="12"/>
  <c r="Q90" i="22"/>
  <c r="Q84" i="22" s="1"/>
  <c r="X252" i="12"/>
  <c r="J84" i="32"/>
  <c r="J22" i="33" s="1"/>
  <c r="O22" i="33" s="1"/>
  <c r="J495" i="18"/>
  <c r="J494" i="18"/>
  <c r="J493" i="18"/>
  <c r="G31" i="33"/>
  <c r="Z22" i="3"/>
  <c r="AA22" i="3" s="1"/>
  <c r="Y22" i="3"/>
  <c r="N51" i="1"/>
  <c r="R51" i="1" s="1"/>
  <c r="J325" i="18"/>
  <c r="N53" i="1"/>
  <c r="R53" i="1" s="1"/>
  <c r="J346" i="18"/>
  <c r="J378" i="32"/>
  <c r="H379" i="32"/>
  <c r="J379" i="32" s="1"/>
  <c r="J408" i="18"/>
  <c r="J410" i="18"/>
  <c r="J409" i="18"/>
  <c r="J162" i="18"/>
  <c r="J163" i="18" s="1"/>
  <c r="J164" i="18" s="1"/>
  <c r="J165" i="18" s="1"/>
  <c r="J166" i="18" s="1"/>
  <c r="G18" i="19" s="1"/>
  <c r="H18" i="19" s="1"/>
  <c r="Z90" i="3"/>
  <c r="AA90" i="3" s="1"/>
  <c r="Y90" i="3"/>
  <c r="X229" i="3"/>
  <c r="J834" i="32"/>
  <c r="G123" i="33"/>
  <c r="J131" i="18"/>
  <c r="J1394" i="18"/>
  <c r="AL95" i="5"/>
  <c r="AL93" i="5" s="1"/>
  <c r="AN93" i="5" s="1"/>
  <c r="AO93" i="5" s="1"/>
  <c r="N40" i="2" s="1"/>
  <c r="U40" i="2" s="1"/>
  <c r="V40" i="2" s="1"/>
  <c r="Q798" i="22"/>
  <c r="Q793" i="22" s="1"/>
  <c r="X223" i="3"/>
  <c r="J805" i="32"/>
  <c r="Z196" i="3"/>
  <c r="AA196" i="3" s="1"/>
  <c r="Y196" i="3"/>
  <c r="J632" i="18"/>
  <c r="J633" i="18" s="1"/>
  <c r="J634" i="18" s="1"/>
  <c r="J635" i="18" s="1"/>
  <c r="J636" i="18" s="1"/>
  <c r="J53" i="36" s="1"/>
  <c r="Q158" i="22"/>
  <c r="Q152" i="22" s="1"/>
  <c r="X254" i="12"/>
  <c r="J1028" i="18"/>
  <c r="J1027" i="18"/>
  <c r="J1029" i="18"/>
  <c r="J1226" i="18"/>
  <c r="J1225" i="18"/>
  <c r="J1227" i="18"/>
  <c r="G60" i="33"/>
  <c r="N63" i="1"/>
  <c r="R63" i="1" s="1"/>
  <c r="J428" i="18"/>
  <c r="N99" i="1"/>
  <c r="R99" i="1" s="1"/>
  <c r="J713" i="18"/>
  <c r="Q419" i="22"/>
  <c r="P420" i="22"/>
  <c r="P574" i="22"/>
  <c r="Q573" i="22"/>
  <c r="U8" i="1"/>
  <c r="Z87" i="3"/>
  <c r="AA87" i="3" s="1"/>
  <c r="Y87" i="3"/>
  <c r="X253" i="12"/>
  <c r="Q146" i="22"/>
  <c r="Q140" i="22" s="1"/>
  <c r="Q373" i="22"/>
  <c r="Q367" i="22" s="1"/>
  <c r="X258" i="12"/>
  <c r="G95" i="33"/>
  <c r="J633" i="32"/>
  <c r="P245" i="22"/>
  <c r="H1055" i="18"/>
  <c r="J1055" i="18" s="1"/>
  <c r="H1057" i="18" s="1"/>
  <c r="J1057" i="18" s="1"/>
  <c r="J1053" i="18" s="1"/>
  <c r="H1127" i="18"/>
  <c r="J1127" i="18" s="1"/>
  <c r="H856" i="32"/>
  <c r="P845" i="22"/>
  <c r="G41" i="20"/>
  <c r="H41" i="20" s="1"/>
  <c r="H1268" i="18"/>
  <c r="J1268" i="18" s="1"/>
  <c r="H1270" i="18" s="1"/>
  <c r="J1270" i="18" s="1"/>
  <c r="J1266" i="18" s="1"/>
  <c r="H619" i="32"/>
  <c r="H521" i="32"/>
  <c r="P556" i="22"/>
  <c r="H1751" i="18"/>
  <c r="J1751" i="18" s="1"/>
  <c r="H845" i="32"/>
  <c r="X153" i="3"/>
  <c r="P856" i="22"/>
  <c r="H1771" i="18"/>
  <c r="J1771" i="18" s="1"/>
  <c r="H1773" i="18" s="1"/>
  <c r="J1773" i="18" s="1"/>
  <c r="J1769" i="18" s="1"/>
  <c r="P619" i="22"/>
  <c r="H556" i="32"/>
  <c r="P521" i="22"/>
  <c r="J99" i="18"/>
  <c r="J100" i="18" s="1"/>
  <c r="J101" i="18" s="1"/>
  <c r="J102" i="18" s="1"/>
  <c r="J103" i="18" s="1"/>
  <c r="G14" i="19" s="1"/>
  <c r="H14" i="19" s="1"/>
  <c r="J115" i="18"/>
  <c r="J116" i="18" s="1"/>
  <c r="J117" i="18" s="1"/>
  <c r="J118" i="18" s="1"/>
  <c r="L42" i="33"/>
  <c r="P42" i="33" s="1"/>
  <c r="K42" i="33"/>
  <c r="N190" i="1"/>
  <c r="R190" i="1" s="1"/>
  <c r="J1600" i="18"/>
  <c r="J530" i="32"/>
  <c r="Q189" i="22"/>
  <c r="Q187" i="22" s="1"/>
  <c r="X214" i="3"/>
  <c r="J1706" i="18"/>
  <c r="J1707" i="18" s="1"/>
  <c r="J605" i="32"/>
  <c r="J1085" i="18"/>
  <c r="J1086" i="18"/>
  <c r="J1084" i="18"/>
  <c r="Q598" i="22"/>
  <c r="Q593" i="22" s="1"/>
  <c r="X224" i="3"/>
  <c r="N194" i="1"/>
  <c r="R194" i="1" s="1"/>
  <c r="J1664" i="18"/>
  <c r="J568" i="18"/>
  <c r="J648" i="18"/>
  <c r="J649" i="18" s="1"/>
  <c r="J650" i="18" s="1"/>
  <c r="J651" i="18" s="1"/>
  <c r="J652" i="18" s="1"/>
  <c r="I53" i="37" s="1"/>
  <c r="N141" i="1"/>
  <c r="R141" i="1" s="1"/>
  <c r="J966" i="18"/>
  <c r="Q469" i="22"/>
  <c r="X221" i="3"/>
  <c r="Q786" i="22"/>
  <c r="Q781" i="22" s="1"/>
  <c r="X225" i="3"/>
  <c r="Q607" i="22"/>
  <c r="Q605" i="22" s="1"/>
  <c r="X215" i="3"/>
  <c r="AB8" i="1"/>
  <c r="J1296" i="18"/>
  <c r="J1297" i="18" s="1"/>
  <c r="J1298" i="18" s="1"/>
  <c r="X255" i="12"/>
  <c r="Q203" i="22"/>
  <c r="Q197" i="22" s="1"/>
  <c r="Q355" i="22"/>
  <c r="Q349" i="22" s="1"/>
  <c r="X257" i="12"/>
  <c r="Q392" i="22"/>
  <c r="Q383" i="22" s="1"/>
  <c r="X259" i="12"/>
  <c r="Q680" i="22"/>
  <c r="Q674" i="22" s="1"/>
  <c r="H693" i="32"/>
  <c r="X14" i="3"/>
  <c r="P693" i="22"/>
  <c r="G11" i="20"/>
  <c r="H11" i="20" s="1"/>
  <c r="H1439" i="18"/>
  <c r="J1439" i="18" s="1"/>
  <c r="H1440" i="18" s="1"/>
  <c r="J1440" i="18" s="1"/>
  <c r="J1438" i="18" s="1"/>
  <c r="G114" i="33"/>
  <c r="J757" i="32"/>
  <c r="J616" i="18"/>
  <c r="J617" i="18" s="1"/>
  <c r="J618" i="18" s="1"/>
  <c r="J619" i="18" s="1"/>
  <c r="J620" i="18" s="1"/>
  <c r="Q132" i="22"/>
  <c r="Q130" i="22" s="1"/>
  <c r="X213" i="3"/>
  <c r="J680" i="18"/>
  <c r="J681" i="18" s="1"/>
  <c r="J682" i="18" s="1"/>
  <c r="J683" i="18" s="1"/>
  <c r="J684" i="18" s="1"/>
  <c r="G54" i="19" s="1"/>
  <c r="H54" i="19" s="1"/>
  <c r="J1858" i="18"/>
  <c r="J1859" i="18" s="1"/>
  <c r="J1860" i="18" s="1"/>
  <c r="J362" i="32"/>
  <c r="G62" i="33"/>
  <c r="G22" i="33"/>
  <c r="N36" i="1"/>
  <c r="R36" i="1" s="1"/>
  <c r="J211" i="18"/>
  <c r="N105" i="1"/>
  <c r="R105" i="1" s="1"/>
  <c r="J753" i="18"/>
  <c r="J290" i="18"/>
  <c r="J289" i="18"/>
  <c r="J1518" i="18"/>
  <c r="N184" i="1"/>
  <c r="R184" i="1" s="1"/>
  <c r="Z73" i="3"/>
  <c r="AA73" i="3" s="1"/>
  <c r="Y73" i="3"/>
  <c r="H1037" i="18"/>
  <c r="J1037" i="18" s="1"/>
  <c r="J1036" i="18" s="1"/>
  <c r="X171" i="3"/>
  <c r="P512" i="22"/>
  <c r="Q512" i="22" s="1"/>
  <c r="Q511" i="22" s="1"/>
  <c r="H512" i="32"/>
  <c r="J512" i="32" s="1"/>
  <c r="J511" i="32" s="1"/>
  <c r="G45" i="20"/>
  <c r="H45" i="20" s="1"/>
  <c r="J147" i="32"/>
  <c r="G32" i="33"/>
  <c r="G37" i="33"/>
  <c r="G56" i="33"/>
  <c r="J790" i="18"/>
  <c r="N109" i="1"/>
  <c r="R109" i="1" s="1"/>
  <c r="Z138" i="3"/>
  <c r="AA138" i="3" s="1"/>
  <c r="Y138" i="3"/>
  <c r="J886" i="18"/>
  <c r="P730" i="22"/>
  <c r="G51" i="19"/>
  <c r="H51" i="19" s="1"/>
  <c r="I91" i="37"/>
  <c r="J92" i="36"/>
  <c r="G102" i="19"/>
  <c r="H102" i="19" s="1"/>
  <c r="I89" i="37"/>
  <c r="J90" i="36"/>
  <c r="G98" i="19"/>
  <c r="H98" i="19" s="1"/>
  <c r="J535" i="18"/>
  <c r="J536" i="18" s="1"/>
  <c r="J1815" i="18"/>
  <c r="J1816" i="18" s="1"/>
  <c r="P9" i="33"/>
  <c r="I92" i="37"/>
  <c r="J93" i="36"/>
  <c r="G103" i="19"/>
  <c r="H103" i="19" s="1"/>
  <c r="I115" i="37"/>
  <c r="J116" i="36"/>
  <c r="G128" i="19"/>
  <c r="H128" i="19" s="1"/>
  <c r="J967" i="18" l="1"/>
  <c r="J28" i="36"/>
  <c r="J344" i="32"/>
  <c r="X227" i="3"/>
  <c r="Y227" i="3" s="1"/>
  <c r="Y30" i="3"/>
  <c r="J1412" i="18"/>
  <c r="G119" i="33"/>
  <c r="K119" i="33" s="1"/>
  <c r="J135" i="32"/>
  <c r="H1147" i="18"/>
  <c r="J1147" i="18" s="1"/>
  <c r="H1148" i="18" s="1"/>
  <c r="J1148" i="18" s="1"/>
  <c r="J1146" i="18" s="1"/>
  <c r="J1152" i="18" s="1"/>
  <c r="Q464" i="22"/>
  <c r="G52" i="19"/>
  <c r="H52" i="19" s="1"/>
  <c r="Y10" i="3"/>
  <c r="J323" i="32"/>
  <c r="J1830" i="18"/>
  <c r="J1831" i="18" s="1"/>
  <c r="J1832" i="18" s="1"/>
  <c r="J773" i="18"/>
  <c r="J774" i="18" s="1"/>
  <c r="J775" i="18" s="1"/>
  <c r="J776" i="18" s="1"/>
  <c r="J777" i="18" s="1"/>
  <c r="Z234" i="12"/>
  <c r="AA234" i="12" s="1"/>
  <c r="Y234" i="12"/>
  <c r="F45" i="17"/>
  <c r="F46" i="17" s="1"/>
  <c r="F44" i="17" s="1"/>
  <c r="G8" i="42" s="1"/>
  <c r="J77" i="36"/>
  <c r="P77" i="36" s="1"/>
  <c r="J768" i="32"/>
  <c r="J514" i="18"/>
  <c r="J1468" i="18"/>
  <c r="P721" i="22"/>
  <c r="Q720" i="22"/>
  <c r="J1186" i="18"/>
  <c r="J686" i="32"/>
  <c r="G105" i="33" s="1"/>
  <c r="Z168" i="3"/>
  <c r="AA168" i="3" s="1"/>
  <c r="AB12" i="1"/>
  <c r="J513" i="18"/>
  <c r="J545" i="32"/>
  <c r="J51" i="18"/>
  <c r="J52" i="18" s="1"/>
  <c r="J53" i="18" s="1"/>
  <c r="J54" i="18" s="1"/>
  <c r="J55" i="18" s="1"/>
  <c r="G11" i="19" s="1"/>
  <c r="H11" i="19" s="1"/>
  <c r="Z16" i="3"/>
  <c r="AA16" i="3" s="1"/>
  <c r="Y16" i="3"/>
  <c r="I76" i="37"/>
  <c r="H420" i="32"/>
  <c r="J420" i="32" s="1"/>
  <c r="Y230" i="12"/>
  <c r="Z230" i="12"/>
  <c r="AA230" i="12" s="1"/>
  <c r="J54" i="36"/>
  <c r="O54" i="36" s="1"/>
  <c r="X226" i="3"/>
  <c r="Y226" i="3" s="1"/>
  <c r="Z235" i="12"/>
  <c r="AA235" i="12" s="1"/>
  <c r="Y235" i="12"/>
  <c r="Z236" i="12"/>
  <c r="AA236" i="12" s="1"/>
  <c r="Y236" i="12"/>
  <c r="J51" i="36"/>
  <c r="L51" i="36" s="1"/>
  <c r="Y8" i="3"/>
  <c r="J573" i="32"/>
  <c r="J572" i="32" s="1"/>
  <c r="J571" i="32" s="1"/>
  <c r="Y36" i="3"/>
  <c r="P379" i="22"/>
  <c r="X236" i="3" s="1"/>
  <c r="J1188" i="18"/>
  <c r="J1592" i="18"/>
  <c r="J1593" i="18" s="1"/>
  <c r="J1594" i="18" s="1"/>
  <c r="Q774" i="22"/>
  <c r="Q769" i="22" s="1"/>
  <c r="Q458" i="22"/>
  <c r="H979" i="18"/>
  <c r="J979" i="18" s="1"/>
  <c r="J974" i="18" s="1"/>
  <c r="J984" i="18" s="1"/>
  <c r="H8" i="42"/>
  <c r="G107" i="33"/>
  <c r="K107" i="33" s="1"/>
  <c r="J35" i="18"/>
  <c r="J36" i="18" s="1"/>
  <c r="J37" i="18" s="1"/>
  <c r="J38" i="18" s="1"/>
  <c r="J39" i="18" s="1"/>
  <c r="Q611" i="22"/>
  <c r="J1482" i="18"/>
  <c r="J1483" i="18" s="1"/>
  <c r="P567" i="22"/>
  <c r="P568" i="22" s="1"/>
  <c r="G21" i="19"/>
  <c r="H21" i="19" s="1"/>
  <c r="H567" i="32"/>
  <c r="J567" i="32" s="1"/>
  <c r="J30" i="36"/>
  <c r="O30" i="36" s="1"/>
  <c r="X6" i="3"/>
  <c r="Z6" i="3" s="1"/>
  <c r="AA6" i="3" s="1"/>
  <c r="J67" i="18"/>
  <c r="J68" i="18" s="1"/>
  <c r="J69" i="18" s="1"/>
  <c r="J70" i="18" s="1"/>
  <c r="J71" i="18" s="1"/>
  <c r="G12" i="19" s="1"/>
  <c r="H12" i="19" s="1"/>
  <c r="G49" i="19"/>
  <c r="H49" i="19" s="1"/>
  <c r="J24" i="36"/>
  <c r="P24" i="36" s="1"/>
  <c r="J1250" i="18"/>
  <c r="N156" i="1" s="1"/>
  <c r="R156" i="1" s="1"/>
  <c r="Z245" i="3"/>
  <c r="AA245" i="3" s="1"/>
  <c r="Y245" i="3"/>
  <c r="I23" i="37"/>
  <c r="L23" i="37" s="1"/>
  <c r="J186" i="32"/>
  <c r="J83" i="18"/>
  <c r="J84" i="18" s="1"/>
  <c r="J85" i="18" s="1"/>
  <c r="J86" i="18" s="1"/>
  <c r="J87" i="18" s="1"/>
  <c r="G109" i="33"/>
  <c r="J718" i="32"/>
  <c r="J1206" i="18"/>
  <c r="J1207" i="18" s="1"/>
  <c r="J1208" i="18" s="1"/>
  <c r="J1209" i="18" s="1"/>
  <c r="J1210" i="18" s="1"/>
  <c r="O127" i="33"/>
  <c r="P127" i="33" s="1"/>
  <c r="K127" i="33"/>
  <c r="J48" i="36"/>
  <c r="P48" i="36" s="1"/>
  <c r="J232" i="18"/>
  <c r="J233" i="18" s="1"/>
  <c r="J234" i="18" s="1"/>
  <c r="J235" i="18" s="1"/>
  <c r="J236" i="18" s="1"/>
  <c r="J1846" i="18"/>
  <c r="J1847" i="18" s="1"/>
  <c r="J1848" i="18" s="1"/>
  <c r="J119" i="36" s="1"/>
  <c r="H730" i="32"/>
  <c r="J730" i="32" s="1"/>
  <c r="J728" i="32" s="1"/>
  <c r="G30" i="33"/>
  <c r="J129" i="32"/>
  <c r="I52" i="37"/>
  <c r="L52" i="37" s="1"/>
  <c r="I90" i="37"/>
  <c r="J91" i="36"/>
  <c r="G101" i="19"/>
  <c r="H101" i="19" s="1"/>
  <c r="J1571" i="18"/>
  <c r="J1572" i="18"/>
  <c r="J1570" i="18"/>
  <c r="J1538" i="18"/>
  <c r="J1537" i="18"/>
  <c r="J1536" i="18"/>
  <c r="J611" i="32"/>
  <c r="G91" i="33" s="1"/>
  <c r="J1646" i="18"/>
  <c r="J1644" i="18"/>
  <c r="J1645" i="18"/>
  <c r="J665" i="18"/>
  <c r="J666" i="18" s="1"/>
  <c r="H712" i="32"/>
  <c r="J712" i="32" s="1"/>
  <c r="J711" i="32"/>
  <c r="G17" i="19"/>
  <c r="H17" i="19" s="1"/>
  <c r="J1422" i="18"/>
  <c r="N179" i="1" s="1"/>
  <c r="R179" i="1" s="1"/>
  <c r="Q686" i="22"/>
  <c r="Z12" i="3"/>
  <c r="AA12" i="3" s="1"/>
  <c r="Y12" i="3"/>
  <c r="K86" i="33"/>
  <c r="L86" i="33"/>
  <c r="P86" i="33" s="1"/>
  <c r="J1555" i="18"/>
  <c r="J1554" i="18"/>
  <c r="J1553" i="18"/>
  <c r="Q711" i="22"/>
  <c r="P712" i="22"/>
  <c r="J119" i="18"/>
  <c r="I24" i="37" s="1"/>
  <c r="J458" i="32"/>
  <c r="J457" i="32" s="1"/>
  <c r="I26" i="37"/>
  <c r="N26" i="37" s="1"/>
  <c r="J192" i="32"/>
  <c r="J1228" i="18"/>
  <c r="J1229" i="18" s="1"/>
  <c r="J1230" i="18" s="1"/>
  <c r="J1231" i="18" s="1"/>
  <c r="J1232" i="18" s="1"/>
  <c r="J395" i="18"/>
  <c r="J396" i="18" s="1"/>
  <c r="J397" i="18" s="1"/>
  <c r="J398" i="18" s="1"/>
  <c r="J399" i="18" s="1"/>
  <c r="J472" i="18"/>
  <c r="J473" i="18" s="1"/>
  <c r="J474" i="18" s="1"/>
  <c r="J475" i="18" s="1"/>
  <c r="J476" i="18" s="1"/>
  <c r="K111" i="33"/>
  <c r="L111" i="33"/>
  <c r="P111" i="33" s="1"/>
  <c r="K113" i="33"/>
  <c r="L113" i="33"/>
  <c r="P113" i="33" s="1"/>
  <c r="L112" i="33"/>
  <c r="P112" i="33" s="1"/>
  <c r="K112" i="33"/>
  <c r="J267" i="18"/>
  <c r="J268" i="18" s="1"/>
  <c r="J19" i="18"/>
  <c r="J20" i="18" s="1"/>
  <c r="J21" i="18" s="1"/>
  <c r="J22" i="18" s="1"/>
  <c r="J23" i="18" s="1"/>
  <c r="J818" i="18"/>
  <c r="N111" i="1"/>
  <c r="R111" i="1" s="1"/>
  <c r="J1168" i="18"/>
  <c r="N147" i="1"/>
  <c r="R147" i="1" s="1"/>
  <c r="G69" i="33"/>
  <c r="J443" i="32"/>
  <c r="J33" i="36"/>
  <c r="N33" i="36" s="1"/>
  <c r="G26" i="19"/>
  <c r="H26" i="19" s="1"/>
  <c r="I32" i="37"/>
  <c r="N32" i="37" s="1"/>
  <c r="G123" i="19"/>
  <c r="H123" i="19" s="1"/>
  <c r="J111" i="36"/>
  <c r="I110" i="37"/>
  <c r="J56" i="36"/>
  <c r="O56" i="36" s="1"/>
  <c r="X244" i="3"/>
  <c r="Q730" i="22"/>
  <c r="Q728" i="22" s="1"/>
  <c r="Z171" i="3"/>
  <c r="AA171" i="3" s="1"/>
  <c r="Y171" i="3"/>
  <c r="Y8" i="1"/>
  <c r="R9" i="1"/>
  <c r="N122" i="1"/>
  <c r="R122" i="1" s="1"/>
  <c r="J925" i="18"/>
  <c r="Z14" i="3"/>
  <c r="AA14" i="3" s="1"/>
  <c r="Y14" i="3"/>
  <c r="Z257" i="12"/>
  <c r="AA257" i="12" s="1"/>
  <c r="Y257" i="12"/>
  <c r="J1299" i="18"/>
  <c r="J1300" i="18" s="1"/>
  <c r="Z221" i="3"/>
  <c r="AA221" i="3" s="1"/>
  <c r="Y221" i="3"/>
  <c r="L117" i="33"/>
  <c r="P117" i="33" s="1"/>
  <c r="K117" i="33"/>
  <c r="Z224" i="3"/>
  <c r="AA224" i="3" s="1"/>
  <c r="Y224" i="3"/>
  <c r="J1087" i="18"/>
  <c r="J1088" i="18" s="1"/>
  <c r="J1089" i="18" s="1"/>
  <c r="J1090" i="18" s="1"/>
  <c r="J1091" i="18" s="1"/>
  <c r="G80" i="19" s="1"/>
  <c r="H80" i="19" s="1"/>
  <c r="G73" i="33"/>
  <c r="J463" i="32"/>
  <c r="N202" i="1"/>
  <c r="R202" i="1" s="1"/>
  <c r="J1779" i="18"/>
  <c r="H1753" i="18"/>
  <c r="J1753" i="18" s="1"/>
  <c r="J1749" i="18" s="1"/>
  <c r="N158" i="1"/>
  <c r="R158" i="1" s="1"/>
  <c r="J1276" i="18"/>
  <c r="H1129" i="18"/>
  <c r="J1129" i="18" s="1"/>
  <c r="J1125" i="18" s="1"/>
  <c r="Y258" i="12"/>
  <c r="Z258" i="12"/>
  <c r="AA258" i="12" s="1"/>
  <c r="K60" i="33"/>
  <c r="L60" i="33"/>
  <c r="P60" i="33" s="1"/>
  <c r="Z254" i="12"/>
  <c r="AA254" i="12" s="1"/>
  <c r="Y254" i="12"/>
  <c r="G122" i="33"/>
  <c r="J820" i="32"/>
  <c r="J132" i="18"/>
  <c r="J133" i="18" s="1"/>
  <c r="Z229" i="3"/>
  <c r="AA229" i="3" s="1"/>
  <c r="Y229" i="3"/>
  <c r="J411" i="18"/>
  <c r="J412" i="18" s="1"/>
  <c r="J413" i="18" s="1"/>
  <c r="H568" i="32"/>
  <c r="J568" i="32" s="1"/>
  <c r="J349" i="18"/>
  <c r="J348" i="18"/>
  <c r="J347" i="18"/>
  <c r="J496" i="18"/>
  <c r="Z260" i="12"/>
  <c r="AA260" i="12" s="1"/>
  <c r="Y260" i="12"/>
  <c r="J857" i="18"/>
  <c r="N115" i="1"/>
  <c r="R115" i="1" s="1"/>
  <c r="Z107" i="3"/>
  <c r="AA107" i="3" s="1"/>
  <c r="Y107" i="3"/>
  <c r="N113" i="1"/>
  <c r="R113" i="1" s="1"/>
  <c r="J836" i="18"/>
  <c r="Z102" i="3"/>
  <c r="AA102" i="3" s="1"/>
  <c r="Y102" i="3"/>
  <c r="Q217" i="22"/>
  <c r="P219" i="22"/>
  <c r="Z69" i="3"/>
  <c r="AA69" i="3" s="1"/>
  <c r="Y69" i="3"/>
  <c r="I55" i="37"/>
  <c r="N55" i="37" s="1"/>
  <c r="I27" i="37"/>
  <c r="M27" i="37" s="1"/>
  <c r="I47" i="37"/>
  <c r="M47" i="37" s="1"/>
  <c r="J889" i="18"/>
  <c r="J888" i="18"/>
  <c r="J887" i="18"/>
  <c r="J1043" i="18"/>
  <c r="N133" i="1"/>
  <c r="R133" i="1" s="1"/>
  <c r="J1519" i="18"/>
  <c r="J1521" i="18"/>
  <c r="J1520" i="18"/>
  <c r="J292" i="18"/>
  <c r="J293" i="18" s="1"/>
  <c r="J294" i="18" s="1"/>
  <c r="J295" i="18" s="1"/>
  <c r="J296" i="18" s="1"/>
  <c r="J756" i="18"/>
  <c r="J754" i="18"/>
  <c r="J755" i="18"/>
  <c r="J79" i="32"/>
  <c r="J1861" i="18"/>
  <c r="J1862" i="18" s="1"/>
  <c r="J1446" i="18"/>
  <c r="N180" i="1"/>
  <c r="R180" i="1" s="1"/>
  <c r="H694" i="32"/>
  <c r="J694" i="32" s="1"/>
  <c r="J693" i="32"/>
  <c r="Q521" i="22"/>
  <c r="P523" i="22"/>
  <c r="Q856" i="22"/>
  <c r="P858" i="22"/>
  <c r="Q556" i="22"/>
  <c r="P558" i="22"/>
  <c r="N135" i="1"/>
  <c r="R135" i="1" s="1"/>
  <c r="J1063" i="18"/>
  <c r="Z253" i="12"/>
  <c r="AA253" i="12" s="1"/>
  <c r="Y253" i="12"/>
  <c r="Q379" i="22"/>
  <c r="Q375" i="22" s="1"/>
  <c r="J430" i="18"/>
  <c r="J431" i="18"/>
  <c r="J429" i="18"/>
  <c r="J1030" i="18"/>
  <c r="J1031" i="18" s="1"/>
  <c r="J1032" i="18" s="1"/>
  <c r="J1033" i="18" s="1"/>
  <c r="J1034" i="18" s="1"/>
  <c r="G120" i="33"/>
  <c r="J804" i="32"/>
  <c r="Z227" i="3"/>
  <c r="AA227" i="3" s="1"/>
  <c r="J1395" i="18"/>
  <c r="J1396" i="18" s="1"/>
  <c r="J1397" i="18" s="1"/>
  <c r="J1398" i="18" s="1"/>
  <c r="L123" i="33"/>
  <c r="P123" i="33" s="1"/>
  <c r="K123" i="33"/>
  <c r="P121" i="22"/>
  <c r="J375" i="32"/>
  <c r="J592" i="32"/>
  <c r="G89" i="33"/>
  <c r="J697" i="18"/>
  <c r="J698" i="18" s="1"/>
  <c r="J1686" i="18"/>
  <c r="J1685" i="18"/>
  <c r="J1687" i="18"/>
  <c r="G64" i="33"/>
  <c r="J393" i="32"/>
  <c r="Y256" i="12"/>
  <c r="Z256" i="12"/>
  <c r="AA256" i="12" s="1"/>
  <c r="Z242" i="3"/>
  <c r="AA242" i="3" s="1"/>
  <c r="Y242" i="3"/>
  <c r="Q229" i="22"/>
  <c r="P234" i="22"/>
  <c r="J229" i="32"/>
  <c r="H234" i="32"/>
  <c r="J234" i="32" s="1"/>
  <c r="J1725" i="18"/>
  <c r="J1723" i="18"/>
  <c r="J1724" i="18"/>
  <c r="P481" i="22"/>
  <c r="Q477" i="22"/>
  <c r="J1502" i="18"/>
  <c r="J1501" i="18"/>
  <c r="J1503" i="18"/>
  <c r="Q489" i="22"/>
  <c r="P491" i="22"/>
  <c r="J791" i="18"/>
  <c r="J793" i="18"/>
  <c r="J792" i="18"/>
  <c r="K37" i="33"/>
  <c r="L37" i="33"/>
  <c r="P37" i="33" s="1"/>
  <c r="J1003" i="18"/>
  <c r="N130" i="1"/>
  <c r="R130" i="1" s="1"/>
  <c r="J510" i="32"/>
  <c r="G77" i="33"/>
  <c r="L22" i="33"/>
  <c r="K22" i="33"/>
  <c r="Z218" i="3"/>
  <c r="AA218" i="3" s="1"/>
  <c r="Y218" i="3"/>
  <c r="Y259" i="12"/>
  <c r="Z259" i="12"/>
  <c r="AA259" i="12" s="1"/>
  <c r="Y225" i="3"/>
  <c r="Z225" i="3"/>
  <c r="AA225" i="3" s="1"/>
  <c r="J1117" i="18"/>
  <c r="J1118" i="18"/>
  <c r="J1116" i="18"/>
  <c r="J569" i="18"/>
  <c r="J570" i="18" s="1"/>
  <c r="J1665" i="18"/>
  <c r="J1666" i="18"/>
  <c r="J1667" i="18"/>
  <c r="J673" i="32"/>
  <c r="G104" i="33"/>
  <c r="G65" i="33"/>
  <c r="J402" i="32"/>
  <c r="Y214" i="3"/>
  <c r="Z214" i="3"/>
  <c r="AA214" i="3" s="1"/>
  <c r="J529" i="32"/>
  <c r="G79" i="33"/>
  <c r="J1603" i="18"/>
  <c r="J1602" i="18"/>
  <c r="J1601" i="18"/>
  <c r="J556" i="32"/>
  <c r="H558" i="32"/>
  <c r="J558" i="32" s="1"/>
  <c r="Z153" i="3"/>
  <c r="AA153" i="3" s="1"/>
  <c r="Y153" i="3"/>
  <c r="J521" i="32"/>
  <c r="H523" i="32"/>
  <c r="J523" i="32" s="1"/>
  <c r="Q845" i="22"/>
  <c r="P847" i="22"/>
  <c r="X210" i="3"/>
  <c r="Q245" i="22"/>
  <c r="Q242" i="22" s="1"/>
  <c r="Q574" i="22"/>
  <c r="Q572" i="22" s="1"/>
  <c r="X241" i="3"/>
  <c r="Y223" i="3"/>
  <c r="Z223" i="3"/>
  <c r="AA223" i="3" s="1"/>
  <c r="H7" i="20"/>
  <c r="J327" i="18"/>
  <c r="J326" i="18"/>
  <c r="J328" i="18"/>
  <c r="J585" i="18"/>
  <c r="J586" i="18" s="1"/>
  <c r="Z252" i="12"/>
  <c r="AA252" i="12" s="1"/>
  <c r="Y252" i="12"/>
  <c r="J307" i="18"/>
  <c r="J306" i="18"/>
  <c r="J305" i="18"/>
  <c r="J1742" i="18"/>
  <c r="J1741" i="18"/>
  <c r="J1740" i="18"/>
  <c r="J496" i="32"/>
  <c r="G76" i="33"/>
  <c r="G68" i="33"/>
  <c r="J434" i="32"/>
  <c r="N120" i="1"/>
  <c r="R120" i="1" s="1"/>
  <c r="J904" i="18"/>
  <c r="J177" i="32"/>
  <c r="H178" i="32"/>
  <c r="J178" i="32" s="1"/>
  <c r="J217" i="32"/>
  <c r="H219" i="32"/>
  <c r="J219" i="32" s="1"/>
  <c r="J1313" i="18"/>
  <c r="J1315" i="18"/>
  <c r="J1314" i="18"/>
  <c r="J943" i="18"/>
  <c r="N127" i="1"/>
  <c r="R127" i="1" s="1"/>
  <c r="H481" i="32"/>
  <c r="J481" i="32" s="1"/>
  <c r="J477" i="32"/>
  <c r="J489" i="32"/>
  <c r="H491" i="32"/>
  <c r="J491" i="32" s="1"/>
  <c r="J1485" i="18"/>
  <c r="J1623" i="18"/>
  <c r="J1625" i="18"/>
  <c r="J1624" i="18"/>
  <c r="L56" i="33"/>
  <c r="P56" i="33" s="1"/>
  <c r="K56" i="33"/>
  <c r="K32" i="33"/>
  <c r="L32" i="33"/>
  <c r="P32" i="33" s="1"/>
  <c r="J214" i="18"/>
  <c r="J213" i="18"/>
  <c r="J212" i="18"/>
  <c r="K62" i="33"/>
  <c r="L62" i="33"/>
  <c r="P62" i="33" s="1"/>
  <c r="Z213" i="3"/>
  <c r="AA213" i="3" s="1"/>
  <c r="Y213" i="3"/>
  <c r="L114" i="33"/>
  <c r="P114" i="33" s="1"/>
  <c r="K114" i="33"/>
  <c r="P694" i="22"/>
  <c r="Q693" i="22"/>
  <c r="K36" i="33"/>
  <c r="L36" i="33"/>
  <c r="P36" i="33" s="1"/>
  <c r="Y255" i="12"/>
  <c r="Z255" i="12"/>
  <c r="AA255" i="12" s="1"/>
  <c r="Z215" i="3"/>
  <c r="AA215" i="3" s="1"/>
  <c r="Y215" i="3"/>
  <c r="J968" i="18"/>
  <c r="J969" i="18" s="1"/>
  <c r="J970" i="18" s="1"/>
  <c r="J604" i="32"/>
  <c r="G90" i="33"/>
  <c r="Q619" i="22"/>
  <c r="P621" i="22"/>
  <c r="J845" i="32"/>
  <c r="H847" i="32"/>
  <c r="J847" i="32" s="1"/>
  <c r="J619" i="32"/>
  <c r="H621" i="32"/>
  <c r="J621" i="32" s="1"/>
  <c r="J856" i="32"/>
  <c r="H858" i="32"/>
  <c r="J858" i="32" s="1"/>
  <c r="J1415" i="18"/>
  <c r="J1414" i="18"/>
  <c r="J1413" i="18"/>
  <c r="K95" i="33"/>
  <c r="L95" i="33"/>
  <c r="P95" i="33" s="1"/>
  <c r="L81" i="33"/>
  <c r="P81" i="33" s="1"/>
  <c r="K81" i="33"/>
  <c r="Q420" i="22"/>
  <c r="Q416" i="22" s="1"/>
  <c r="X237" i="3"/>
  <c r="J714" i="18"/>
  <c r="J716" i="18"/>
  <c r="J715" i="18"/>
  <c r="J1833" i="18"/>
  <c r="J1834" i="18" s="1"/>
  <c r="H439" i="18"/>
  <c r="J439" i="18" s="1"/>
  <c r="H441" i="18" s="1"/>
  <c r="J441" i="18" s="1"/>
  <c r="J438" i="18" s="1"/>
  <c r="H357" i="18"/>
  <c r="J357" i="18" s="1"/>
  <c r="P161" i="22"/>
  <c r="H161" i="32"/>
  <c r="X159" i="3"/>
  <c r="G42" i="20"/>
  <c r="H42" i="20" s="1"/>
  <c r="P206" i="22"/>
  <c r="H206" i="32"/>
  <c r="Y222" i="3"/>
  <c r="Z222" i="3"/>
  <c r="AA222" i="3" s="1"/>
  <c r="G41" i="33"/>
  <c r="J241" i="32"/>
  <c r="G118" i="33"/>
  <c r="J780" i="32"/>
  <c r="Q567" i="22"/>
  <c r="N146" i="1"/>
  <c r="R146" i="1" s="1"/>
  <c r="J416" i="32"/>
  <c r="K31" i="33"/>
  <c r="L31" i="33"/>
  <c r="P31" i="33" s="1"/>
  <c r="L119" i="33"/>
  <c r="P119" i="33" s="1"/>
  <c r="Z230" i="3"/>
  <c r="AA230" i="3" s="1"/>
  <c r="Y230" i="3"/>
  <c r="Q177" i="22"/>
  <c r="P178" i="22"/>
  <c r="J120" i="32"/>
  <c r="H121" i="32"/>
  <c r="J121" i="32" s="1"/>
  <c r="Z205" i="3"/>
  <c r="AA205" i="3" s="1"/>
  <c r="Y205" i="3"/>
  <c r="Z34" i="3"/>
  <c r="AA34" i="3" s="1"/>
  <c r="Y34" i="3"/>
  <c r="J537" i="18"/>
  <c r="J538" i="18" s="1"/>
  <c r="I51" i="37"/>
  <c r="J52" i="36"/>
  <c r="G50" i="19"/>
  <c r="H50" i="19" s="1"/>
  <c r="I60" i="37"/>
  <c r="J61" i="36"/>
  <c r="G62" i="19"/>
  <c r="H62" i="19" s="1"/>
  <c r="J1247" i="18"/>
  <c r="J1248" i="18" s="1"/>
  <c r="I20" i="37"/>
  <c r="J21" i="36"/>
  <c r="N76" i="37"/>
  <c r="L76" i="37"/>
  <c r="M76" i="37"/>
  <c r="K76" i="37"/>
  <c r="O116" i="36"/>
  <c r="P116" i="36"/>
  <c r="N116" i="36"/>
  <c r="L116" i="36"/>
  <c r="N92" i="37"/>
  <c r="L92" i="37"/>
  <c r="M92" i="37"/>
  <c r="K92" i="37"/>
  <c r="M89" i="37"/>
  <c r="N89" i="37"/>
  <c r="L89" i="37"/>
  <c r="K89" i="37"/>
  <c r="O92" i="36"/>
  <c r="P92" i="36"/>
  <c r="N92" i="36"/>
  <c r="L92" i="36"/>
  <c r="M53" i="37"/>
  <c r="N53" i="37"/>
  <c r="L53" i="37"/>
  <c r="K53" i="37"/>
  <c r="O28" i="36"/>
  <c r="P28" i="36"/>
  <c r="N28" i="36"/>
  <c r="L28" i="36"/>
  <c r="P53" i="36"/>
  <c r="N53" i="36"/>
  <c r="O53" i="36"/>
  <c r="L53" i="36"/>
  <c r="N50" i="37"/>
  <c r="L50" i="37"/>
  <c r="M50" i="37"/>
  <c r="K50" i="37"/>
  <c r="P27" i="36"/>
  <c r="N27" i="36"/>
  <c r="O27" i="36"/>
  <c r="L27" i="36"/>
  <c r="N77" i="36"/>
  <c r="O77" i="36"/>
  <c r="L77" i="36"/>
  <c r="M115" i="37"/>
  <c r="N115" i="37"/>
  <c r="L115" i="37"/>
  <c r="K115" i="37"/>
  <c r="P93" i="36"/>
  <c r="N93" i="36"/>
  <c r="O93" i="36"/>
  <c r="L93" i="36"/>
  <c r="J1817" i="18"/>
  <c r="J1818" i="18" s="1"/>
  <c r="J1469" i="18"/>
  <c r="J1470" i="18" s="1"/>
  <c r="J737" i="18"/>
  <c r="J738" i="18" s="1"/>
  <c r="O90" i="36"/>
  <c r="P90" i="36"/>
  <c r="N90" i="36"/>
  <c r="L90" i="36"/>
  <c r="M91" i="37"/>
  <c r="N91" i="37"/>
  <c r="L91" i="37"/>
  <c r="K91" i="37"/>
  <c r="J25" i="36"/>
  <c r="I28" i="37"/>
  <c r="J29" i="36"/>
  <c r="G19" i="19"/>
  <c r="H19" i="19" s="1"/>
  <c r="P51" i="36"/>
  <c r="O51" i="36"/>
  <c r="O24" i="36"/>
  <c r="N24" i="36"/>
  <c r="M29" i="37"/>
  <c r="N29" i="37"/>
  <c r="L29" i="37"/>
  <c r="K29" i="37"/>
  <c r="N51" i="36" l="1"/>
  <c r="N129" i="1"/>
  <c r="R129" i="1" s="1"/>
  <c r="G15" i="19"/>
  <c r="H15" i="19" s="1"/>
  <c r="M26" i="37"/>
  <c r="K23" i="37"/>
  <c r="N23" i="37"/>
  <c r="N48" i="36"/>
  <c r="J22" i="36"/>
  <c r="O48" i="36"/>
  <c r="M32" i="37"/>
  <c r="J516" i="18"/>
  <c r="J517" i="18" s="1"/>
  <c r="J518" i="18" s="1"/>
  <c r="Q721" i="22"/>
  <c r="Q719" i="22" s="1"/>
  <c r="X243" i="3"/>
  <c r="L54" i="36"/>
  <c r="P54" i="36"/>
  <c r="J1189" i="18"/>
  <c r="J1190" i="18" s="1"/>
  <c r="J1191" i="18" s="1"/>
  <c r="Z226" i="3"/>
  <c r="AA226" i="3" s="1"/>
  <c r="N54" i="36"/>
  <c r="J685" i="32"/>
  <c r="K52" i="37"/>
  <c r="L48" i="36"/>
  <c r="L24" i="36"/>
  <c r="L30" i="36"/>
  <c r="M23" i="37"/>
  <c r="I21" i="37"/>
  <c r="N52" i="37"/>
  <c r="N30" i="36"/>
  <c r="M52" i="37"/>
  <c r="P30" i="36"/>
  <c r="J1484" i="18"/>
  <c r="J1486" i="18" s="1"/>
  <c r="J1487" i="18" s="1"/>
  <c r="J1488" i="18" s="1"/>
  <c r="J1489" i="18" s="1"/>
  <c r="J1490" i="18" s="1"/>
  <c r="G110" i="19" s="1"/>
  <c r="H110" i="19" s="1"/>
  <c r="L107" i="33"/>
  <c r="P107" i="33" s="1"/>
  <c r="J1573" i="18"/>
  <c r="J1574" i="18" s="1"/>
  <c r="J1575" i="18" s="1"/>
  <c r="J1576" i="18" s="1"/>
  <c r="J1577" i="18" s="1"/>
  <c r="K26" i="37"/>
  <c r="L47" i="37"/>
  <c r="L33" i="36"/>
  <c r="K27" i="37"/>
  <c r="L27" i="37"/>
  <c r="N27" i="37"/>
  <c r="I118" i="37"/>
  <c r="Y6" i="3"/>
  <c r="G132" i="19"/>
  <c r="H132" i="19" s="1"/>
  <c r="J1428" i="18"/>
  <c r="J1429" i="18" s="1"/>
  <c r="G72" i="33"/>
  <c r="K72" i="33" s="1"/>
  <c r="I75" i="37"/>
  <c r="K75" i="37" s="1"/>
  <c r="K32" i="37"/>
  <c r="L32" i="37"/>
  <c r="G85" i="33"/>
  <c r="L85" i="33" s="1"/>
  <c r="P85" i="33" s="1"/>
  <c r="J1256" i="18"/>
  <c r="J1258" i="18" s="1"/>
  <c r="J1539" i="18"/>
  <c r="J1540" i="18" s="1"/>
  <c r="J1541" i="18" s="1"/>
  <c r="J1542" i="18" s="1"/>
  <c r="J1543" i="18" s="1"/>
  <c r="K30" i="33"/>
  <c r="L30" i="33"/>
  <c r="P30" i="33" s="1"/>
  <c r="M55" i="37"/>
  <c r="N56" i="36"/>
  <c r="K109" i="33"/>
  <c r="L109" i="33"/>
  <c r="P109" i="33" s="1"/>
  <c r="J566" i="32"/>
  <c r="J565" i="32" s="1"/>
  <c r="J710" i="32"/>
  <c r="J709" i="32" s="1"/>
  <c r="O131" i="33"/>
  <c r="J476" i="32"/>
  <c r="G74" i="33" s="1"/>
  <c r="J84" i="36"/>
  <c r="O84" i="36" s="1"/>
  <c r="I83" i="37"/>
  <c r="N83" i="37" s="1"/>
  <c r="G90" i="19"/>
  <c r="H90" i="19" s="1"/>
  <c r="J269" i="18"/>
  <c r="J270" i="18" s="1"/>
  <c r="K55" i="37"/>
  <c r="J617" i="32"/>
  <c r="G92" i="33" s="1"/>
  <c r="K90" i="37"/>
  <c r="N90" i="37"/>
  <c r="M90" i="37"/>
  <c r="L90" i="37"/>
  <c r="L26" i="37"/>
  <c r="L55" i="37"/>
  <c r="P33" i="36"/>
  <c r="J76" i="36"/>
  <c r="P76" i="36" s="1"/>
  <c r="J1416" i="18"/>
  <c r="J1417" i="18" s="1"/>
  <c r="J1418" i="18" s="1"/>
  <c r="J854" i="32"/>
  <c r="G125" i="33" s="1"/>
  <c r="J843" i="32"/>
  <c r="G124" i="33" s="1"/>
  <c r="J1626" i="18"/>
  <c r="J215" i="32"/>
  <c r="G39" i="33" s="1"/>
  <c r="J1668" i="18"/>
  <c r="J1669" i="18" s="1"/>
  <c r="J692" i="32"/>
  <c r="G106" i="33" s="1"/>
  <c r="J757" i="18"/>
  <c r="J758" i="18" s="1"/>
  <c r="J759" i="18" s="1"/>
  <c r="J760" i="18" s="1"/>
  <c r="J761" i="18" s="1"/>
  <c r="I59" i="37" s="1"/>
  <c r="J1556" i="18"/>
  <c r="J1557" i="18" s="1"/>
  <c r="J1558" i="18" s="1"/>
  <c r="J1559" i="18" s="1"/>
  <c r="J1560" i="18" s="1"/>
  <c r="J519" i="18"/>
  <c r="J520" i="18" s="1"/>
  <c r="J667" i="18"/>
  <c r="J668" i="18" s="1"/>
  <c r="O91" i="36"/>
  <c r="L91" i="36"/>
  <c r="P91" i="36"/>
  <c r="N91" i="36"/>
  <c r="O33" i="36"/>
  <c r="J114" i="32"/>
  <c r="J113" i="32" s="1"/>
  <c r="J171" i="32"/>
  <c r="G35" i="33" s="1"/>
  <c r="J610" i="32"/>
  <c r="X240" i="3"/>
  <c r="Q712" i="22"/>
  <c r="Q710" i="22" s="1"/>
  <c r="J1726" i="18"/>
  <c r="J1727" i="18" s="1"/>
  <c r="J1647" i="18"/>
  <c r="J1648" i="18" s="1"/>
  <c r="J1649" i="18" s="1"/>
  <c r="J1650" i="18" s="1"/>
  <c r="J1651" i="18" s="1"/>
  <c r="G120" i="19" s="1"/>
  <c r="H120" i="19" s="1"/>
  <c r="J1192" i="18"/>
  <c r="J1193" i="18" s="1"/>
  <c r="J118" i="36"/>
  <c r="I117" i="37"/>
  <c r="G130" i="19"/>
  <c r="H130" i="19" s="1"/>
  <c r="J44" i="36"/>
  <c r="N44" i="36" s="1"/>
  <c r="I43" i="37"/>
  <c r="L43" i="37" s="1"/>
  <c r="G39" i="19"/>
  <c r="H39" i="19" s="1"/>
  <c r="J587" i="18"/>
  <c r="J588" i="18" s="1"/>
  <c r="J134" i="18"/>
  <c r="J135" i="18" s="1"/>
  <c r="G35" i="19"/>
  <c r="H35" i="19" s="1"/>
  <c r="J40" i="36"/>
  <c r="L40" i="36" s="1"/>
  <c r="I39" i="37"/>
  <c r="L39" i="37" s="1"/>
  <c r="I93" i="37"/>
  <c r="J94" i="36"/>
  <c r="G104" i="19"/>
  <c r="H104" i="19" s="1"/>
  <c r="J1135" i="18"/>
  <c r="N143" i="1"/>
  <c r="R143" i="1" s="1"/>
  <c r="R72" i="1" s="1"/>
  <c r="Y10" i="1" s="1"/>
  <c r="Y12" i="1" s="1"/>
  <c r="X238" i="3"/>
  <c r="Q568" i="22"/>
  <c r="Q566" i="22" s="1"/>
  <c r="J971" i="18"/>
  <c r="J972" i="18" s="1"/>
  <c r="L104" i="33"/>
  <c r="P104" i="33" s="1"/>
  <c r="K104" i="33"/>
  <c r="Q481" i="22"/>
  <c r="Q476" i="22" s="1"/>
  <c r="X228" i="3"/>
  <c r="J699" i="18"/>
  <c r="J700" i="18" s="1"/>
  <c r="Q523" i="22"/>
  <c r="Q519" i="22" s="1"/>
  <c r="X233" i="3"/>
  <c r="K47" i="37"/>
  <c r="L56" i="36"/>
  <c r="K118" i="33"/>
  <c r="L118" i="33"/>
  <c r="P118" i="33" s="1"/>
  <c r="Z159" i="3"/>
  <c r="AA159" i="3" s="1"/>
  <c r="Y159" i="3"/>
  <c r="N65" i="1"/>
  <c r="R65" i="1" s="1"/>
  <c r="J447" i="18"/>
  <c r="L90" i="33"/>
  <c r="P90" i="33" s="1"/>
  <c r="K90" i="33"/>
  <c r="P119" i="36"/>
  <c r="N119" i="36"/>
  <c r="O119" i="36"/>
  <c r="L119" i="36"/>
  <c r="J215" i="18"/>
  <c r="J906" i="18"/>
  <c r="J905" i="18"/>
  <c r="J907" i="18"/>
  <c r="L76" i="33"/>
  <c r="P76" i="33" s="1"/>
  <c r="K76" i="33"/>
  <c r="AA225" i="12"/>
  <c r="AA261" i="12" s="1"/>
  <c r="J329" i="18"/>
  <c r="J1604" i="18"/>
  <c r="J1605" i="18" s="1"/>
  <c r="J1606" i="18" s="1"/>
  <c r="J1607" i="18" s="1"/>
  <c r="J1608" i="18" s="1"/>
  <c r="L65" i="33"/>
  <c r="P65" i="33" s="1"/>
  <c r="K65" i="33"/>
  <c r="J1119" i="18"/>
  <c r="J1120" i="18" s="1"/>
  <c r="J1121" i="18" s="1"/>
  <c r="J1122" i="18" s="1"/>
  <c r="J1123" i="18" s="1"/>
  <c r="J78" i="36" s="1"/>
  <c r="J1004" i="18"/>
  <c r="J1006" i="18"/>
  <c r="J1005" i="18"/>
  <c r="J227" i="32"/>
  <c r="L64" i="33"/>
  <c r="P64" i="33" s="1"/>
  <c r="K64" i="33"/>
  <c r="J374" i="32"/>
  <c r="G63" i="33"/>
  <c r="J727" i="32"/>
  <c r="G110" i="33"/>
  <c r="J1448" i="18"/>
  <c r="J1447" i="18"/>
  <c r="J1449" i="18"/>
  <c r="J1044" i="18"/>
  <c r="J1046" i="18"/>
  <c r="J1045" i="18"/>
  <c r="J497" i="18"/>
  <c r="J498" i="18" s="1"/>
  <c r="J1279" i="18"/>
  <c r="J1278" i="18"/>
  <c r="J1277" i="18"/>
  <c r="J1780" i="18"/>
  <c r="J1782" i="18"/>
  <c r="J1781" i="18"/>
  <c r="N111" i="36"/>
  <c r="O111" i="36"/>
  <c r="L111" i="36"/>
  <c r="P111" i="36"/>
  <c r="J1171" i="18"/>
  <c r="J1170" i="18"/>
  <c r="J1169" i="18"/>
  <c r="H208" i="32"/>
  <c r="J208" i="32" s="1"/>
  <c r="J206" i="32"/>
  <c r="Q234" i="22"/>
  <c r="Q227" i="22" s="1"/>
  <c r="X212" i="3"/>
  <c r="Y236" i="3"/>
  <c r="Z236" i="3"/>
  <c r="AA236" i="3" s="1"/>
  <c r="I119" i="37"/>
  <c r="J120" i="36"/>
  <c r="G133" i="19"/>
  <c r="H133" i="19" s="1"/>
  <c r="K91" i="33"/>
  <c r="L91" i="33"/>
  <c r="P91" i="33" s="1"/>
  <c r="K122" i="33"/>
  <c r="L122" i="33"/>
  <c r="P122" i="33" s="1"/>
  <c r="N47" i="37"/>
  <c r="P56" i="36"/>
  <c r="J986" i="18"/>
  <c r="J987" i="18"/>
  <c r="J985" i="18"/>
  <c r="L105" i="33"/>
  <c r="P105" i="33" s="1"/>
  <c r="K105" i="33"/>
  <c r="X232" i="3"/>
  <c r="Q178" i="22"/>
  <c r="Q171" i="22" s="1"/>
  <c r="G67" i="33"/>
  <c r="J415" i="32"/>
  <c r="K41" i="33"/>
  <c r="L41" i="33"/>
  <c r="P41" i="33" s="1"/>
  <c r="Q206" i="22"/>
  <c r="P208" i="22"/>
  <c r="P163" i="22"/>
  <c r="Q161" i="22"/>
  <c r="J717" i="18"/>
  <c r="J718" i="18" s="1"/>
  <c r="J719" i="18" s="1"/>
  <c r="J720" i="18" s="1"/>
  <c r="J721" i="18" s="1"/>
  <c r="Q621" i="22"/>
  <c r="Q617" i="22" s="1"/>
  <c r="X234" i="3"/>
  <c r="K118" i="37"/>
  <c r="N118" i="37"/>
  <c r="L118" i="37"/>
  <c r="M118" i="37"/>
  <c r="J487" i="32"/>
  <c r="J946" i="18"/>
  <c r="J945" i="18"/>
  <c r="J944" i="18"/>
  <c r="J1743" i="18"/>
  <c r="J308" i="18"/>
  <c r="J309" i="18" s="1"/>
  <c r="J310" i="18" s="1"/>
  <c r="G6" i="20"/>
  <c r="Z210" i="3"/>
  <c r="AA210" i="3" s="1"/>
  <c r="Y210" i="3"/>
  <c r="J519" i="32"/>
  <c r="J554" i="32"/>
  <c r="P22" i="33"/>
  <c r="J794" i="18"/>
  <c r="J795" i="18" s="1"/>
  <c r="J796" i="18" s="1"/>
  <c r="J797" i="18" s="1"/>
  <c r="J798" i="18" s="1"/>
  <c r="J1504" i="18"/>
  <c r="J1688" i="18"/>
  <c r="J1689" i="18" s="1"/>
  <c r="J1690" i="18" s="1"/>
  <c r="L89" i="33"/>
  <c r="P89" i="33" s="1"/>
  <c r="K89" i="33"/>
  <c r="J432" i="18"/>
  <c r="J433" i="18" s="1"/>
  <c r="J434" i="18" s="1"/>
  <c r="J435" i="18" s="1"/>
  <c r="J436" i="18" s="1"/>
  <c r="J1522" i="18"/>
  <c r="J890" i="18"/>
  <c r="J891" i="18" s="1"/>
  <c r="J892" i="18" s="1"/>
  <c r="J893" i="18" s="1"/>
  <c r="J894" i="18" s="1"/>
  <c r="Q219" i="22"/>
  <c r="Q215" i="22" s="1"/>
  <c r="X211" i="3"/>
  <c r="J839" i="18"/>
  <c r="J838" i="18"/>
  <c r="J837" i="18"/>
  <c r="J350" i="18"/>
  <c r="J351" i="18" s="1"/>
  <c r="J352" i="18" s="1"/>
  <c r="J353" i="18" s="1"/>
  <c r="J354" i="18" s="1"/>
  <c r="K69" i="33"/>
  <c r="L69" i="33"/>
  <c r="P69" i="33" s="1"/>
  <c r="J820" i="18"/>
  <c r="J819" i="18"/>
  <c r="J821" i="18"/>
  <c r="J161" i="32"/>
  <c r="H163" i="32"/>
  <c r="J163" i="32" s="1"/>
  <c r="Q694" i="22"/>
  <c r="Q692" i="22" s="1"/>
  <c r="X239" i="3"/>
  <c r="L77" i="33"/>
  <c r="P77" i="33" s="1"/>
  <c r="K77" i="33"/>
  <c r="Q558" i="22"/>
  <c r="Q554" i="22" s="1"/>
  <c r="X219" i="3"/>
  <c r="J1154" i="18"/>
  <c r="J1153" i="18"/>
  <c r="J1155" i="18"/>
  <c r="H359" i="18"/>
  <c r="J359" i="18" s="1"/>
  <c r="J356" i="18" s="1"/>
  <c r="Y237" i="3"/>
  <c r="Z237" i="3"/>
  <c r="AA237" i="3" s="1"/>
  <c r="J1316" i="18"/>
  <c r="K68" i="33"/>
  <c r="L68" i="33"/>
  <c r="P68" i="33" s="1"/>
  <c r="Y225" i="12"/>
  <c r="Y261" i="12" s="1"/>
  <c r="H6" i="20"/>
  <c r="Y241" i="3"/>
  <c r="Z241" i="3"/>
  <c r="AA241" i="3" s="1"/>
  <c r="X220" i="3"/>
  <c r="Q847" i="22"/>
  <c r="Q843" i="22" s="1"/>
  <c r="L79" i="33"/>
  <c r="P79" i="33" s="1"/>
  <c r="K79" i="33"/>
  <c r="J571" i="18"/>
  <c r="J572" i="18" s="1"/>
  <c r="X209" i="3"/>
  <c r="Q491" i="22"/>
  <c r="Q487" i="22" s="1"/>
  <c r="X231" i="3"/>
  <c r="Q121" i="22"/>
  <c r="Q114" i="22" s="1"/>
  <c r="L120" i="33"/>
  <c r="P120" i="33" s="1"/>
  <c r="K120" i="33"/>
  <c r="J1064" i="18"/>
  <c r="J1066" i="18"/>
  <c r="J1065" i="18"/>
  <c r="Q858" i="22"/>
  <c r="Q854" i="22" s="1"/>
  <c r="X235" i="3"/>
  <c r="J860" i="18"/>
  <c r="J858" i="18"/>
  <c r="J859" i="18"/>
  <c r="J414" i="18"/>
  <c r="J415" i="18" s="1"/>
  <c r="N200" i="1"/>
  <c r="R200" i="1" s="1"/>
  <c r="R167" i="1" s="1"/>
  <c r="J1759" i="18"/>
  <c r="L73" i="33"/>
  <c r="P73" i="33" s="1"/>
  <c r="K73" i="33"/>
  <c r="G95" i="19"/>
  <c r="H95" i="19" s="1"/>
  <c r="I87" i="37"/>
  <c r="J88" i="36"/>
  <c r="J926" i="18"/>
  <c r="J928" i="18"/>
  <c r="J927" i="18"/>
  <c r="Z244" i="3"/>
  <c r="AA244" i="3" s="1"/>
  <c r="Y244" i="3"/>
  <c r="L110" i="37"/>
  <c r="M110" i="37"/>
  <c r="K110" i="37"/>
  <c r="N110" i="37"/>
  <c r="J1471" i="18"/>
  <c r="J1472" i="18" s="1"/>
  <c r="I82" i="37"/>
  <c r="J83" i="36"/>
  <c r="G88" i="19"/>
  <c r="H88" i="19" s="1"/>
  <c r="I18" i="37"/>
  <c r="J19" i="36"/>
  <c r="G9" i="19"/>
  <c r="H9" i="19" s="1"/>
  <c r="I72" i="37"/>
  <c r="J73" i="36"/>
  <c r="G77" i="19"/>
  <c r="H77" i="19" s="1"/>
  <c r="I19" i="37"/>
  <c r="J20" i="36"/>
  <c r="G10" i="19"/>
  <c r="H10" i="19" s="1"/>
  <c r="I58" i="37"/>
  <c r="J59" i="36"/>
  <c r="G58" i="19"/>
  <c r="H58" i="19" s="1"/>
  <c r="J1419" i="18"/>
  <c r="J1420" i="18" s="1"/>
  <c r="I104" i="37"/>
  <c r="J105" i="36"/>
  <c r="G116" i="19"/>
  <c r="H116" i="19" s="1"/>
  <c r="I34" i="37"/>
  <c r="J35" i="36"/>
  <c r="G29" i="19"/>
  <c r="H29" i="19" s="1"/>
  <c r="I22" i="37"/>
  <c r="J23" i="36"/>
  <c r="G13" i="19"/>
  <c r="H13" i="19" s="1"/>
  <c r="I46" i="37"/>
  <c r="J47" i="36"/>
  <c r="G42" i="19"/>
  <c r="H42" i="19" s="1"/>
  <c r="N43" i="37"/>
  <c r="N28" i="37"/>
  <c r="L28" i="37"/>
  <c r="M28" i="37"/>
  <c r="K28" i="37"/>
  <c r="P25" i="36"/>
  <c r="N25" i="36"/>
  <c r="O25" i="36"/>
  <c r="L25" i="36"/>
  <c r="P21" i="36"/>
  <c r="N21" i="36"/>
  <c r="O21" i="36"/>
  <c r="L21" i="36"/>
  <c r="O22" i="36"/>
  <c r="P22" i="36"/>
  <c r="N22" i="36"/>
  <c r="L22" i="36"/>
  <c r="N60" i="37"/>
  <c r="L60" i="37"/>
  <c r="M60" i="37"/>
  <c r="K60" i="37"/>
  <c r="O52" i="36"/>
  <c r="P52" i="36"/>
  <c r="N52" i="36"/>
  <c r="L52" i="36"/>
  <c r="P29" i="36"/>
  <c r="N29" i="36"/>
  <c r="O29" i="36"/>
  <c r="L29" i="36"/>
  <c r="N24" i="37"/>
  <c r="L24" i="37"/>
  <c r="M24" i="37"/>
  <c r="K24" i="37"/>
  <c r="I116" i="37"/>
  <c r="J117" i="36"/>
  <c r="G129" i="19"/>
  <c r="H129" i="19" s="1"/>
  <c r="I31" i="37"/>
  <c r="J32" i="36"/>
  <c r="G23" i="19"/>
  <c r="H23" i="19" s="1"/>
  <c r="N20" i="37"/>
  <c r="L20" i="37"/>
  <c r="M20" i="37"/>
  <c r="K20" i="37"/>
  <c r="I84" i="37"/>
  <c r="J85" i="36"/>
  <c r="G91" i="19"/>
  <c r="H91" i="19" s="1"/>
  <c r="M21" i="37"/>
  <c r="N21" i="37"/>
  <c r="L21" i="37"/>
  <c r="K21" i="37"/>
  <c r="P61" i="36"/>
  <c r="N61" i="36"/>
  <c r="O61" i="36"/>
  <c r="L61" i="36"/>
  <c r="M51" i="37"/>
  <c r="N51" i="37"/>
  <c r="L51" i="37"/>
  <c r="K51" i="37"/>
  <c r="M43" i="37" l="1"/>
  <c r="L72" i="33"/>
  <c r="P72" i="33" s="1"/>
  <c r="L75" i="37"/>
  <c r="N40" i="36"/>
  <c r="K85" i="33"/>
  <c r="J170" i="32"/>
  <c r="J1430" i="18"/>
  <c r="J475" i="32"/>
  <c r="Y243" i="3"/>
  <c r="Z243" i="3"/>
  <c r="AA243" i="3" s="1"/>
  <c r="N75" i="37"/>
  <c r="J691" i="32"/>
  <c r="K39" i="37"/>
  <c r="M75" i="37"/>
  <c r="G84" i="33"/>
  <c r="L84" i="33" s="1"/>
  <c r="P84" i="33" s="1"/>
  <c r="J842" i="32"/>
  <c r="J108" i="36"/>
  <c r="L76" i="36"/>
  <c r="O76" i="36"/>
  <c r="N76" i="36"/>
  <c r="I107" i="37"/>
  <c r="M107" i="37" s="1"/>
  <c r="N39" i="37"/>
  <c r="J1431" i="18"/>
  <c r="M39" i="37"/>
  <c r="J616" i="32"/>
  <c r="G61" i="19"/>
  <c r="H61" i="19" s="1"/>
  <c r="J60" i="36"/>
  <c r="P60" i="36" s="1"/>
  <c r="J214" i="32"/>
  <c r="I77" i="37"/>
  <c r="J840" i="18"/>
  <c r="J841" i="18" s="1"/>
  <c r="J842" i="18" s="1"/>
  <c r="J843" i="18" s="1"/>
  <c r="J844" i="18" s="1"/>
  <c r="J64" i="36" s="1"/>
  <c r="N84" i="36"/>
  <c r="J1259" i="18"/>
  <c r="L84" i="36"/>
  <c r="P84" i="36"/>
  <c r="J1257" i="18"/>
  <c r="K83" i="37"/>
  <c r="L83" i="37"/>
  <c r="J908" i="18"/>
  <c r="J909" i="18" s="1"/>
  <c r="J910" i="18" s="1"/>
  <c r="I103" i="37"/>
  <c r="M103" i="37" s="1"/>
  <c r="G115" i="19"/>
  <c r="H115" i="19" s="1"/>
  <c r="J99" i="36"/>
  <c r="O99" i="36" s="1"/>
  <c r="M83" i="37"/>
  <c r="G108" i="33"/>
  <c r="L108" i="33" s="1"/>
  <c r="P108" i="33" s="1"/>
  <c r="I98" i="37"/>
  <c r="M98" i="37" s="1"/>
  <c r="G82" i="19"/>
  <c r="H82" i="19" s="1"/>
  <c r="K43" i="37"/>
  <c r="G29" i="33"/>
  <c r="L29" i="33" s="1"/>
  <c r="J46" i="36"/>
  <c r="G41" i="19"/>
  <c r="H41" i="19" s="1"/>
  <c r="I45" i="37"/>
  <c r="I81" i="37"/>
  <c r="J82" i="36"/>
  <c r="G87" i="19"/>
  <c r="H87" i="19" s="1"/>
  <c r="I33" i="37"/>
  <c r="J34" i="36"/>
  <c r="G27" i="19"/>
  <c r="H27" i="19" s="1"/>
  <c r="Z240" i="3"/>
  <c r="AA240" i="3" s="1"/>
  <c r="Y240" i="3"/>
  <c r="J1067" i="18"/>
  <c r="J1068" i="18" s="1"/>
  <c r="J1069" i="18" s="1"/>
  <c r="J1070" i="18" s="1"/>
  <c r="J1071" i="18" s="1"/>
  <c r="G79" i="19" s="1"/>
  <c r="H79" i="19" s="1"/>
  <c r="J1783" i="18"/>
  <c r="J1784" i="18" s="1"/>
  <c r="J1785" i="18" s="1"/>
  <c r="J1786" i="18" s="1"/>
  <c r="J1787" i="18" s="1"/>
  <c r="J115" i="36" s="1"/>
  <c r="P44" i="36"/>
  <c r="O40" i="36"/>
  <c r="J1156" i="18"/>
  <c r="J1157" i="18" s="1"/>
  <c r="J1158" i="18" s="1"/>
  <c r="J1159" i="18" s="1"/>
  <c r="J1160" i="18" s="1"/>
  <c r="I79" i="37" s="1"/>
  <c r="J1728" i="18"/>
  <c r="J1729" i="18" s="1"/>
  <c r="J1730" i="18" s="1"/>
  <c r="J853" i="32"/>
  <c r="J988" i="18"/>
  <c r="J989" i="18" s="1"/>
  <c r="J990" i="18" s="1"/>
  <c r="J991" i="18" s="1"/>
  <c r="J992" i="18" s="1"/>
  <c r="I70" i="37" s="1"/>
  <c r="J1670" i="18"/>
  <c r="J1671" i="18" s="1"/>
  <c r="J1672" i="18" s="1"/>
  <c r="J205" i="32"/>
  <c r="G38" i="33" s="1"/>
  <c r="J1280" i="18"/>
  <c r="J1281" i="18" s="1"/>
  <c r="J1282" i="18" s="1"/>
  <c r="J1283" i="18" s="1"/>
  <c r="J1284" i="18" s="1"/>
  <c r="G93" i="19" s="1"/>
  <c r="H93" i="19" s="1"/>
  <c r="J1450" i="18"/>
  <c r="J1451" i="18" s="1"/>
  <c r="G53" i="19"/>
  <c r="H53" i="19" s="1"/>
  <c r="I54" i="37"/>
  <c r="J55" i="36"/>
  <c r="P40" i="36"/>
  <c r="J160" i="32"/>
  <c r="J159" i="32" s="1"/>
  <c r="J104" i="36"/>
  <c r="L104" i="36" s="1"/>
  <c r="J947" i="18"/>
  <c r="J948" i="18" s="1"/>
  <c r="J949" i="18" s="1"/>
  <c r="J950" i="18" s="1"/>
  <c r="J951" i="18" s="1"/>
  <c r="I68" i="37" s="1"/>
  <c r="J1627" i="18"/>
  <c r="J1628" i="18" s="1"/>
  <c r="J1629" i="18" s="1"/>
  <c r="J1630" i="18" s="1"/>
  <c r="J499" i="18"/>
  <c r="J500" i="18" s="1"/>
  <c r="I56" i="37"/>
  <c r="G56" i="19"/>
  <c r="H56" i="19" s="1"/>
  <c r="J57" i="36"/>
  <c r="I48" i="37"/>
  <c r="G47" i="19"/>
  <c r="H47" i="19" s="1"/>
  <c r="J49" i="36"/>
  <c r="N56" i="1"/>
  <c r="R56" i="1" s="1"/>
  <c r="J365" i="18"/>
  <c r="I65" i="37"/>
  <c r="J66" i="36"/>
  <c r="G68" i="19"/>
  <c r="H68" i="19" s="1"/>
  <c r="L120" i="36"/>
  <c r="O120" i="36"/>
  <c r="P120" i="36"/>
  <c r="N120" i="36"/>
  <c r="J330" i="18"/>
  <c r="J331" i="18" s="1"/>
  <c r="J332" i="18" s="1"/>
  <c r="J333" i="18" s="1"/>
  <c r="J216" i="18"/>
  <c r="J217" i="18" s="1"/>
  <c r="J218" i="18" s="1"/>
  <c r="J219" i="18" s="1"/>
  <c r="G74" i="19"/>
  <c r="H74" i="19" s="1"/>
  <c r="J70" i="36"/>
  <c r="I69" i="37"/>
  <c r="P94" i="36"/>
  <c r="N94" i="36"/>
  <c r="L94" i="36"/>
  <c r="O94" i="36"/>
  <c r="O44" i="36"/>
  <c r="J929" i="18"/>
  <c r="J930" i="18" s="1"/>
  <c r="J931" i="18" s="1"/>
  <c r="J861" i="18"/>
  <c r="J862" i="18" s="1"/>
  <c r="J863" i="18" s="1"/>
  <c r="L74" i="33"/>
  <c r="P74" i="33" s="1"/>
  <c r="K74" i="33"/>
  <c r="K92" i="33"/>
  <c r="L92" i="33"/>
  <c r="P92" i="33" s="1"/>
  <c r="J1523" i="18"/>
  <c r="J1524" i="18" s="1"/>
  <c r="J62" i="36"/>
  <c r="I61" i="37"/>
  <c r="G63" i="19"/>
  <c r="H63" i="19" s="1"/>
  <c r="G78" i="33"/>
  <c r="J518" i="32"/>
  <c r="J311" i="18"/>
  <c r="J312" i="18" s="1"/>
  <c r="X217" i="3"/>
  <c r="Q208" i="22"/>
  <c r="Q205" i="22" s="1"/>
  <c r="N119" i="37"/>
  <c r="L119" i="37"/>
  <c r="M119" i="37"/>
  <c r="K119" i="37"/>
  <c r="L63" i="33"/>
  <c r="P63" i="33" s="1"/>
  <c r="K63" i="33"/>
  <c r="G40" i="33"/>
  <c r="J226" i="32"/>
  <c r="K93" i="37"/>
  <c r="M93" i="37"/>
  <c r="N93" i="37"/>
  <c r="L93" i="37"/>
  <c r="Y231" i="3"/>
  <c r="Z231" i="3"/>
  <c r="AA231" i="3" s="1"/>
  <c r="Y211" i="3"/>
  <c r="Z211" i="3"/>
  <c r="AA211" i="3" s="1"/>
  <c r="J1505" i="18"/>
  <c r="J1506" i="18" s="1"/>
  <c r="J1507" i="18" s="1"/>
  <c r="J1508" i="18" s="1"/>
  <c r="J553" i="32"/>
  <c r="G82" i="33"/>
  <c r="X216" i="3"/>
  <c r="Q163" i="22"/>
  <c r="Q160" i="22" s="1"/>
  <c r="Z232" i="3"/>
  <c r="AA232" i="3" s="1"/>
  <c r="Y232" i="3"/>
  <c r="G48" i="19"/>
  <c r="H48" i="19" s="1"/>
  <c r="I49" i="37"/>
  <c r="J50" i="36"/>
  <c r="L44" i="36"/>
  <c r="P88" i="36"/>
  <c r="L88" i="36"/>
  <c r="N88" i="36"/>
  <c r="O88" i="36"/>
  <c r="J41" i="36"/>
  <c r="I40" i="37"/>
  <c r="G36" i="19"/>
  <c r="H36" i="19" s="1"/>
  <c r="Z209" i="3"/>
  <c r="AA209" i="3" s="1"/>
  <c r="Y209" i="3"/>
  <c r="Y220" i="3"/>
  <c r="Z220" i="3"/>
  <c r="AA220" i="3" s="1"/>
  <c r="L35" i="33"/>
  <c r="P35" i="33" s="1"/>
  <c r="K35" i="33"/>
  <c r="L39" i="33"/>
  <c r="P39" i="33" s="1"/>
  <c r="K39" i="33"/>
  <c r="L125" i="33"/>
  <c r="P125" i="33" s="1"/>
  <c r="K125" i="33"/>
  <c r="J1691" i="18"/>
  <c r="J1692" i="18" s="1"/>
  <c r="J1744" i="18"/>
  <c r="J1745" i="18" s="1"/>
  <c r="J1746" i="18" s="1"/>
  <c r="J1747" i="18" s="1"/>
  <c r="I57" i="37"/>
  <c r="J58" i="36"/>
  <c r="G57" i="19"/>
  <c r="H57" i="19" s="1"/>
  <c r="K67" i="33"/>
  <c r="L67" i="33"/>
  <c r="P67" i="33" s="1"/>
  <c r="Z212" i="3"/>
  <c r="AA212" i="3" s="1"/>
  <c r="Y212" i="3"/>
  <c r="J1047" i="18"/>
  <c r="J1007" i="18"/>
  <c r="J106" i="36"/>
  <c r="G117" i="19"/>
  <c r="H117" i="19" s="1"/>
  <c r="I105" i="37"/>
  <c r="Z238" i="3"/>
  <c r="AA238" i="3" s="1"/>
  <c r="Y238" i="3"/>
  <c r="J1137" i="18"/>
  <c r="J1138" i="18"/>
  <c r="J1136" i="18"/>
  <c r="G16" i="19"/>
  <c r="H16" i="19" s="1"/>
  <c r="I25" i="37"/>
  <c r="J26" i="36"/>
  <c r="N117" i="37"/>
  <c r="K117" i="37"/>
  <c r="M117" i="37"/>
  <c r="L117" i="37"/>
  <c r="F40" i="17"/>
  <c r="F39" i="17" s="1"/>
  <c r="Z234" i="3"/>
  <c r="AA234" i="3" s="1"/>
  <c r="Y234" i="3"/>
  <c r="J911" i="18"/>
  <c r="J912" i="18" s="1"/>
  <c r="K87" i="37"/>
  <c r="M87" i="37"/>
  <c r="L87" i="37"/>
  <c r="N87" i="37"/>
  <c r="J1761" i="18"/>
  <c r="J1760" i="18"/>
  <c r="J1762" i="18"/>
  <c r="Y235" i="3"/>
  <c r="Z235" i="3"/>
  <c r="AA235" i="3" s="1"/>
  <c r="J1317" i="18"/>
  <c r="J1318" i="18" s="1"/>
  <c r="Y219" i="3"/>
  <c r="Z219" i="3"/>
  <c r="AA219" i="3" s="1"/>
  <c r="Y239" i="3"/>
  <c r="Z239" i="3"/>
  <c r="AA239" i="3" s="1"/>
  <c r="J822" i="18"/>
  <c r="J823" i="18" s="1"/>
  <c r="J824" i="18" s="1"/>
  <c r="J825" i="18" s="1"/>
  <c r="J826" i="18" s="1"/>
  <c r="G32" i="19"/>
  <c r="H32" i="19" s="1"/>
  <c r="I37" i="37"/>
  <c r="J38" i="36"/>
  <c r="G37" i="19"/>
  <c r="H37" i="19" s="1"/>
  <c r="I41" i="37"/>
  <c r="J42" i="36"/>
  <c r="J486" i="32"/>
  <c r="G75" i="33"/>
  <c r="K84" i="33"/>
  <c r="L106" i="33"/>
  <c r="P106" i="33" s="1"/>
  <c r="K106" i="33"/>
  <c r="K124" i="33"/>
  <c r="L124" i="33"/>
  <c r="P124" i="33" s="1"/>
  <c r="J1172" i="18"/>
  <c r="J1173" i="18" s="1"/>
  <c r="J1174" i="18" s="1"/>
  <c r="L110" i="33"/>
  <c r="P110" i="33" s="1"/>
  <c r="K110" i="33"/>
  <c r="J448" i="18"/>
  <c r="J450" i="18"/>
  <c r="J449" i="18"/>
  <c r="Z233" i="3"/>
  <c r="AA233" i="3" s="1"/>
  <c r="Y233" i="3"/>
  <c r="Z228" i="3"/>
  <c r="AA228" i="3" s="1"/>
  <c r="Y228" i="3"/>
  <c r="P118" i="36"/>
  <c r="L118" i="36"/>
  <c r="O118" i="36"/>
  <c r="N118" i="36"/>
  <c r="I114" i="37"/>
  <c r="I94" i="37"/>
  <c r="J95" i="36"/>
  <c r="G106" i="19"/>
  <c r="H106" i="19" s="1"/>
  <c r="I97" i="37"/>
  <c r="J98" i="36"/>
  <c r="G109" i="19"/>
  <c r="H109" i="19" s="1"/>
  <c r="N84" i="37"/>
  <c r="L84" i="37"/>
  <c r="M84" i="37"/>
  <c r="K84" i="37"/>
  <c r="O108" i="36"/>
  <c r="P108" i="36"/>
  <c r="N108" i="36"/>
  <c r="L108" i="36"/>
  <c r="M31" i="37"/>
  <c r="N31" i="37"/>
  <c r="L31" i="37"/>
  <c r="K31" i="37"/>
  <c r="P117" i="36"/>
  <c r="N117" i="36"/>
  <c r="O117" i="36"/>
  <c r="L117" i="36"/>
  <c r="N46" i="37"/>
  <c r="L46" i="37"/>
  <c r="M46" i="37"/>
  <c r="K46" i="37"/>
  <c r="P23" i="36"/>
  <c r="N23" i="36"/>
  <c r="O23" i="36"/>
  <c r="L23" i="36"/>
  <c r="N34" i="37"/>
  <c r="L34" i="37"/>
  <c r="M34" i="37"/>
  <c r="K34" i="37"/>
  <c r="M77" i="37"/>
  <c r="N77" i="37"/>
  <c r="L77" i="37"/>
  <c r="K77" i="37"/>
  <c r="P105" i="36"/>
  <c r="N105" i="36"/>
  <c r="O105" i="36"/>
  <c r="L105" i="36"/>
  <c r="K98" i="37"/>
  <c r="N58" i="37"/>
  <c r="L58" i="37"/>
  <c r="M58" i="37"/>
  <c r="K58" i="37"/>
  <c r="M19" i="37"/>
  <c r="N19" i="37"/>
  <c r="L19" i="37"/>
  <c r="K19" i="37"/>
  <c r="N72" i="37"/>
  <c r="L72" i="37"/>
  <c r="M72" i="37"/>
  <c r="K72" i="37"/>
  <c r="P19" i="36"/>
  <c r="N19" i="36"/>
  <c r="O19" i="36"/>
  <c r="L19" i="36"/>
  <c r="P83" i="36"/>
  <c r="N83" i="36"/>
  <c r="O83" i="36"/>
  <c r="L83" i="36"/>
  <c r="P85" i="36"/>
  <c r="N85" i="36"/>
  <c r="O85" i="36"/>
  <c r="L85" i="36"/>
  <c r="L107" i="37"/>
  <c r="K107" i="37"/>
  <c r="I101" i="37"/>
  <c r="J102" i="36"/>
  <c r="G113" i="19"/>
  <c r="H113" i="19" s="1"/>
  <c r="O32" i="36"/>
  <c r="P32" i="36"/>
  <c r="N32" i="36"/>
  <c r="L32" i="36"/>
  <c r="N116" i="37"/>
  <c r="L116" i="37"/>
  <c r="M116" i="37"/>
  <c r="K116" i="37"/>
  <c r="P47" i="36"/>
  <c r="N47" i="36"/>
  <c r="O47" i="36"/>
  <c r="L47" i="36"/>
  <c r="N22" i="37"/>
  <c r="L22" i="37"/>
  <c r="M22" i="37"/>
  <c r="K22" i="37"/>
  <c r="P35" i="36"/>
  <c r="N35" i="36"/>
  <c r="O35" i="36"/>
  <c r="L35" i="36"/>
  <c r="M59" i="37"/>
  <c r="N59" i="37"/>
  <c r="L59" i="37"/>
  <c r="K59" i="37"/>
  <c r="O78" i="36"/>
  <c r="P78" i="36"/>
  <c r="N78" i="36"/>
  <c r="L78" i="36"/>
  <c r="N104" i="37"/>
  <c r="L104" i="37"/>
  <c r="M104" i="37"/>
  <c r="K104" i="37"/>
  <c r="L99" i="36"/>
  <c r="P59" i="36"/>
  <c r="N59" i="36"/>
  <c r="O59" i="36"/>
  <c r="L59" i="36"/>
  <c r="O20" i="36"/>
  <c r="P20" i="36"/>
  <c r="N20" i="36"/>
  <c r="L20" i="36"/>
  <c r="P73" i="36"/>
  <c r="N73" i="36"/>
  <c r="O73" i="36"/>
  <c r="L73" i="36"/>
  <c r="N18" i="37"/>
  <c r="L18" i="37"/>
  <c r="M18" i="37"/>
  <c r="K18" i="37"/>
  <c r="N82" i="37"/>
  <c r="L82" i="37"/>
  <c r="M82" i="37"/>
  <c r="K82" i="37"/>
  <c r="I102" i="37"/>
  <c r="J103" i="36"/>
  <c r="G114" i="19"/>
  <c r="H114" i="19" s="1"/>
  <c r="J1432" i="18" l="1"/>
  <c r="J1433" i="18" s="1"/>
  <c r="J1434" i="18" s="1"/>
  <c r="J1435" i="18" s="1"/>
  <c r="J1436" i="18" s="1"/>
  <c r="N107" i="37"/>
  <c r="L98" i="37"/>
  <c r="N104" i="36"/>
  <c r="O104" i="36"/>
  <c r="J204" i="32"/>
  <c r="G65" i="19"/>
  <c r="H65" i="19" s="1"/>
  <c r="J1260" i="18"/>
  <c r="J1261" i="18" s="1"/>
  <c r="J1262" i="18" s="1"/>
  <c r="J1263" i="18" s="1"/>
  <c r="J1264" i="18" s="1"/>
  <c r="G75" i="19"/>
  <c r="H75" i="19" s="1"/>
  <c r="O60" i="36"/>
  <c r="P104" i="36"/>
  <c r="N98" i="37"/>
  <c r="G127" i="19"/>
  <c r="H127" i="19" s="1"/>
  <c r="I63" i="37"/>
  <c r="M63" i="37" s="1"/>
  <c r="L60" i="36"/>
  <c r="J69" i="36"/>
  <c r="L69" i="36" s="1"/>
  <c r="N60" i="36"/>
  <c r="K108" i="33"/>
  <c r="G33" i="33"/>
  <c r="K33" i="33" s="1"/>
  <c r="J87" i="36"/>
  <c r="N87" i="36" s="1"/>
  <c r="J71" i="36"/>
  <c r="N71" i="36" s="1"/>
  <c r="N99" i="36"/>
  <c r="P99" i="36"/>
  <c r="G85" i="19"/>
  <c r="H85" i="19" s="1"/>
  <c r="J80" i="36"/>
  <c r="N80" i="36" s="1"/>
  <c r="G73" i="19"/>
  <c r="H73" i="19" s="1"/>
  <c r="G111" i="19"/>
  <c r="H111" i="19" s="1"/>
  <c r="J100" i="36"/>
  <c r="P100" i="36" s="1"/>
  <c r="I86" i="37"/>
  <c r="L86" i="37" s="1"/>
  <c r="K103" i="37"/>
  <c r="L103" i="37"/>
  <c r="N103" i="37"/>
  <c r="K29" i="33"/>
  <c r="I74" i="37"/>
  <c r="M74" i="37" s="1"/>
  <c r="J75" i="36"/>
  <c r="N75" i="36" s="1"/>
  <c r="G119" i="19"/>
  <c r="H119" i="19" s="1"/>
  <c r="I106" i="37"/>
  <c r="L106" i="37" s="1"/>
  <c r="J107" i="36"/>
  <c r="N107" i="36" s="1"/>
  <c r="K70" i="37"/>
  <c r="L70" i="37"/>
  <c r="M70" i="37"/>
  <c r="N70" i="37"/>
  <c r="M79" i="37"/>
  <c r="N79" i="37"/>
  <c r="L79" i="37"/>
  <c r="K79" i="37"/>
  <c r="G121" i="19"/>
  <c r="H121" i="19" s="1"/>
  <c r="J109" i="36"/>
  <c r="K45" i="37"/>
  <c r="N45" i="37"/>
  <c r="M45" i="37"/>
  <c r="L45" i="37"/>
  <c r="I99" i="37"/>
  <c r="L99" i="37" s="1"/>
  <c r="I108" i="37"/>
  <c r="N108" i="37" s="1"/>
  <c r="J1763" i="18"/>
  <c r="J1764" i="18" s="1"/>
  <c r="J1452" i="18"/>
  <c r="J1453" i="18" s="1"/>
  <c r="J1454" i="18" s="1"/>
  <c r="K54" i="37"/>
  <c r="N54" i="37"/>
  <c r="L54" i="37"/>
  <c r="M54" i="37"/>
  <c r="O34" i="36"/>
  <c r="N34" i="36"/>
  <c r="L34" i="36"/>
  <c r="P34" i="36"/>
  <c r="L81" i="37"/>
  <c r="M81" i="37"/>
  <c r="K81" i="37"/>
  <c r="N81" i="37"/>
  <c r="G124" i="19"/>
  <c r="H124" i="19" s="1"/>
  <c r="I111" i="37"/>
  <c r="J112" i="36"/>
  <c r="K33" i="37"/>
  <c r="N33" i="37"/>
  <c r="M33" i="37"/>
  <c r="L33" i="37"/>
  <c r="J451" i="18"/>
  <c r="J452" i="18" s="1"/>
  <c r="J453" i="18" s="1"/>
  <c r="J454" i="18" s="1"/>
  <c r="J455" i="18" s="1"/>
  <c r="P55" i="36"/>
  <c r="L55" i="36"/>
  <c r="N55" i="36"/>
  <c r="O55" i="36"/>
  <c r="L82" i="36"/>
  <c r="P82" i="36"/>
  <c r="N82" i="36"/>
  <c r="O82" i="36"/>
  <c r="L46" i="36"/>
  <c r="N46" i="36"/>
  <c r="O46" i="36"/>
  <c r="P46" i="36"/>
  <c r="G40" i="19"/>
  <c r="H40" i="19" s="1"/>
  <c r="J45" i="36"/>
  <c r="I44" i="37"/>
  <c r="J67" i="36"/>
  <c r="I66" i="37"/>
  <c r="G69" i="19"/>
  <c r="H69" i="19" s="1"/>
  <c r="G64" i="19"/>
  <c r="H64" i="19" s="1"/>
  <c r="J63" i="36"/>
  <c r="I62" i="37"/>
  <c r="L38" i="33"/>
  <c r="P38" i="33" s="1"/>
  <c r="K38" i="33"/>
  <c r="J110" i="36"/>
  <c r="G122" i="19"/>
  <c r="H122" i="19" s="1"/>
  <c r="I109" i="37"/>
  <c r="K78" i="33"/>
  <c r="L78" i="33"/>
  <c r="P78" i="33" s="1"/>
  <c r="G31" i="19"/>
  <c r="H31" i="19" s="1"/>
  <c r="I36" i="37"/>
  <c r="J37" i="36"/>
  <c r="L66" i="36"/>
  <c r="O66" i="36"/>
  <c r="N66" i="36"/>
  <c r="P66" i="36"/>
  <c r="N69" i="36"/>
  <c r="O69" i="36"/>
  <c r="L38" i="36"/>
  <c r="O38" i="36"/>
  <c r="N38" i="36"/>
  <c r="P38" i="36"/>
  <c r="L26" i="36"/>
  <c r="O26" i="36"/>
  <c r="P26" i="36"/>
  <c r="N26" i="36"/>
  <c r="J1139" i="18"/>
  <c r="J1140" i="18" s="1"/>
  <c r="J1141" i="18" s="1"/>
  <c r="J1142" i="18" s="1"/>
  <c r="J1143" i="18" s="1"/>
  <c r="J1008" i="18"/>
  <c r="J1009" i="18" s="1"/>
  <c r="J1010" i="18" s="1"/>
  <c r="J1011" i="18" s="1"/>
  <c r="K57" i="37"/>
  <c r="M57" i="37"/>
  <c r="N57" i="37"/>
  <c r="L57" i="37"/>
  <c r="L50" i="36"/>
  <c r="P50" i="36"/>
  <c r="O50" i="36"/>
  <c r="N50" i="36"/>
  <c r="K65" i="37"/>
  <c r="M65" i="37"/>
  <c r="N65" i="37"/>
  <c r="L65" i="37"/>
  <c r="R45" i="1"/>
  <c r="F7" i="17" s="1"/>
  <c r="F6" i="17" s="1"/>
  <c r="Y9" i="1"/>
  <c r="R8" i="1"/>
  <c r="R216" i="1"/>
  <c r="I95" i="37"/>
  <c r="J96" i="36"/>
  <c r="G107" i="19"/>
  <c r="H107" i="19" s="1"/>
  <c r="N68" i="37"/>
  <c r="L68" i="37"/>
  <c r="M68" i="37"/>
  <c r="K68" i="37"/>
  <c r="P29" i="33"/>
  <c r="F47" i="17"/>
  <c r="G6" i="42"/>
  <c r="G9" i="42" s="1"/>
  <c r="L106" i="36"/>
  <c r="O106" i="36"/>
  <c r="P106" i="36"/>
  <c r="N106" i="36"/>
  <c r="K82" i="33"/>
  <c r="L82" i="33"/>
  <c r="P82" i="33" s="1"/>
  <c r="L40" i="33"/>
  <c r="P40" i="33" s="1"/>
  <c r="K40" i="33"/>
  <c r="J1525" i="18"/>
  <c r="J1526" i="18" s="1"/>
  <c r="J368" i="18"/>
  <c r="J366" i="18"/>
  <c r="J367" i="18"/>
  <c r="L57" i="36"/>
  <c r="P57" i="36"/>
  <c r="N57" i="36"/>
  <c r="O57" i="36"/>
  <c r="L42" i="36"/>
  <c r="O42" i="36"/>
  <c r="P42" i="36"/>
  <c r="N42" i="36"/>
  <c r="K37" i="37"/>
  <c r="M37" i="37"/>
  <c r="N37" i="37"/>
  <c r="L37" i="37"/>
  <c r="J1319" i="18"/>
  <c r="J1320" i="18" s="1"/>
  <c r="K25" i="37"/>
  <c r="L25" i="37"/>
  <c r="M25" i="37"/>
  <c r="N25" i="37"/>
  <c r="K105" i="37"/>
  <c r="M105" i="37"/>
  <c r="N105" i="37"/>
  <c r="L105" i="37"/>
  <c r="J1048" i="18"/>
  <c r="J1049" i="18" s="1"/>
  <c r="J86" i="36"/>
  <c r="G92" i="19"/>
  <c r="H92" i="19" s="1"/>
  <c r="I85" i="37"/>
  <c r="K40" i="37"/>
  <c r="N40" i="37"/>
  <c r="M40" i="37"/>
  <c r="L40" i="37"/>
  <c r="K49" i="37"/>
  <c r="L49" i="37"/>
  <c r="M49" i="37"/>
  <c r="N49" i="37"/>
  <c r="I35" i="37"/>
  <c r="G30" i="19"/>
  <c r="H30" i="19" s="1"/>
  <c r="J36" i="36"/>
  <c r="K61" i="37"/>
  <c r="L61" i="37"/>
  <c r="M61" i="37"/>
  <c r="N61" i="37"/>
  <c r="J864" i="18"/>
  <c r="J865" i="18" s="1"/>
  <c r="L69" i="37"/>
  <c r="N69" i="37"/>
  <c r="K69" i="37"/>
  <c r="M69" i="37"/>
  <c r="I30" i="37"/>
  <c r="J31" i="36"/>
  <c r="G22" i="19"/>
  <c r="H22" i="19" s="1"/>
  <c r="L49" i="36"/>
  <c r="P49" i="36"/>
  <c r="O49" i="36"/>
  <c r="N49" i="36"/>
  <c r="P75" i="36"/>
  <c r="O75" i="36"/>
  <c r="K56" i="37"/>
  <c r="N56" i="37"/>
  <c r="M56" i="37"/>
  <c r="L56" i="37"/>
  <c r="P58" i="36"/>
  <c r="L58" i="36"/>
  <c r="O58" i="36"/>
  <c r="N58" i="36"/>
  <c r="N64" i="36"/>
  <c r="L64" i="36"/>
  <c r="P64" i="36"/>
  <c r="O64" i="36"/>
  <c r="Z217" i="3"/>
  <c r="AA217" i="3" s="1"/>
  <c r="Y217" i="3"/>
  <c r="K48" i="37"/>
  <c r="N48" i="37"/>
  <c r="M48" i="37"/>
  <c r="L48" i="37"/>
  <c r="J1175" i="18"/>
  <c r="J1176" i="18" s="1"/>
  <c r="L75" i="33"/>
  <c r="P75" i="33" s="1"/>
  <c r="K75" i="33"/>
  <c r="K41" i="37"/>
  <c r="M41" i="37"/>
  <c r="L41" i="37"/>
  <c r="N41" i="37"/>
  <c r="J113" i="36"/>
  <c r="G125" i="19"/>
  <c r="H125" i="19" s="1"/>
  <c r="I112" i="37"/>
  <c r="O41" i="36"/>
  <c r="L41" i="36"/>
  <c r="N41" i="36"/>
  <c r="P41" i="36"/>
  <c r="Y216" i="3"/>
  <c r="Z216" i="3"/>
  <c r="AA216" i="3" s="1"/>
  <c r="L62" i="36"/>
  <c r="O62" i="36"/>
  <c r="P62" i="36"/>
  <c r="N62" i="36"/>
  <c r="J932" i="18"/>
  <c r="J933" i="18" s="1"/>
  <c r="L70" i="36"/>
  <c r="O70" i="36"/>
  <c r="P70" i="36"/>
  <c r="N70" i="36"/>
  <c r="P103" i="36"/>
  <c r="N103" i="36"/>
  <c r="O103" i="36"/>
  <c r="L103" i="36"/>
  <c r="M101" i="37"/>
  <c r="N101" i="37"/>
  <c r="L101" i="37"/>
  <c r="K101" i="37"/>
  <c r="O98" i="36"/>
  <c r="P98" i="36"/>
  <c r="N98" i="36"/>
  <c r="L98" i="36"/>
  <c r="N94" i="37"/>
  <c r="L94" i="37"/>
  <c r="M94" i="37"/>
  <c r="K94" i="37"/>
  <c r="P115" i="36"/>
  <c r="N115" i="36"/>
  <c r="O115" i="36"/>
  <c r="L115" i="36"/>
  <c r="N102" i="37"/>
  <c r="L102" i="37"/>
  <c r="M102" i="37"/>
  <c r="K102" i="37"/>
  <c r="M106" i="37"/>
  <c r="O102" i="36"/>
  <c r="P102" i="36"/>
  <c r="N102" i="36"/>
  <c r="L102" i="36"/>
  <c r="M97" i="37"/>
  <c r="N97" i="37"/>
  <c r="L97" i="37"/>
  <c r="K97" i="37"/>
  <c r="P95" i="36"/>
  <c r="N95" i="36"/>
  <c r="O95" i="36"/>
  <c r="L95" i="36"/>
  <c r="N114" i="37"/>
  <c r="L114" i="37"/>
  <c r="M114" i="37"/>
  <c r="K114" i="37"/>
  <c r="L75" i="36" l="1"/>
  <c r="O100" i="36"/>
  <c r="N63" i="37"/>
  <c r="K63" i="37"/>
  <c r="K106" i="37"/>
  <c r="P71" i="36"/>
  <c r="P87" i="36"/>
  <c r="L33" i="33"/>
  <c r="P33" i="33" s="1"/>
  <c r="O87" i="36"/>
  <c r="L87" i="36"/>
  <c r="L63" i="37"/>
  <c r="P69" i="36"/>
  <c r="L74" i="37"/>
  <c r="N74" i="37"/>
  <c r="K99" i="37"/>
  <c r="K74" i="37"/>
  <c r="L107" i="36"/>
  <c r="N86" i="37"/>
  <c r="P80" i="36"/>
  <c r="O80" i="36"/>
  <c r="L100" i="36"/>
  <c r="K86" i="37"/>
  <c r="L71" i="36"/>
  <c r="O71" i="36"/>
  <c r="N100" i="36"/>
  <c r="M86" i="37"/>
  <c r="L80" i="36"/>
  <c r="Y207" i="3"/>
  <c r="Y246" i="3" s="1"/>
  <c r="K108" i="37"/>
  <c r="J1765" i="18"/>
  <c r="J1766" i="18" s="1"/>
  <c r="J1767" i="18" s="1"/>
  <c r="J369" i="18"/>
  <c r="J370" i="18" s="1"/>
  <c r="J371" i="18" s="1"/>
  <c r="J372" i="18" s="1"/>
  <c r="J373" i="18" s="1"/>
  <c r="I38" i="37" s="1"/>
  <c r="N99" i="37"/>
  <c r="N106" i="37"/>
  <c r="M99" i="37"/>
  <c r="P107" i="36"/>
  <c r="M108" i="37"/>
  <c r="L108" i="37"/>
  <c r="O107" i="36"/>
  <c r="O112" i="36"/>
  <c r="P112" i="36"/>
  <c r="N112" i="36"/>
  <c r="L112" i="36"/>
  <c r="AA207" i="3"/>
  <c r="AA246" i="3" s="1"/>
  <c r="L111" i="37"/>
  <c r="K111" i="37"/>
  <c r="M111" i="37"/>
  <c r="N111" i="37"/>
  <c r="O109" i="36"/>
  <c r="L109" i="36"/>
  <c r="P109" i="36"/>
  <c r="N109" i="36"/>
  <c r="G66" i="19"/>
  <c r="H66" i="19" s="1"/>
  <c r="J65" i="36"/>
  <c r="I64" i="37"/>
  <c r="G96" i="19"/>
  <c r="H96" i="19" s="1"/>
  <c r="I88" i="37"/>
  <c r="J89" i="36"/>
  <c r="J1050" i="18"/>
  <c r="J1051" i="18" s="1"/>
  <c r="J72" i="36"/>
  <c r="G76" i="19"/>
  <c r="H76" i="19" s="1"/>
  <c r="I71" i="37"/>
  <c r="G38" i="19"/>
  <c r="H38" i="19" s="1"/>
  <c r="I42" i="37"/>
  <c r="J43" i="36"/>
  <c r="O113" i="36"/>
  <c r="L113" i="36"/>
  <c r="N113" i="36"/>
  <c r="P113" i="36"/>
  <c r="J81" i="36"/>
  <c r="G86" i="19"/>
  <c r="H86" i="19" s="1"/>
  <c r="I80" i="37"/>
  <c r="G108" i="19"/>
  <c r="H108" i="19" s="1"/>
  <c r="I96" i="37"/>
  <c r="J97" i="36"/>
  <c r="L35" i="37"/>
  <c r="K35" i="37"/>
  <c r="N35" i="37"/>
  <c r="M35" i="37"/>
  <c r="P131" i="33"/>
  <c r="M62" i="37"/>
  <c r="K62" i="37"/>
  <c r="L62" i="37"/>
  <c r="N62" i="37"/>
  <c r="O45" i="36"/>
  <c r="N45" i="36"/>
  <c r="L45" i="36"/>
  <c r="P45" i="36"/>
  <c r="K85" i="37"/>
  <c r="M85" i="37"/>
  <c r="N85" i="37"/>
  <c r="L85" i="37"/>
  <c r="G13" i="42"/>
  <c r="G12" i="42"/>
  <c r="G11" i="42"/>
  <c r="N110" i="36"/>
  <c r="P110" i="36"/>
  <c r="L110" i="36"/>
  <c r="O110" i="36"/>
  <c r="L63" i="36"/>
  <c r="O63" i="36"/>
  <c r="P63" i="36"/>
  <c r="N63" i="36"/>
  <c r="K66" i="37"/>
  <c r="N66" i="37"/>
  <c r="M66" i="37"/>
  <c r="L66" i="37"/>
  <c r="J68" i="36"/>
  <c r="G70" i="19"/>
  <c r="H70" i="19" s="1"/>
  <c r="I67" i="37"/>
  <c r="K112" i="37"/>
  <c r="M112" i="37"/>
  <c r="N112" i="37"/>
  <c r="L112" i="37"/>
  <c r="P31" i="36"/>
  <c r="L31" i="36"/>
  <c r="N31" i="36"/>
  <c r="O31" i="36"/>
  <c r="L36" i="36"/>
  <c r="O36" i="36"/>
  <c r="P36" i="36"/>
  <c r="N36" i="36"/>
  <c r="I100" i="37"/>
  <c r="J101" i="36"/>
  <c r="G112" i="19"/>
  <c r="H112" i="19" s="1"/>
  <c r="F50" i="17"/>
  <c r="F51" i="17"/>
  <c r="F49" i="17"/>
  <c r="N96" i="36"/>
  <c r="P96" i="36"/>
  <c r="L96" i="36"/>
  <c r="O96" i="36"/>
  <c r="G83" i="19"/>
  <c r="H83" i="19" s="1"/>
  <c r="J79" i="36"/>
  <c r="I78" i="37"/>
  <c r="P37" i="36"/>
  <c r="L37" i="36"/>
  <c r="N37" i="36"/>
  <c r="O37" i="36"/>
  <c r="O67" i="36"/>
  <c r="L67" i="36"/>
  <c r="N67" i="36"/>
  <c r="P67" i="36"/>
  <c r="M30" i="37"/>
  <c r="K30" i="37"/>
  <c r="L30" i="37"/>
  <c r="N30" i="37"/>
  <c r="N86" i="36"/>
  <c r="P86" i="36"/>
  <c r="L86" i="36"/>
  <c r="O86" i="36"/>
  <c r="L131" i="33"/>
  <c r="M95" i="37"/>
  <c r="N95" i="37"/>
  <c r="K95" i="37"/>
  <c r="L95" i="37"/>
  <c r="F6" i="42"/>
  <c r="F14" i="17"/>
  <c r="M36" i="37"/>
  <c r="K36" i="37"/>
  <c r="L36" i="37"/>
  <c r="N36" i="37"/>
  <c r="L109" i="37"/>
  <c r="K109" i="37"/>
  <c r="M109" i="37"/>
  <c r="N109" i="37"/>
  <c r="N44" i="37"/>
  <c r="L44" i="37"/>
  <c r="M44" i="37"/>
  <c r="K44" i="37"/>
  <c r="J39" i="36" l="1"/>
  <c r="G33" i="19"/>
  <c r="H33" i="19" s="1"/>
  <c r="G14" i="42"/>
  <c r="G15" i="42" s="1"/>
  <c r="G16" i="42" s="1"/>
  <c r="I73" i="37"/>
  <c r="G78" i="19"/>
  <c r="H78" i="19" s="1"/>
  <c r="H43" i="19" s="1"/>
  <c r="J74" i="36"/>
  <c r="L39" i="36"/>
  <c r="O39" i="36"/>
  <c r="P39" i="36"/>
  <c r="N39" i="36"/>
  <c r="K80" i="37"/>
  <c r="N80" i="37"/>
  <c r="M80" i="37"/>
  <c r="L80" i="37"/>
  <c r="L43" i="36"/>
  <c r="P43" i="36"/>
  <c r="O43" i="36"/>
  <c r="N43" i="36"/>
  <c r="N68" i="36"/>
  <c r="L68" i="36"/>
  <c r="O68" i="36"/>
  <c r="P68" i="36"/>
  <c r="P97" i="36"/>
  <c r="N97" i="36"/>
  <c r="O97" i="36"/>
  <c r="L97" i="36"/>
  <c r="M42" i="37"/>
  <c r="K42" i="37"/>
  <c r="N42" i="37"/>
  <c r="L42" i="37"/>
  <c r="N72" i="36"/>
  <c r="P72" i="36"/>
  <c r="L72" i="36"/>
  <c r="O72" i="36"/>
  <c r="M64" i="37"/>
  <c r="K64" i="37"/>
  <c r="L64" i="37"/>
  <c r="N64" i="37"/>
  <c r="G126" i="19"/>
  <c r="H126" i="19" s="1"/>
  <c r="I113" i="37"/>
  <c r="J114" i="36"/>
  <c r="F16" i="17"/>
  <c r="F18" i="17"/>
  <c r="F17" i="17"/>
  <c r="M78" i="37"/>
  <c r="K78" i="37"/>
  <c r="L78" i="37"/>
  <c r="N78" i="37"/>
  <c r="F52" i="17"/>
  <c r="F53" i="17" s="1"/>
  <c r="F54" i="17" s="1"/>
  <c r="F55" i="17" s="1"/>
  <c r="F56" i="17" s="1"/>
  <c r="P101" i="36"/>
  <c r="N101" i="36"/>
  <c r="O101" i="36"/>
  <c r="L101" i="36"/>
  <c r="K38" i="37"/>
  <c r="N38" i="37"/>
  <c r="M38" i="37"/>
  <c r="L38" i="37"/>
  <c r="N96" i="37"/>
  <c r="L96" i="37"/>
  <c r="M96" i="37"/>
  <c r="K96" i="37"/>
  <c r="O81" i="36"/>
  <c r="L81" i="36"/>
  <c r="P81" i="36"/>
  <c r="N81" i="36"/>
  <c r="P89" i="36"/>
  <c r="N89" i="36"/>
  <c r="O89" i="36"/>
  <c r="L89" i="36"/>
  <c r="L65" i="36"/>
  <c r="P65" i="36"/>
  <c r="N65" i="36"/>
  <c r="O65" i="36"/>
  <c r="H6" i="42"/>
  <c r="H9" i="42" s="1"/>
  <c r="F9" i="42"/>
  <c r="O79" i="36"/>
  <c r="L79" i="36"/>
  <c r="N79" i="36"/>
  <c r="P79" i="36"/>
  <c r="N100" i="37"/>
  <c r="L100" i="37"/>
  <c r="M100" i="37"/>
  <c r="K100" i="37"/>
  <c r="K67" i="37"/>
  <c r="M67" i="37"/>
  <c r="L67" i="37"/>
  <c r="N67" i="37"/>
  <c r="M71" i="37"/>
  <c r="N71" i="37"/>
  <c r="K71" i="37"/>
  <c r="L71" i="37"/>
  <c r="N88" i="37"/>
  <c r="L88" i="37"/>
  <c r="M88" i="37"/>
  <c r="K88" i="37"/>
  <c r="H134" i="19" l="1"/>
  <c r="J11" i="23" s="1"/>
  <c r="J12" i="23" s="1"/>
  <c r="G17" i="42"/>
  <c r="G18" i="42" s="1"/>
  <c r="H136" i="19"/>
  <c r="H135" i="19"/>
  <c r="H13" i="42"/>
  <c r="H12" i="42"/>
  <c r="H11" i="42"/>
  <c r="O114" i="36"/>
  <c r="P114" i="36"/>
  <c r="N114" i="36"/>
  <c r="L114" i="36"/>
  <c r="F12" i="42"/>
  <c r="F11" i="42"/>
  <c r="F13" i="42"/>
  <c r="M113" i="37"/>
  <c r="N113" i="37"/>
  <c r="L113" i="37"/>
  <c r="K113" i="37"/>
  <c r="O74" i="36"/>
  <c r="P74" i="36"/>
  <c r="N74" i="36"/>
  <c r="L74" i="36"/>
  <c r="F19" i="17"/>
  <c r="F20" i="17" s="1"/>
  <c r="F21" i="17" s="1"/>
  <c r="L73" i="37"/>
  <c r="K73" i="37"/>
  <c r="M73" i="37"/>
  <c r="N73" i="37"/>
  <c r="N120" i="37" l="1"/>
  <c r="O121" i="36"/>
  <c r="L120" i="37"/>
  <c r="L121" i="36"/>
  <c r="D8" i="21"/>
  <c r="D7" i="21" s="1"/>
  <c r="M120" i="37"/>
  <c r="K120" i="37"/>
  <c r="N121" i="36"/>
  <c r="F14" i="42"/>
  <c r="F15" i="42" s="1"/>
  <c r="F16" i="42" s="1"/>
  <c r="F17" i="42" s="1"/>
  <c r="F18" i="42" s="1"/>
  <c r="P121" i="36"/>
  <c r="F8" i="26"/>
  <c r="F6" i="26"/>
  <c r="D11" i="24"/>
  <c r="F22" i="17"/>
  <c r="F23" i="17" s="1"/>
  <c r="H14" i="42"/>
  <c r="H15" i="42" s="1"/>
  <c r="H16" i="42" s="1"/>
  <c r="E8" i="21" l="1"/>
  <c r="E7" i="21" s="1"/>
  <c r="G8" i="26"/>
  <c r="G7" i="26" s="1"/>
  <c r="F7" i="26"/>
  <c r="E11" i="24"/>
  <c r="E12" i="24" s="1"/>
  <c r="D12" i="24"/>
  <c r="G6" i="26"/>
  <c r="G5" i="26" s="1"/>
  <c r="F5" i="26"/>
  <c r="F17" i="26" s="1"/>
  <c r="D11" i="21"/>
  <c r="D10" i="21"/>
  <c r="H17" i="42"/>
  <c r="H18" i="42" s="1"/>
  <c r="F8" i="21" l="1"/>
  <c r="F7" i="21" s="1"/>
  <c r="G17" i="26"/>
  <c r="H8" i="26"/>
  <c r="H7" i="26" s="1"/>
  <c r="E11" i="21"/>
  <c r="F11" i="21" s="1"/>
  <c r="H6" i="26"/>
  <c r="H5" i="26" s="1"/>
  <c r="F11" i="24"/>
  <c r="E10" i="21"/>
  <c r="D9" i="21"/>
  <c r="H17" i="26" l="1"/>
  <c r="E9" i="21"/>
  <c r="D15" i="21"/>
  <c r="E15" i="21" s="1"/>
  <c r="F15" i="21" s="1"/>
  <c r="D14" i="21"/>
  <c r="H11" i="24"/>
  <c r="H12" i="24" s="1"/>
  <c r="F12" i="24"/>
  <c r="F10" i="21"/>
  <c r="F9" i="21" s="1"/>
  <c r="E14" i="21" l="1"/>
  <c r="D13" i="21"/>
  <c r="D16" i="21" s="1"/>
  <c r="F14" i="21" l="1"/>
  <c r="F13" i="21" s="1"/>
  <c r="F16" i="21" s="1"/>
  <c r="E13" i="21"/>
  <c r="E16" i="21" s="1"/>
  <c r="G28" i="43" l="1"/>
  <c r="F9" i="43" l="1"/>
  <c r="F8" i="43" l="1"/>
  <c r="E8" i="43"/>
  <c r="L56" i="43" l="1"/>
  <c r="Y82" i="43" s="1"/>
  <c r="D24" i="43"/>
  <c r="G24" i="43"/>
  <c r="G25" i="43"/>
  <c r="D25" i="43"/>
  <c r="H21" i="43"/>
  <c r="H22" i="43"/>
  <c r="AG369" i="43" l="1"/>
  <c r="AC298" i="43"/>
  <c r="AD298" i="43"/>
  <c r="AC382" i="43"/>
  <c r="Z321" i="43"/>
  <c r="AD255" i="43"/>
  <c r="Z400" i="43"/>
  <c r="AH210" i="43"/>
  <c r="AH110" i="43"/>
  <c r="AH297" i="43"/>
  <c r="AD347" i="43"/>
  <c r="AB211" i="43"/>
  <c r="AB186" i="43"/>
  <c r="AC133" i="43"/>
  <c r="AJ110" i="43"/>
  <c r="AE135" i="43"/>
  <c r="AG411" i="43"/>
  <c r="AF189" i="43"/>
  <c r="AI100" i="43"/>
  <c r="AG98" i="43"/>
  <c r="AG409" i="43"/>
  <c r="AH329" i="43"/>
  <c r="Z210" i="43"/>
  <c r="AE345" i="43"/>
  <c r="AI371" i="43"/>
  <c r="AD330" i="43"/>
  <c r="AB185" i="43"/>
  <c r="AC307" i="43"/>
  <c r="AG271" i="43"/>
  <c r="AA369" i="43"/>
  <c r="Z121" i="43"/>
  <c r="Z198" i="43"/>
  <c r="AI255" i="43"/>
  <c r="Y347" i="43"/>
  <c r="Z199" i="43"/>
  <c r="AH189" i="43"/>
  <c r="AG379" i="43"/>
  <c r="Z317" i="43"/>
  <c r="Y360" i="43"/>
  <c r="Y200" i="43"/>
  <c r="Z99" i="43"/>
  <c r="Y210" i="43"/>
  <c r="Z310" i="43"/>
  <c r="AE110" i="43"/>
  <c r="AB208" i="43"/>
  <c r="AF272" i="43"/>
  <c r="AA328" i="43"/>
  <c r="AA392" i="43"/>
  <c r="AB391" i="43"/>
  <c r="AF273" i="43"/>
  <c r="AJ88" i="43"/>
  <c r="AG331" i="43"/>
  <c r="AD253" i="43"/>
  <c r="AD400" i="43"/>
  <c r="AH331" i="43"/>
  <c r="AB188" i="43"/>
  <c r="AC310" i="43"/>
  <c r="Z254" i="43"/>
  <c r="AD98" i="43"/>
  <c r="AF152" i="43"/>
  <c r="AC391" i="43"/>
  <c r="AD393" i="43"/>
  <c r="Y390" i="43"/>
  <c r="AF379" i="43"/>
  <c r="AB369" i="43"/>
  <c r="AE185" i="43"/>
  <c r="Z383" i="43"/>
  <c r="AH271" i="43"/>
  <c r="AI230" i="43"/>
  <c r="AE252" i="43"/>
  <c r="AH150" i="43"/>
  <c r="AG310" i="43"/>
  <c r="AG109" i="43"/>
  <c r="AG89" i="43"/>
  <c r="AA298" i="43"/>
  <c r="AF309" i="43"/>
  <c r="AG135" i="43"/>
  <c r="AG240" i="43"/>
  <c r="AF329" i="43"/>
  <c r="AB150" i="43"/>
  <c r="AI309" i="43"/>
  <c r="AG380" i="43"/>
  <c r="AD233" i="43"/>
  <c r="Y89" i="43"/>
  <c r="AD254" i="43"/>
  <c r="AD297" i="43"/>
  <c r="AE400" i="43"/>
  <c r="AH133" i="43"/>
  <c r="AC231" i="43"/>
  <c r="AG230" i="43"/>
  <c r="AB109" i="43"/>
  <c r="AH102" i="43"/>
  <c r="Y306" i="43"/>
  <c r="AC134" i="43"/>
  <c r="Y274" i="43"/>
  <c r="AB166" i="43"/>
  <c r="AF210" i="43"/>
  <c r="AA296" i="43"/>
  <c r="Y101" i="43"/>
  <c r="AE295" i="43"/>
  <c r="AH109" i="43"/>
  <c r="AF402" i="43"/>
  <c r="Z368" i="43"/>
  <c r="AB112" i="43"/>
  <c r="AC330" i="43"/>
  <c r="AD309" i="43"/>
  <c r="Z408" i="43"/>
  <c r="AF251" i="43"/>
  <c r="AB251" i="43"/>
  <c r="AF330" i="43"/>
  <c r="Y392" i="43"/>
  <c r="AA196" i="43"/>
  <c r="AB382" i="43"/>
  <c r="AD136" i="43"/>
  <c r="Y243" i="43"/>
  <c r="AI167" i="43"/>
  <c r="AH298" i="43"/>
  <c r="AA360" i="43"/>
  <c r="Z233" i="43"/>
  <c r="Y359" i="43"/>
  <c r="AC167" i="43"/>
  <c r="AF296" i="43"/>
  <c r="AA120" i="43"/>
  <c r="AG243" i="43"/>
  <c r="Z272" i="43"/>
  <c r="AB295" i="43"/>
  <c r="AG408" i="43"/>
  <c r="Z110" i="43"/>
  <c r="AC379" i="43"/>
  <c r="AI112" i="43"/>
  <c r="Y357" i="43"/>
  <c r="AH199" i="43"/>
  <c r="Y297" i="43"/>
  <c r="AD185" i="43"/>
  <c r="AD409" i="43"/>
  <c r="AC367" i="43"/>
  <c r="AC232" i="43"/>
  <c r="AB252" i="43"/>
  <c r="AA230" i="43"/>
  <c r="Z332" i="43"/>
  <c r="AD186" i="43"/>
  <c r="AC240" i="43"/>
  <c r="AD166" i="43"/>
  <c r="AF243" i="43"/>
  <c r="AB253" i="43"/>
  <c r="AC196" i="43"/>
  <c r="AG392" i="43"/>
  <c r="AD331" i="43"/>
  <c r="AB329" i="43"/>
  <c r="AG402" i="43"/>
  <c r="AF207" i="43"/>
  <c r="AH240" i="43"/>
  <c r="AD273" i="43"/>
  <c r="AC197" i="43"/>
  <c r="Z410" i="43"/>
  <c r="AD317" i="43"/>
  <c r="AB368" i="43"/>
  <c r="AC255" i="43"/>
  <c r="AH88" i="43"/>
  <c r="AG242" i="43"/>
  <c r="AG273" i="43"/>
  <c r="Y299" i="43"/>
  <c r="AI196" i="43"/>
  <c r="AE132" i="43"/>
  <c r="AA306" i="43"/>
  <c r="Z330" i="43"/>
  <c r="AJ297" i="43"/>
  <c r="AD197" i="43"/>
  <c r="Y380" i="43"/>
  <c r="AF393" i="43"/>
  <c r="AD320" i="43"/>
  <c r="AC270" i="43"/>
  <c r="AH244" i="43"/>
  <c r="AF196" i="43"/>
  <c r="AI148" i="43"/>
  <c r="Z382" i="43"/>
  <c r="AC392" i="43"/>
  <c r="AF328" i="43"/>
  <c r="Z123" i="43"/>
  <c r="AA412" i="43"/>
  <c r="AD274" i="43"/>
  <c r="AA381" i="43"/>
  <c r="AI320" i="43"/>
  <c r="AD271" i="43"/>
  <c r="AG189" i="43"/>
  <c r="AF149" i="43"/>
  <c r="AH367" i="43"/>
  <c r="AI91" i="43"/>
  <c r="AC244" i="43"/>
  <c r="AE369" i="43"/>
  <c r="AD383" i="43"/>
  <c r="Y209" i="43"/>
  <c r="AC111" i="43"/>
  <c r="AI208" i="43"/>
  <c r="AF412" i="43"/>
  <c r="Y345" i="43"/>
  <c r="AF100" i="43"/>
  <c r="Y231" i="43"/>
  <c r="AA348" i="43"/>
  <c r="Y271" i="43"/>
  <c r="Z299" i="43"/>
  <c r="AF383" i="43"/>
  <c r="AE368" i="43"/>
  <c r="AD321" i="43"/>
  <c r="AI368" i="43"/>
  <c r="AI331" i="43"/>
  <c r="AG185" i="43"/>
  <c r="AE408" i="43"/>
  <c r="AC229" i="43"/>
  <c r="AD149" i="43"/>
  <c r="AA371" i="43"/>
  <c r="AF233" i="43"/>
  <c r="AA356" i="43"/>
  <c r="AJ87" i="43"/>
  <c r="Z412" i="43"/>
  <c r="Z391" i="43"/>
  <c r="Z242" i="43"/>
  <c r="AH318" i="43"/>
  <c r="AB240" i="43"/>
  <c r="AJ100" i="43"/>
  <c r="AA166" i="43"/>
  <c r="AD132" i="43"/>
  <c r="AH185" i="43"/>
  <c r="AG391" i="43"/>
  <c r="AE402" i="43"/>
  <c r="AG297" i="43"/>
  <c r="AD306" i="43"/>
  <c r="AE331" i="43"/>
  <c r="AD152" i="43"/>
  <c r="Z112" i="43"/>
  <c r="AB393" i="43"/>
  <c r="Z136" i="43"/>
  <c r="AF101" i="43"/>
  <c r="AI231" i="43"/>
  <c r="AH100" i="43"/>
  <c r="AG306" i="43"/>
  <c r="AH187" i="43"/>
  <c r="AC99" i="43"/>
  <c r="Y166" i="43"/>
  <c r="AF389" i="43"/>
  <c r="Z120" i="43"/>
  <c r="AD270" i="43"/>
  <c r="Y186" i="43"/>
  <c r="AC296" i="43"/>
  <c r="AA370" i="43"/>
  <c r="Z399" i="43"/>
  <c r="Z403" i="43"/>
  <c r="AD371" i="43"/>
  <c r="AG383" i="43"/>
  <c r="AB209" i="43"/>
  <c r="Z381" i="43"/>
  <c r="Z271" i="43"/>
  <c r="AA400" i="43"/>
  <c r="AE167" i="43"/>
  <c r="AF232" i="43"/>
  <c r="Z331" i="43"/>
  <c r="AC370" i="43"/>
  <c r="Y165" i="43"/>
  <c r="AH198" i="43"/>
  <c r="AE270" i="43"/>
  <c r="AF320" i="43"/>
  <c r="AH90" i="43"/>
  <c r="AB357" i="43"/>
  <c r="AB113" i="43"/>
  <c r="Y100" i="43"/>
  <c r="Y149" i="43"/>
  <c r="AE198" i="43"/>
  <c r="AF348" i="43"/>
  <c r="AE210" i="43"/>
  <c r="AI207" i="43"/>
  <c r="AB347" i="43"/>
  <c r="AE409" i="43"/>
  <c r="AA399" i="43"/>
  <c r="AH91" i="43"/>
  <c r="AE150" i="43"/>
  <c r="AG150" i="43"/>
  <c r="AB210" i="43"/>
  <c r="AH136" i="43"/>
  <c r="Y113" i="43"/>
  <c r="AF357" i="43"/>
  <c r="AA233" i="43"/>
  <c r="AF399" i="43"/>
  <c r="AE389" i="43"/>
  <c r="Y295" i="43"/>
  <c r="AF98" i="43"/>
  <c r="Z409" i="43"/>
  <c r="AH207" i="43"/>
  <c r="Z200" i="43"/>
  <c r="AB349" i="43"/>
  <c r="AJ307" i="43"/>
  <c r="AB132" i="43"/>
  <c r="Z390" i="43"/>
  <c r="AC308" i="43"/>
  <c r="AE272" i="43"/>
  <c r="AI109" i="43"/>
  <c r="AC409" i="43"/>
  <c r="AC346" i="43"/>
  <c r="AC383" i="43"/>
  <c r="AE401" i="43"/>
  <c r="AE390" i="43"/>
  <c r="AG99" i="43"/>
  <c r="Z345" i="43"/>
  <c r="Z371" i="43"/>
  <c r="AA168" i="43"/>
  <c r="AC274" i="43"/>
  <c r="Y382" i="43"/>
  <c r="Y330" i="43"/>
  <c r="AF307" i="43"/>
  <c r="AA332" i="43"/>
  <c r="Z243" i="43"/>
  <c r="AH166" i="43"/>
  <c r="AH241" i="43"/>
  <c r="AF135" i="43"/>
  <c r="AH273" i="43"/>
  <c r="AC102" i="43"/>
  <c r="Y91" i="43"/>
  <c r="AI113" i="43"/>
  <c r="Z393" i="43"/>
  <c r="AA389" i="43"/>
  <c r="AA318" i="43"/>
  <c r="AE271" i="43"/>
  <c r="Y332" i="43"/>
  <c r="AF371" i="43"/>
  <c r="Y329" i="43"/>
  <c r="AI87" i="43"/>
  <c r="AG308" i="43"/>
  <c r="Z251" i="43"/>
  <c r="AH165" i="43"/>
  <c r="AB133" i="43"/>
  <c r="AI330" i="43"/>
  <c r="AG187" i="43"/>
  <c r="AB200" i="43"/>
  <c r="AB370" i="43"/>
  <c r="AE89" i="43"/>
  <c r="AD90" i="43"/>
  <c r="AF136" i="43"/>
  <c r="AJ90" i="43"/>
  <c r="AG393" i="43"/>
  <c r="AH200" i="43"/>
  <c r="AD357" i="43"/>
  <c r="AD134" i="43"/>
  <c r="AD408" i="43"/>
  <c r="AF113" i="43"/>
  <c r="Y120" i="43"/>
  <c r="Z348" i="43"/>
  <c r="AB318" i="43"/>
  <c r="AG244" i="43"/>
  <c r="Z89" i="43"/>
  <c r="AC186" i="43"/>
  <c r="AD208" i="43"/>
  <c r="AB400" i="43"/>
  <c r="AA299" i="43"/>
  <c r="AC273" i="43"/>
  <c r="AG169" i="43"/>
  <c r="Y253" i="43"/>
  <c r="AE274" i="43"/>
  <c r="AH368" i="43"/>
  <c r="Z401" i="43"/>
  <c r="Y167" i="43"/>
  <c r="AG329" i="43"/>
  <c r="AF167" i="43"/>
  <c r="AB136" i="43"/>
  <c r="AB332" i="43"/>
  <c r="AA308" i="43"/>
  <c r="AF401" i="43"/>
  <c r="AH332" i="43"/>
  <c r="AE392" i="43"/>
  <c r="AA345" i="43"/>
  <c r="Z253" i="43"/>
  <c r="AE310" i="43"/>
  <c r="AE196" i="43"/>
  <c r="AD382" i="43"/>
  <c r="AB168" i="43"/>
  <c r="AD240" i="43"/>
  <c r="AI299" i="43"/>
  <c r="AF241" i="43"/>
  <c r="AD379" i="43"/>
  <c r="Z209" i="43"/>
  <c r="AG101" i="43"/>
  <c r="AG149" i="43"/>
  <c r="AC408" i="43"/>
  <c r="AB328" i="43"/>
  <c r="AE410" i="43"/>
  <c r="AC209" i="43"/>
  <c r="AJ109" i="43"/>
  <c r="AF230" i="43"/>
  <c r="AB169" i="43"/>
  <c r="AF208" i="43"/>
  <c r="AI200" i="43"/>
  <c r="Z133" i="43"/>
  <c r="AB199" i="43"/>
  <c r="AH317" i="43"/>
  <c r="AG199" i="43"/>
  <c r="AD87" i="43"/>
  <c r="AA110" i="43"/>
  <c r="AE382" i="43"/>
  <c r="AH309" i="43"/>
  <c r="AA349" i="43"/>
  <c r="AI185" i="43"/>
  <c r="Z359" i="43"/>
  <c r="AA380" i="43"/>
  <c r="AG367" i="43"/>
  <c r="AA135" i="43"/>
  <c r="AC187" i="43"/>
  <c r="AI297" i="43"/>
  <c r="AC253" i="43"/>
  <c r="Z91" i="43"/>
  <c r="AE347" i="43"/>
  <c r="AI188" i="43"/>
  <c r="AA187" i="43"/>
  <c r="AD189" i="43"/>
  <c r="AH231" i="43"/>
  <c r="AD329" i="43"/>
  <c r="AA411" i="43"/>
  <c r="AD230" i="43"/>
  <c r="AF345" i="43"/>
  <c r="AE149" i="43"/>
  <c r="AC199" i="43"/>
  <c r="AI199" i="43"/>
  <c r="AA244" i="43"/>
  <c r="Z90" i="43"/>
  <c r="AC369" i="43"/>
  <c r="AE379" i="43"/>
  <c r="AG403" i="43"/>
  <c r="AH270" i="43"/>
  <c r="AF369" i="43"/>
  <c r="AF252" i="43"/>
  <c r="Y368" i="43"/>
  <c r="Y196" i="43"/>
  <c r="AF391" i="43"/>
  <c r="AF168" i="43"/>
  <c r="AD209" i="43"/>
  <c r="AI307" i="43"/>
  <c r="AI273" i="43"/>
  <c r="AE168" i="43"/>
  <c r="AA329" i="43"/>
  <c r="AG390" i="43"/>
  <c r="AA101" i="43"/>
  <c r="AF88" i="43"/>
  <c r="AI168" i="43"/>
  <c r="Y241" i="43"/>
  <c r="AA149" i="43"/>
  <c r="Y358" i="43"/>
  <c r="AB101" i="43"/>
  <c r="AH371" i="43"/>
  <c r="AI152" i="43"/>
  <c r="AA150" i="43"/>
  <c r="AF318" i="43"/>
  <c r="AB308" i="43"/>
  <c r="AA136" i="43"/>
  <c r="AH135" i="43"/>
  <c r="AC100" i="43"/>
  <c r="AI298" i="43"/>
  <c r="AD310" i="43"/>
  <c r="AA111" i="43"/>
  <c r="AG400" i="43"/>
  <c r="AJ98" i="43"/>
  <c r="AA359" i="43"/>
  <c r="AF390" i="43"/>
  <c r="AA121" i="43"/>
  <c r="AH151" i="43"/>
  <c r="AF244" i="43"/>
  <c r="AG370" i="43"/>
  <c r="AE200" i="43"/>
  <c r="AG168" i="43"/>
  <c r="AD102" i="43"/>
  <c r="AC390" i="43"/>
  <c r="AH89" i="43"/>
  <c r="AA252" i="43"/>
  <c r="AJ113" i="43"/>
  <c r="Y308" i="43"/>
  <c r="AG102" i="43"/>
  <c r="AD196" i="43"/>
  <c r="AA382" i="43"/>
  <c r="AF150" i="43"/>
  <c r="AG389" i="43"/>
  <c r="AC166" i="43"/>
  <c r="AD231" i="43"/>
  <c r="Z196" i="43"/>
  <c r="AG88" i="43"/>
  <c r="AI329" i="43"/>
  <c r="Y367" i="43"/>
  <c r="AC348" i="43"/>
  <c r="AC242" i="43"/>
  <c r="AG148" i="43"/>
  <c r="AD346" i="43"/>
  <c r="AD348" i="43"/>
  <c r="Z100" i="43"/>
  <c r="AB331" i="43"/>
  <c r="AI319" i="43"/>
  <c r="Z197" i="43"/>
  <c r="AF255" i="43"/>
  <c r="AD200" i="43"/>
  <c r="AC297" i="43"/>
  <c r="AC371" i="43"/>
  <c r="Y208" i="43"/>
  <c r="AC357" i="43"/>
  <c r="AB196" i="43"/>
  <c r="Z166" i="43"/>
  <c r="AH233" i="43"/>
  <c r="Z185" i="43"/>
  <c r="AA124" i="43"/>
  <c r="AG210" i="43"/>
  <c r="AE360" i="43"/>
  <c r="AG371" i="43"/>
  <c r="AH272" i="43"/>
  <c r="Z297" i="43"/>
  <c r="AE348" i="43"/>
  <c r="AA274" i="43"/>
  <c r="AG241" i="43"/>
  <c r="AF197" i="43"/>
  <c r="Y122" i="43"/>
  <c r="AD187" i="43"/>
  <c r="AC233" i="43"/>
  <c r="Y152" i="43"/>
  <c r="AD390" i="43"/>
  <c r="AH197" i="43"/>
  <c r="Y99" i="43"/>
  <c r="AF410" i="43"/>
  <c r="AC345" i="43"/>
  <c r="AB403" i="43"/>
  <c r="AD229" i="43"/>
  <c r="AH168" i="43"/>
  <c r="AE349" i="43"/>
  <c r="AI102" i="43"/>
  <c r="AD99" i="43"/>
  <c r="AC110" i="43"/>
  <c r="Z240" i="43"/>
  <c r="AC320" i="43"/>
  <c r="Y319" i="43"/>
  <c r="AF111" i="43"/>
  <c r="AJ295" i="43"/>
  <c r="Y188" i="43"/>
  <c r="AD360" i="43"/>
  <c r="AA253" i="43"/>
  <c r="AD349" i="43"/>
  <c r="AH87" i="43"/>
  <c r="AC328" i="43"/>
  <c r="AA109" i="43"/>
  <c r="Y403" i="43"/>
  <c r="AB187" i="43"/>
  <c r="AE100" i="43"/>
  <c r="Y409" i="43"/>
  <c r="AE255" i="43"/>
  <c r="AD381" i="43"/>
  <c r="Y112" i="43"/>
  <c r="Z165" i="43"/>
  <c r="AA231" i="43"/>
  <c r="Y321" i="43"/>
  <c r="AB111" i="43"/>
  <c r="AG136" i="43"/>
  <c r="AC318" i="43"/>
  <c r="AB135" i="43"/>
  <c r="AG317" i="43"/>
  <c r="AG151" i="43"/>
  <c r="Z88" i="43"/>
  <c r="AC402" i="43"/>
  <c r="AB232" i="43"/>
  <c r="Z150" i="43"/>
  <c r="AD133" i="43"/>
  <c r="AG274" i="43"/>
  <c r="AH370" i="43"/>
  <c r="AA200" i="43"/>
  <c r="AE133" i="43"/>
  <c r="AA297" i="43"/>
  <c r="AI244" i="43"/>
  <c r="AA122" i="43"/>
  <c r="Y121" i="43"/>
  <c r="AF165" i="43"/>
  <c r="AF231" i="43"/>
  <c r="AI187" i="43"/>
  <c r="AG330" i="43"/>
  <c r="AG132" i="43"/>
  <c r="AG401" i="43"/>
  <c r="AD295" i="43"/>
  <c r="AI111" i="43"/>
  <c r="Y185" i="43"/>
  <c r="Y87" i="43"/>
  <c r="Z132" i="43"/>
  <c r="AH101" i="43"/>
  <c r="AI133" i="43"/>
  <c r="AC399" i="43"/>
  <c r="AG207" i="43"/>
  <c r="AF358" i="43"/>
  <c r="AD89" i="43"/>
  <c r="AD332" i="43"/>
  <c r="Y148" i="43"/>
  <c r="AB271" i="43"/>
  <c r="AI197" i="43"/>
  <c r="AF346" i="43"/>
  <c r="AJ310" i="43"/>
  <c r="AG188" i="43"/>
  <c r="Y199" i="43"/>
  <c r="AA307" i="43"/>
  <c r="AF198" i="43"/>
  <c r="AI243" i="43"/>
  <c r="AH152" i="43"/>
  <c r="Z255" i="43"/>
  <c r="AF200" i="43"/>
  <c r="Y346" i="43"/>
  <c r="AF132" i="43"/>
  <c r="Z307" i="43"/>
  <c r="AC400" i="43"/>
  <c r="AE211" i="43"/>
  <c r="AC358" i="43"/>
  <c r="AE356" i="43"/>
  <c r="AA367" i="43"/>
  <c r="Z152" i="43"/>
  <c r="Y401" i="43"/>
  <c r="Y252" i="43"/>
  <c r="Y135" i="43"/>
  <c r="AG382" i="43"/>
  <c r="AA368" i="43"/>
  <c r="AD210" i="43"/>
  <c r="AD242" i="43"/>
  <c r="Y168" i="43"/>
  <c r="AE152" i="43"/>
  <c r="AE241" i="43"/>
  <c r="AI151" i="43"/>
  <c r="AE371" i="43"/>
  <c r="AE244" i="43"/>
  <c r="AE242" i="43"/>
  <c r="AE134" i="43"/>
  <c r="AI253" i="43"/>
  <c r="Z320" i="43"/>
  <c r="AB148" i="43"/>
  <c r="AA123" i="43"/>
  <c r="AC109" i="43"/>
  <c r="AE367" i="43"/>
  <c r="AC89" i="43"/>
  <c r="AA410" i="43"/>
  <c r="AF349" i="43"/>
  <c r="Z229" i="43"/>
  <c r="AA91" i="43"/>
  <c r="AF400" i="43"/>
  <c r="AE411" i="43"/>
  <c r="AI308" i="43"/>
  <c r="AA152" i="43"/>
  <c r="Y318" i="43"/>
  <c r="AG231" i="43"/>
  <c r="AE169" i="43"/>
  <c r="AA188" i="43"/>
  <c r="AH319" i="43"/>
  <c r="AF112" i="43"/>
  <c r="Z309" i="43"/>
  <c r="Z349" i="43"/>
  <c r="AE187" i="43"/>
  <c r="AE189" i="43"/>
  <c r="Y356" i="43"/>
  <c r="AH251" i="43"/>
  <c r="AE330" i="43"/>
  <c r="AD401" i="43"/>
  <c r="AG229" i="43"/>
  <c r="AF209" i="43"/>
  <c r="AD88" i="43"/>
  <c r="AB412" i="43"/>
  <c r="Y136" i="43"/>
  <c r="Z231" i="43"/>
  <c r="AH149" i="43"/>
  <c r="Z135" i="43"/>
  <c r="AE297" i="43"/>
  <c r="AB371" i="43"/>
  <c r="Z188" i="43"/>
  <c r="AG91" i="43"/>
  <c r="AB389" i="43"/>
  <c r="AB233" i="43"/>
  <c r="AB307" i="43"/>
  <c r="AC208" i="43"/>
  <c r="AA189" i="43"/>
  <c r="AE151" i="43"/>
  <c r="AD199" i="43"/>
  <c r="AE109" i="43"/>
  <c r="AC230" i="43"/>
  <c r="AA321" i="43"/>
  <c r="AE296" i="43"/>
  <c r="AH111" i="43"/>
  <c r="Z360" i="43"/>
  <c r="AI211" i="43"/>
  <c r="AA99" i="43"/>
  <c r="Z151" i="43"/>
  <c r="AI189" i="43"/>
  <c r="AE99" i="43"/>
  <c r="AB383" i="43"/>
  <c r="AE88" i="43"/>
  <c r="AB330" i="43"/>
  <c r="AJ112" i="43"/>
  <c r="Y150" i="43"/>
  <c r="AD370" i="43"/>
  <c r="AG200" i="43"/>
  <c r="Z169" i="43"/>
  <c r="AH148" i="43"/>
  <c r="AF308" i="43"/>
  <c r="AI321" i="43"/>
  <c r="AI110" i="43"/>
  <c r="Z358" i="43"/>
  <c r="AB296" i="43"/>
  <c r="AH98" i="43"/>
  <c r="Z208" i="43"/>
  <c r="Y298" i="43"/>
  <c r="Z252" i="43"/>
  <c r="AB401" i="43"/>
  <c r="AG197" i="43"/>
  <c r="AB299" i="43"/>
  <c r="Y320" i="43"/>
  <c r="AH230" i="43"/>
  <c r="Y211" i="43"/>
  <c r="AG133" i="43"/>
  <c r="AD110" i="43"/>
  <c r="Z211" i="43"/>
  <c r="AF271" i="43"/>
  <c r="AE328" i="43"/>
  <c r="Y251" i="43"/>
  <c r="AG152" i="43"/>
  <c r="Y307" i="43"/>
  <c r="AB358" i="43"/>
  <c r="Y123" i="43"/>
  <c r="AD380" i="43"/>
  <c r="AI240" i="43"/>
  <c r="Y232" i="43"/>
  <c r="AH274" i="43"/>
  <c r="AI136" i="43"/>
  <c r="AB319" i="43"/>
  <c r="AI233" i="43"/>
  <c r="AD241" i="43"/>
  <c r="Z319" i="43"/>
  <c r="Y296" i="43"/>
  <c r="AF109" i="43"/>
  <c r="Z274" i="43"/>
  <c r="Y349" i="43"/>
  <c r="AE412" i="43"/>
  <c r="AE113" i="43"/>
  <c r="AI369" i="43"/>
  <c r="AH321" i="43"/>
  <c r="AC299" i="43"/>
  <c r="AG113" i="43"/>
  <c r="AJ111" i="43"/>
  <c r="AA197" i="43"/>
  <c r="AJ308" i="43"/>
  <c r="Y111" i="43"/>
  <c r="AG165" i="43"/>
  <c r="AF254" i="43"/>
  <c r="Z241" i="43"/>
  <c r="Z111" i="43"/>
  <c r="AG296" i="43"/>
  <c r="AD412" i="43"/>
  <c r="AC411" i="43"/>
  <c r="Z389" i="43"/>
  <c r="Z328" i="43"/>
  <c r="Z207" i="43"/>
  <c r="AA251" i="43"/>
  <c r="AA208" i="43"/>
  <c r="AC112" i="43"/>
  <c r="AA148" i="43"/>
  <c r="AA241" i="43"/>
  <c r="AA358" i="43"/>
  <c r="AA295" i="43"/>
  <c r="AI252" i="43"/>
  <c r="AD318" i="43"/>
  <c r="AF368" i="43"/>
  <c r="AG318" i="43"/>
  <c r="AH299" i="43"/>
  <c r="AA393" i="43"/>
  <c r="AB230" i="43"/>
  <c r="Z369" i="43"/>
  <c r="AB321" i="43"/>
  <c r="Z232" i="43"/>
  <c r="AH243" i="43"/>
  <c r="AE309" i="43"/>
  <c r="AC306" i="43"/>
  <c r="AG87" i="43"/>
  <c r="AC132" i="43"/>
  <c r="AG309" i="43"/>
  <c r="AA347" i="43"/>
  <c r="AI271" i="43"/>
  <c r="AB272" i="43"/>
  <c r="AD299" i="43"/>
  <c r="AE253" i="43"/>
  <c r="AG198" i="43"/>
  <c r="Z102" i="43"/>
  <c r="AG410" i="43"/>
  <c r="Y90" i="43"/>
  <c r="AI232" i="43"/>
  <c r="AE102" i="43"/>
  <c r="AB310" i="43"/>
  <c r="AB87" i="43"/>
  <c r="Y244" i="43"/>
  <c r="AG211" i="43"/>
  <c r="AC148" i="43"/>
  <c r="Z87" i="43"/>
  <c r="AB99" i="43"/>
  <c r="AA90" i="43"/>
  <c r="Y408" i="43"/>
  <c r="AG368" i="43"/>
  <c r="Z329" i="43"/>
  <c r="AC152" i="43"/>
  <c r="AG381" i="43"/>
  <c r="AG298" i="43"/>
  <c r="AC271" i="43"/>
  <c r="AG252" i="43"/>
  <c r="AC360" i="43"/>
  <c r="AF134" i="43"/>
  <c r="AB345" i="43"/>
  <c r="AA357" i="43"/>
  <c r="AB309" i="43"/>
  <c r="Z244" i="43"/>
  <c r="AI254" i="43"/>
  <c r="AI165" i="43"/>
  <c r="AD308" i="43"/>
  <c r="AB167" i="43"/>
  <c r="AF188" i="43"/>
  <c r="AI88" i="43"/>
  <c r="AF380" i="43"/>
  <c r="AH196" i="43"/>
  <c r="AH113" i="43"/>
  <c r="AJ298" i="43"/>
  <c r="AA89" i="43"/>
  <c r="AF297" i="43"/>
  <c r="Z148" i="43"/>
  <c r="Z189" i="43"/>
  <c r="AI251" i="43"/>
  <c r="AF166" i="43"/>
  <c r="AB356" i="43"/>
  <c r="AC169" i="43"/>
  <c r="AG307" i="43"/>
  <c r="AB110" i="43"/>
  <c r="Z113" i="43"/>
  <c r="AB348" i="43"/>
  <c r="AJ99" i="43"/>
  <c r="AE357" i="43"/>
  <c r="AH254" i="43"/>
  <c r="AD345" i="43"/>
  <c r="AA271" i="43"/>
  <c r="AF360" i="43"/>
  <c r="AD207" i="43"/>
  <c r="AC188" i="43"/>
  <c r="AE148" i="43"/>
  <c r="AD148" i="43"/>
  <c r="AA330" i="43"/>
  <c r="AE101" i="43"/>
  <c r="AE232" i="43"/>
  <c r="AE391" i="43"/>
  <c r="AE111" i="43"/>
  <c r="Z347" i="43"/>
  <c r="AC198" i="43"/>
  <c r="AE230" i="43"/>
  <c r="AA199" i="43"/>
  <c r="Z230" i="43"/>
  <c r="Y402" i="43"/>
  <c r="Y169" i="43"/>
  <c r="AD232" i="43"/>
  <c r="AC91" i="43"/>
  <c r="AI101" i="43"/>
  <c r="Y240" i="43"/>
  <c r="AE319" i="43"/>
  <c r="AJ296" i="43"/>
  <c r="AF90" i="43"/>
  <c r="Z122" i="43"/>
  <c r="AG321" i="43"/>
  <c r="Y411" i="43"/>
  <c r="AG270" i="43"/>
  <c r="AH229" i="43"/>
  <c r="AB165" i="43"/>
  <c r="AF89" i="43"/>
  <c r="AB410" i="43"/>
  <c r="AB381" i="43"/>
  <c r="AE329" i="43"/>
  <c r="AB197" i="43"/>
  <c r="AD100" i="43"/>
  <c r="AH112" i="43"/>
  <c r="AG233" i="43"/>
  <c r="AH242" i="43"/>
  <c r="AB273" i="43"/>
  <c r="AH252" i="43"/>
  <c r="Y109" i="43"/>
  <c r="Y124" i="43"/>
  <c r="AB402" i="43"/>
  <c r="AA243" i="43"/>
  <c r="AD307" i="43"/>
  <c r="AC389" i="43"/>
  <c r="AH132" i="43"/>
  <c r="AF299" i="43"/>
  <c r="Z380" i="43"/>
  <c r="Y233" i="43"/>
  <c r="AE393" i="43"/>
  <c r="AE91" i="43"/>
  <c r="AC317" i="43"/>
  <c r="AG196" i="43"/>
  <c r="AC412" i="43"/>
  <c r="AG167" i="43"/>
  <c r="AD359" i="43"/>
  <c r="AD244" i="43"/>
  <c r="AB207" i="43"/>
  <c r="AC168" i="43"/>
  <c r="AG299" i="43"/>
  <c r="AA207" i="43"/>
  <c r="Z273" i="43"/>
  <c r="AE112" i="43"/>
  <c r="AA272" i="43"/>
  <c r="AI272" i="43"/>
  <c r="AG332" i="43"/>
  <c r="O119" i="43"/>
  <c r="AB123" i="43" s="1"/>
  <c r="AA198" i="43"/>
  <c r="AB317" i="43"/>
  <c r="AD272" i="43"/>
  <c r="AD151" i="43"/>
  <c r="AH369" i="43"/>
  <c r="AC101" i="43"/>
  <c r="AI169" i="43"/>
  <c r="AG399" i="43"/>
  <c r="AD251" i="43"/>
  <c r="AH208" i="43"/>
  <c r="AH330" i="43"/>
  <c r="AD296" i="43"/>
  <c r="AD358" i="43"/>
  <c r="AF403" i="43"/>
  <c r="Y317" i="43"/>
  <c r="AC349" i="43"/>
  <c r="AF199" i="43"/>
  <c r="AB360" i="43"/>
  <c r="Y134" i="43"/>
  <c r="Z370" i="43"/>
  <c r="Y412" i="43"/>
  <c r="AE98" i="43"/>
  <c r="AA331" i="43"/>
  <c r="AA169" i="43"/>
  <c r="AH296" i="43"/>
  <c r="AB390" i="43"/>
  <c r="Z270" i="43"/>
  <c r="AD403" i="43"/>
  <c r="AF370" i="43"/>
  <c r="AC149" i="43"/>
  <c r="AI370" i="43"/>
  <c r="AI332" i="43"/>
  <c r="Z357" i="43"/>
  <c r="AH255" i="43"/>
  <c r="AA379" i="43"/>
  <c r="AA113" i="43"/>
  <c r="AA309" i="43"/>
  <c r="AA165" i="43"/>
  <c r="AA210" i="43"/>
  <c r="AC210" i="43"/>
  <c r="AC356" i="43"/>
  <c r="Y255" i="43"/>
  <c r="AA273" i="43"/>
  <c r="AA102" i="43"/>
  <c r="Y110" i="43"/>
  <c r="AB297" i="43"/>
  <c r="AD188" i="43"/>
  <c r="Z346" i="43"/>
  <c r="AF408" i="43"/>
  <c r="AH134" i="43"/>
  <c r="AD109" i="43"/>
  <c r="AE207" i="43"/>
  <c r="AC211" i="43"/>
  <c r="AC136" i="43"/>
  <c r="AF99" i="43"/>
  <c r="AF298" i="43"/>
  <c r="AB134" i="43"/>
  <c r="AB243" i="43"/>
  <c r="AA88" i="43"/>
  <c r="AI198" i="43"/>
  <c r="AC90" i="43"/>
  <c r="AD319" i="43"/>
  <c r="AG255" i="43"/>
  <c r="AD399" i="43"/>
  <c r="AF367" i="43"/>
  <c r="AD402" i="43"/>
  <c r="AE298" i="43"/>
  <c r="AA240" i="43"/>
  <c r="AB359" i="43"/>
  <c r="AB149" i="43"/>
  <c r="AG319" i="43"/>
  <c r="AG112" i="43"/>
  <c r="AE254" i="43"/>
  <c r="Y189" i="43"/>
  <c r="Y229" i="43"/>
  <c r="Y272" i="43"/>
  <c r="AC332" i="43"/>
  <c r="AD167" i="43"/>
  <c r="AJ299" i="43"/>
  <c r="AE136" i="43"/>
  <c r="AF211" i="43"/>
  <c r="AH211" i="43"/>
  <c r="AE358" i="43"/>
  <c r="AF229" i="43"/>
  <c r="AF319" i="43"/>
  <c r="AD410" i="43"/>
  <c r="AH186" i="43"/>
  <c r="AA254" i="43"/>
  <c r="AJ91" i="43"/>
  <c r="AB346" i="43"/>
  <c r="AG320" i="43"/>
  <c r="AC329" i="43"/>
  <c r="AA185" i="43"/>
  <c r="AI166" i="43"/>
  <c r="AC88" i="43"/>
  <c r="Z109" i="43"/>
  <c r="AJ102" i="43"/>
  <c r="AD368" i="43"/>
  <c r="AE165" i="43"/>
  <c r="AH99" i="43"/>
  <c r="AD392" i="43"/>
  <c r="AI132" i="43"/>
  <c r="AD112" i="43"/>
  <c r="AC200" i="43"/>
  <c r="Z295" i="43"/>
  <c r="AF102" i="43"/>
  <c r="AC87" i="43"/>
  <c r="AE166" i="43"/>
  <c r="AD252" i="43"/>
  <c r="AA255" i="43"/>
  <c r="AA408" i="43"/>
  <c r="AC381" i="43"/>
  <c r="Z124" i="43"/>
  <c r="AE399" i="43"/>
  <c r="AI135" i="43"/>
  <c r="AB91" i="43"/>
  <c r="AD150" i="43"/>
  <c r="AA310" i="43"/>
  <c r="Y381" i="43"/>
  <c r="AE317" i="43"/>
  <c r="AI89" i="43"/>
  <c r="Y207" i="43"/>
  <c r="AC185" i="43"/>
  <c r="AC151" i="43"/>
  <c r="Y132" i="43"/>
  <c r="Y369" i="43"/>
  <c r="AC135" i="43"/>
  <c r="AG208" i="43"/>
  <c r="AB88" i="43"/>
  <c r="AC243" i="43"/>
  <c r="AG110" i="43"/>
  <c r="AH169" i="43"/>
  <c r="AE308" i="43"/>
  <c r="AF151" i="43"/>
  <c r="AH308" i="43"/>
  <c r="AB242" i="43"/>
  <c r="Y410" i="43"/>
  <c r="AB306" i="43"/>
  <c r="AA211" i="43"/>
  <c r="AG272" i="43"/>
  <c r="AF306" i="43"/>
  <c r="AC331" i="43"/>
  <c r="AI241" i="43"/>
  <c r="AA317" i="43"/>
  <c r="Y88" i="43"/>
  <c r="AJ89" i="43"/>
  <c r="AG186" i="43"/>
  <c r="AB100" i="43"/>
  <c r="AA132" i="43"/>
  <c r="AB367" i="43"/>
  <c r="AF186" i="43"/>
  <c r="Y393" i="43"/>
  <c r="AF185" i="43"/>
  <c r="AE359" i="43"/>
  <c r="AB399" i="43"/>
  <c r="AI134" i="43"/>
  <c r="Z186" i="43"/>
  <c r="AE251" i="43"/>
  <c r="Y254" i="43"/>
  <c r="AC401" i="43"/>
  <c r="AF310" i="43"/>
  <c r="AH295" i="43"/>
  <c r="AG111" i="43"/>
  <c r="AI310" i="43"/>
  <c r="AA346" i="43"/>
  <c r="AF332" i="43"/>
  <c r="Y273" i="43"/>
  <c r="AD369" i="43"/>
  <c r="Z318" i="43"/>
  <c r="AI150" i="43"/>
  <c r="AB380" i="43"/>
  <c r="AE321" i="43"/>
  <c r="AD165" i="43"/>
  <c r="AD113" i="43"/>
  <c r="Y242" i="43"/>
  <c r="AI295" i="43"/>
  <c r="AC272" i="43"/>
  <c r="AE233" i="43"/>
  <c r="AE320" i="43"/>
  <c r="AC251" i="43"/>
  <c r="AI99" i="43"/>
  <c r="AI270" i="43"/>
  <c r="AJ101" i="43"/>
  <c r="AD198" i="43"/>
  <c r="AA390" i="43"/>
  <c r="AB244" i="43"/>
  <c r="AE90" i="43"/>
  <c r="AA320" i="43"/>
  <c r="AE188" i="43"/>
  <c r="Y270" i="43"/>
  <c r="AF317" i="43"/>
  <c r="Z296" i="43"/>
  <c r="AB408" i="43"/>
  <c r="Z379" i="43"/>
  <c r="AB274" i="43"/>
  <c r="Z367" i="43"/>
  <c r="AG412" i="43"/>
  <c r="Y391" i="43"/>
  <c r="AG209" i="43"/>
  <c r="AH209" i="43"/>
  <c r="AI367" i="43"/>
  <c r="AF91" i="43"/>
  <c r="AI209" i="43"/>
  <c r="AF133" i="43"/>
  <c r="Y383" i="43"/>
  <c r="AA319" i="43"/>
  <c r="AG254" i="43"/>
  <c r="AE87" i="43"/>
  <c r="AA186" i="43"/>
  <c r="AE186" i="43"/>
  <c r="AF274" i="43"/>
  <c r="AH307" i="43"/>
  <c r="AI296" i="43"/>
  <c r="AF359" i="43"/>
  <c r="AG328" i="43"/>
  <c r="Y331" i="43"/>
  <c r="Y348" i="43"/>
  <c r="AB229" i="43"/>
  <c r="AB152" i="43"/>
  <c r="AB409" i="43"/>
  <c r="AF270" i="43"/>
  <c r="AA402" i="43"/>
  <c r="Y133" i="43"/>
  <c r="AA403" i="43"/>
  <c r="AE370" i="43"/>
  <c r="AG100" i="43"/>
  <c r="AA270" i="43"/>
  <c r="AB189" i="43"/>
  <c r="AE380" i="43"/>
  <c r="AE332" i="43"/>
  <c r="AE383" i="43"/>
  <c r="AB255" i="43"/>
  <c r="AF411" i="43"/>
  <c r="AE381" i="43"/>
  <c r="AG166" i="43"/>
  <c r="AA151" i="43"/>
  <c r="AB379" i="43"/>
  <c r="AE243" i="43"/>
  <c r="AA87" i="43"/>
  <c r="Z298" i="43"/>
  <c r="AI149" i="43"/>
  <c r="AE208" i="43"/>
  <c r="Z356" i="43"/>
  <c r="AF169" i="43"/>
  <c r="AI186" i="43"/>
  <c r="Y310" i="43"/>
  <c r="AC393" i="43"/>
  <c r="AA112" i="43"/>
  <c r="AD91" i="43"/>
  <c r="Y371" i="43"/>
  <c r="Y389" i="43"/>
  <c r="AC165" i="43"/>
  <c r="AD356" i="43"/>
  <c r="AA391" i="43"/>
  <c r="AB90" i="43"/>
  <c r="AD111" i="43"/>
  <c r="AB392" i="43"/>
  <c r="AI306" i="43"/>
  <c r="AE199" i="43"/>
  <c r="Y230" i="43"/>
  <c r="AC207" i="43"/>
  <c r="AJ309" i="43"/>
  <c r="AF253" i="43"/>
  <c r="AA167" i="43"/>
  <c r="AC295" i="43"/>
  <c r="Y187" i="43"/>
  <c r="Y309" i="43"/>
  <c r="AI318" i="43"/>
  <c r="AC368" i="43"/>
  <c r="AH232" i="43"/>
  <c r="AD328" i="43"/>
  <c r="AI90" i="43"/>
  <c r="AG295" i="43"/>
  <c r="AG251" i="43"/>
  <c r="AE299" i="43"/>
  <c r="AB98" i="43"/>
  <c r="AD391" i="43"/>
  <c r="AB241" i="43"/>
  <c r="Z149" i="43"/>
  <c r="AC241" i="43"/>
  <c r="Z306" i="43"/>
  <c r="AA134" i="43"/>
  <c r="Z187" i="43"/>
  <c r="AF409" i="43"/>
  <c r="AB254" i="43"/>
  <c r="AB102" i="43"/>
  <c r="AG134" i="43"/>
  <c r="AA209" i="43"/>
  <c r="Z98" i="43"/>
  <c r="AC150" i="43"/>
  <c r="AC98" i="43"/>
  <c r="AF356" i="43"/>
  <c r="AF381" i="43"/>
  <c r="AH328" i="43"/>
  <c r="AC113" i="43"/>
  <c r="AE307" i="43"/>
  <c r="AA401" i="43"/>
  <c r="AE209" i="43"/>
  <c r="AC410" i="43"/>
  <c r="Y102" i="43"/>
  <c r="AA229" i="43"/>
  <c r="AG253" i="43"/>
  <c r="AC252" i="43"/>
  <c r="AB270" i="43"/>
  <c r="AF240" i="43"/>
  <c r="AJ306" i="43"/>
  <c r="AF187" i="43"/>
  <c r="AB411" i="43"/>
  <c r="AE403" i="43"/>
  <c r="AH306" i="43"/>
  <c r="AD168" i="43"/>
  <c r="AI242" i="43"/>
  <c r="AG232" i="43"/>
  <c r="AA242" i="43"/>
  <c r="AE229" i="43"/>
  <c r="AC189" i="43"/>
  <c r="AI317" i="43"/>
  <c r="Z411" i="43"/>
  <c r="AE306" i="43"/>
  <c r="AF148" i="43"/>
  <c r="Y328" i="43"/>
  <c r="AI274" i="43"/>
  <c r="AC347" i="43"/>
  <c r="Z167" i="43"/>
  <c r="AA409" i="43"/>
  <c r="AA232" i="43"/>
  <c r="AE197" i="43"/>
  <c r="AD211" i="43"/>
  <c r="AD243" i="43"/>
  <c r="AF331" i="43"/>
  <c r="AI210" i="43"/>
  <c r="Y151" i="43"/>
  <c r="AI229" i="43"/>
  <c r="AA98" i="43"/>
  <c r="AC380" i="43"/>
  <c r="AC321" i="43"/>
  <c r="AA133" i="43"/>
  <c r="Y198" i="43"/>
  <c r="AD367" i="43"/>
  <c r="AF321" i="43"/>
  <c r="Y197" i="43"/>
  <c r="AD389" i="43"/>
  <c r="AH167" i="43"/>
  <c r="Z101" i="43"/>
  <c r="AD135" i="43"/>
  <c r="Z392" i="43"/>
  <c r="Y379" i="43"/>
  <c r="AF87" i="43"/>
  <c r="AB231" i="43"/>
  <c r="AE346" i="43"/>
  <c r="AH253" i="43"/>
  <c r="Z402" i="43"/>
  <c r="AB198" i="43"/>
  <c r="AE273" i="43"/>
  <c r="Z168" i="43"/>
  <c r="AB320" i="43"/>
  <c r="AF392" i="43"/>
  <c r="Z308" i="43"/>
  <c r="AH320" i="43"/>
  <c r="AB89" i="43"/>
  <c r="AC319" i="43"/>
  <c r="AA100" i="43"/>
  <c r="AC254" i="43"/>
  <c r="AF382" i="43"/>
  <c r="Y400" i="43"/>
  <c r="AD169" i="43"/>
  <c r="AH310" i="43"/>
  <c r="AF295" i="43"/>
  <c r="AA383" i="43"/>
  <c r="Y370" i="43"/>
  <c r="AI98" i="43"/>
  <c r="AF242" i="43"/>
  <c r="AC403" i="43"/>
  <c r="AB151" i="43"/>
  <c r="AG90" i="43"/>
  <c r="AD411" i="43"/>
  <c r="AE231" i="43"/>
  <c r="AE240" i="43"/>
  <c r="AD101" i="43"/>
  <c r="Z134" i="43"/>
  <c r="AF347" i="43"/>
  <c r="AI328" i="43"/>
  <c r="Y399" i="43"/>
  <c r="AE318" i="43"/>
  <c r="AC309" i="43"/>
  <c r="AH188" i="43"/>
  <c r="Y98" i="43"/>
  <c r="AC359" i="43"/>
  <c r="AB298" i="43"/>
  <c r="AF110" i="43"/>
  <c r="G8" i="43"/>
  <c r="AB120" i="43" l="1"/>
  <c r="G14" i="43"/>
  <c r="E14" i="43" s="1"/>
  <c r="X379" i="43"/>
  <c r="X230" i="43"/>
  <c r="X399" i="43"/>
  <c r="AB121" i="43"/>
  <c r="X121" i="43" s="1"/>
  <c r="AB122" i="43"/>
  <c r="X122" i="43" s="1"/>
  <c r="M62" i="43" s="1"/>
  <c r="X98" i="43"/>
  <c r="AB124" i="43"/>
  <c r="X124" i="43" s="1"/>
  <c r="X309" i="43"/>
  <c r="X389" i="43"/>
  <c r="X133" i="43"/>
  <c r="X242" i="43"/>
  <c r="X273" i="43"/>
  <c r="X381" i="43"/>
  <c r="X123" i="43"/>
  <c r="X346" i="43"/>
  <c r="X403" i="43"/>
  <c r="X368" i="43"/>
  <c r="X134" i="43"/>
  <c r="X320" i="43"/>
  <c r="X168" i="43"/>
  <c r="X91" i="43"/>
  <c r="X271" i="43"/>
  <c r="X359" i="43"/>
  <c r="X200" i="43"/>
  <c r="X198" i="43"/>
  <c r="X187" i="43"/>
  <c r="X371" i="43"/>
  <c r="X310" i="43"/>
  <c r="X391" i="43"/>
  <c r="X270" i="43"/>
  <c r="X369" i="43"/>
  <c r="M72" i="43" s="1"/>
  <c r="I19" i="43" s="1"/>
  <c r="X207" i="43"/>
  <c r="X189" i="43"/>
  <c r="X255" i="43"/>
  <c r="X233" i="43"/>
  <c r="X411" i="43"/>
  <c r="X111" i="43"/>
  <c r="X232" i="43"/>
  <c r="X298" i="43"/>
  <c r="X150" i="43"/>
  <c r="X318" i="43"/>
  <c r="X135" i="43"/>
  <c r="X148" i="43"/>
  <c r="X409" i="43"/>
  <c r="X152" i="43"/>
  <c r="X308" i="43"/>
  <c r="X358" i="43"/>
  <c r="X167" i="43"/>
  <c r="X253" i="43"/>
  <c r="X330" i="43"/>
  <c r="M69" i="43" s="1"/>
  <c r="X113" i="43"/>
  <c r="X186" i="43"/>
  <c r="X166" i="43"/>
  <c r="X357" i="43"/>
  <c r="X243" i="43"/>
  <c r="X392" i="43"/>
  <c r="X101" i="43"/>
  <c r="X274" i="43"/>
  <c r="X390" i="43"/>
  <c r="X360" i="43"/>
  <c r="X402" i="43"/>
  <c r="X208" i="43"/>
  <c r="X329" i="43"/>
  <c r="X295" i="43"/>
  <c r="X209" i="43"/>
  <c r="X89" i="43"/>
  <c r="M59" i="43" s="1"/>
  <c r="I11" i="43" s="1"/>
  <c r="X197" i="43"/>
  <c r="X348" i="43"/>
  <c r="X383" i="43"/>
  <c r="X88" i="43"/>
  <c r="X410" i="43"/>
  <c r="X132" i="43"/>
  <c r="X110" i="43"/>
  <c r="X412" i="43"/>
  <c r="X109" i="43"/>
  <c r="X244" i="43"/>
  <c r="X296" i="43"/>
  <c r="X307" i="43"/>
  <c r="X211" i="43"/>
  <c r="X252" i="43"/>
  <c r="X87" i="43"/>
  <c r="X112" i="43"/>
  <c r="X319" i="43"/>
  <c r="M67" i="43" s="1"/>
  <c r="X99" i="43"/>
  <c r="X367" i="43"/>
  <c r="X332" i="43"/>
  <c r="X382" i="43"/>
  <c r="X149" i="43"/>
  <c r="X165" i="43"/>
  <c r="X231" i="43"/>
  <c r="X299" i="43"/>
  <c r="X210" i="43"/>
  <c r="X347" i="43"/>
  <c r="M71" i="43" s="1"/>
  <c r="X254" i="43"/>
  <c r="X229" i="43"/>
  <c r="X317" i="43"/>
  <c r="X408" i="43"/>
  <c r="X251" i="43"/>
  <c r="X345" i="43"/>
  <c r="X370" i="43"/>
  <c r="X400" i="43"/>
  <c r="X328" i="43"/>
  <c r="K4" i="43"/>
  <c r="X120" i="43"/>
  <c r="X151" i="43"/>
  <c r="X102" i="43"/>
  <c r="X331" i="43"/>
  <c r="X393" i="43"/>
  <c r="X272" i="43"/>
  <c r="X240" i="43"/>
  <c r="X169" i="43"/>
  <c r="X90" i="43"/>
  <c r="X349" i="43"/>
  <c r="X136" i="43"/>
  <c r="X356" i="43"/>
  <c r="X401" i="43"/>
  <c r="X199" i="43"/>
  <c r="X185" i="43"/>
  <c r="X321" i="43"/>
  <c r="X188" i="43"/>
  <c r="X241" i="43"/>
  <c r="X196" i="43"/>
  <c r="X100" i="43"/>
  <c r="X380" i="43"/>
  <c r="X297" i="43"/>
  <c r="X306" i="43"/>
  <c r="E18" i="43" l="1"/>
  <c r="G18" i="43" s="1"/>
  <c r="E15" i="43"/>
  <c r="F15" i="43" s="1"/>
  <c r="G15" i="43" s="1"/>
  <c r="F14" i="43"/>
  <c r="E19" i="43"/>
  <c r="G19" i="43" s="1"/>
  <c r="F23" i="43"/>
  <c r="G23" i="43" s="1"/>
  <c r="D23" i="43"/>
  <c r="D22" i="43"/>
  <c r="D29" i="43"/>
  <c r="E29" i="43"/>
  <c r="L67" i="43"/>
  <c r="H15" i="43"/>
  <c r="I15" i="43"/>
  <c r="E30" i="43"/>
  <c r="G30" i="43" s="1"/>
  <c r="L69" i="43"/>
  <c r="D30" i="43"/>
  <c r="E20" i="43"/>
  <c r="D20" i="43"/>
  <c r="D12" i="43"/>
  <c r="E12" i="43"/>
  <c r="E16" i="43" l="1"/>
  <c r="E11" i="43"/>
  <c r="G12" i="43"/>
  <c r="G11" i="43" s="1"/>
  <c r="F20" i="43"/>
  <c r="G20" i="43" s="1"/>
  <c r="E32" i="43"/>
  <c r="G32" i="43" s="1"/>
  <c r="E21" i="43"/>
  <c r="F22" i="43"/>
  <c r="F21" i="43" s="1"/>
  <c r="G29" i="43"/>
  <c r="G22" i="43" l="1"/>
  <c r="G21" i="43" s="1"/>
  <c r="F16" i="43"/>
  <c r="F13" i="43" s="1"/>
  <c r="E13" i="43"/>
  <c r="G16" i="43" l="1"/>
  <c r="J13" i="43" s="1"/>
  <c r="G13" i="43" l="1"/>
  <c r="G37" i="43" l="1"/>
  <c r="G36" i="43" l="1"/>
  <c r="L57" i="43" l="1"/>
  <c r="Y81" i="43" s="1"/>
  <c r="AD417" i="43" s="1"/>
  <c r="Y417" i="43"/>
  <c r="Z417" i="43"/>
  <c r="AA417" i="43"/>
  <c r="AF417" i="43"/>
  <c r="Z424" i="43"/>
  <c r="AC424" i="43"/>
  <c r="AE424" i="43"/>
  <c r="AB423" i="43"/>
  <c r="AC417" i="43"/>
  <c r="AF423" i="43"/>
  <c r="AG417" i="43"/>
  <c r="AH417" i="43"/>
  <c r="AI417" i="43"/>
  <c r="Y423" i="43"/>
  <c r="Z423" i="43"/>
  <c r="AA423" i="43"/>
  <c r="AC423" i="43"/>
  <c r="AD423" i="43"/>
  <c r="AE423" i="43"/>
  <c r="AB417" i="43"/>
  <c r="AA424" i="43"/>
  <c r="AF424" i="43"/>
  <c r="AD424" i="43"/>
  <c r="Y424" i="43" l="1"/>
  <c r="AE417" i="43"/>
  <c r="AB424" i="43"/>
  <c r="X424" i="43"/>
  <c r="M77" i="43" s="1"/>
  <c r="X417" i="43"/>
  <c r="M74" i="43" s="1"/>
  <c r="D27" i="43" s="1"/>
  <c r="X423" i="43"/>
  <c r="M76" i="43" s="1"/>
  <c r="E27" i="43" l="1"/>
  <c r="G27" i="43" s="1"/>
  <c r="G26" i="43" s="1"/>
  <c r="H33" i="43" l="1"/>
  <c r="G35" i="43"/>
  <c r="E35" i="43" l="1"/>
  <c r="F35" i="43" s="1"/>
  <c r="K34" i="43"/>
  <c r="H34" i="43"/>
  <c r="H35" i="43"/>
  <c r="D28" i="43" l="1"/>
  <c r="E31" i="43" l="1"/>
  <c r="D31" i="43"/>
  <c r="F31" i="43" l="1"/>
  <c r="F26" i="43" s="1"/>
  <c r="E26" i="43"/>
  <c r="G31" i="43" l="1"/>
</calcChain>
</file>

<file path=xl/sharedStrings.xml><?xml version="1.0" encoding="utf-8"?>
<sst xmlns="http://schemas.openxmlformats.org/spreadsheetml/2006/main" count="15972" uniqueCount="1422">
  <si>
    <t>CỘNG HÒA XÃ HỘI CHỦ NGHĨA VIỆT NAM</t>
  </si>
  <si>
    <t>CÔNG TRÌNH: NÂNG CẤP, CẢI TẠO TUYẾN ĐƯỜNG HUYỆN ĐH.93
ĐOẠN TỪ ĐƯỜNG ĐH.91 ĐẾN UBND XÃ THIỆN TÂN</t>
  </si>
  <si>
    <t>ĐƠN VỊ LẬP</t>
  </si>
  <si>
    <t>GIÁM ĐỐC</t>
  </si>
  <si>
    <t>Đơn vị tính: đồng</t>
  </si>
  <si>
    <t>STT</t>
  </si>
  <si>
    <t>KHOẢN MỤC CHI PHÍ</t>
  </si>
  <si>
    <t>KÝ HIỆU</t>
  </si>
  <si>
    <t>DIỄN GIẢI</t>
  </si>
  <si>
    <t>CHI PHÍ TRƯỚC THUẾ</t>
  </si>
  <si>
    <t>THUẾ GTGT</t>
  </si>
  <si>
    <t>CHI PHÍ SAU THUẾ</t>
  </si>
  <si>
    <t>I</t>
  </si>
  <si>
    <t>1+2</t>
  </si>
  <si>
    <t>1</t>
  </si>
  <si>
    <t>Tạm tính</t>
  </si>
  <si>
    <t>2</t>
  </si>
  <si>
    <t>II</t>
  </si>
  <si>
    <t>CHI PHÍ XÂY DỰNG</t>
  </si>
  <si>
    <t>Gxd</t>
  </si>
  <si>
    <t>(TMDT-Gdp)</t>
  </si>
  <si>
    <t>Gxd1</t>
  </si>
  <si>
    <t>Có bảng tính</t>
  </si>
  <si>
    <t>Gxd2</t>
  </si>
  <si>
    <t>III</t>
  </si>
  <si>
    <t>CHI PHÍ QUẢN LÝ DỰ ÁN</t>
  </si>
  <si>
    <t>Gqlda</t>
  </si>
  <si>
    <t>TMDT</t>
  </si>
  <si>
    <t>Chi phí ban QLDA</t>
  </si>
  <si>
    <t>Gqlda1</t>
  </si>
  <si>
    <t>IV</t>
  </si>
  <si>
    <t>CHI PHÍ TƯ VẤN ĐẦU TƯ XÂY DỰNG</t>
  </si>
  <si>
    <t>Gtv</t>
  </si>
  <si>
    <t>1+..+7</t>
  </si>
  <si>
    <t>*</t>
  </si>
  <si>
    <t>Chi phí khảo sát xây dựng công trình</t>
  </si>
  <si>
    <t>Gtv1</t>
  </si>
  <si>
    <t>%</t>
  </si>
  <si>
    <t>Chi phí lập nhiệm vụ khảo sát</t>
  </si>
  <si>
    <t>Gtv2</t>
  </si>
  <si>
    <t>3</t>
  </si>
  <si>
    <t>Chi phí lập Báo cáo kinh tế - kỹ thuật (Hạng mục mặt đường BTXM)</t>
  </si>
  <si>
    <t>Gtv3</t>
  </si>
  <si>
    <t>4</t>
  </si>
  <si>
    <t>Chi phí lập nhiệm vụ khảo sát xây dựng</t>
  </si>
  <si>
    <t>Gtv5</t>
  </si>
  <si>
    <t>5</t>
  </si>
  <si>
    <t>Chi phí giám sát khảo sát</t>
  </si>
  <si>
    <t>Gtv6</t>
  </si>
  <si>
    <t>Gks</t>
  </si>
  <si>
    <t>6</t>
  </si>
  <si>
    <t>Chi phí giám sát thi công xây dựng</t>
  </si>
  <si>
    <t>Gtv7</t>
  </si>
  <si>
    <t>7</t>
  </si>
  <si>
    <t>Chi phí lựa chọn nhà thầu thi công xây dựng</t>
  </si>
  <si>
    <t>5.1+..+5.4</t>
  </si>
  <si>
    <t>Chi phí lập hồ sơ mời thầu</t>
  </si>
  <si>
    <t>Gtv8</t>
  </si>
  <si>
    <t>Chi phí đánh giá hồ sơ dự thầu</t>
  </si>
  <si>
    <t>Gtv9</t>
  </si>
  <si>
    <t>Chi phí thẩm định hồ sơ dự thầu</t>
  </si>
  <si>
    <t>Gk5</t>
  </si>
  <si>
    <t>Chi phí thẩm định kết quả lựa chọn nhà thầu</t>
  </si>
  <si>
    <t>Gk6</t>
  </si>
  <si>
    <t>V</t>
  </si>
  <si>
    <t>CHI PHÍ KHÁC</t>
  </si>
  <si>
    <t>Gk</t>
  </si>
  <si>
    <t>1+…+5</t>
  </si>
  <si>
    <t>Phí thẩm định dự án đầu tư xây dựng</t>
  </si>
  <si>
    <t>Gk1</t>
  </si>
  <si>
    <t>Chi phí thẩm tra phê duyệt quyết toán vốn đầu tư (Nghị định 99/2021/NĐ-CP)</t>
  </si>
  <si>
    <t>Gk2</t>
  </si>
  <si>
    <t>Chi phí thẩm định thiết kế   (Thông tư 12/2021/TT-BXD)</t>
  </si>
  <si>
    <t>Gk3</t>
  </si>
  <si>
    <t>Chi phí thẩm định dự toán   (Thông tư 12/2021/TT-BXD)</t>
  </si>
  <si>
    <t>Gk4</t>
  </si>
  <si>
    <t>Chi phí kiểm toán (TT10/2020-BTC)</t>
  </si>
  <si>
    <t>Gk7</t>
  </si>
  <si>
    <t>Chi phí kiểm tra công tác nghiệm thu bàn giao</t>
  </si>
  <si>
    <t>Gk8</t>
  </si>
  <si>
    <t>Ggs*20%</t>
  </si>
  <si>
    <t>Chi phí trích đo rải thửa</t>
  </si>
  <si>
    <t>Chi phí bảo vệ môi trường</t>
  </si>
  <si>
    <t>CHI PHÍ DỰ PHÒNG</t>
  </si>
  <si>
    <t>Gdp</t>
  </si>
  <si>
    <t>TỔNG CỘNG</t>
  </si>
  <si>
    <t>TỔNG CỘNG (LÀM TRÒN)</t>
  </si>
  <si>
    <t>THÔNG TIN DỰ ÁN</t>
  </si>
  <si>
    <t>LOẠI CÔNG TRÌNH</t>
  </si>
  <si>
    <t>Công trình giao thông</t>
  </si>
  <si>
    <t>Giá trị</t>
  </si>
  <si>
    <t>CẤP CÔNG TRÌNH</t>
  </si>
  <si>
    <t>Cấp IV</t>
  </si>
  <si>
    <t>SỐ BƯỚC THIẾT KẾ</t>
  </si>
  <si>
    <t>1 Bước</t>
  </si>
  <si>
    <t>HÌNH THỨC THẨM TRA</t>
  </si>
  <si>
    <t>Thuê tư vấn thẩm tra</t>
  </si>
  <si>
    <t>Loại Công trình</t>
  </si>
  <si>
    <t>HÌNH THỨC LỰA CHỌN NHÀ THẦU</t>
  </si>
  <si>
    <t>Tư vấn thực hiện</t>
  </si>
  <si>
    <t>Công trình dân dụng</t>
  </si>
  <si>
    <t>Giá trị xây lắp trước thuế</t>
  </si>
  <si>
    <t>đồng</t>
  </si>
  <si>
    <t>Công trình công nghiệp</t>
  </si>
  <si>
    <t>Giá trị tổng dự toán, tổng mức đầu tư</t>
  </si>
  <si>
    <t>Quyết định số 79/QĐ-BXD ngày 15/2/2017 của Bộ xây dựng thay thế QĐ957/QĐ-BXD</t>
  </si>
  <si>
    <t>Công trình nông nghiệp và phát triển nông thôn</t>
  </si>
  <si>
    <t>Chi phí QLDA</t>
  </si>
  <si>
    <t>Công trình hạ tầng kỹ thuật</t>
  </si>
  <si>
    <t>Chi phí lập Báo cáo nghiên cứu tiền khả thi</t>
  </si>
  <si>
    <t>Cấp công trình</t>
  </si>
  <si>
    <t>Chi phí lập Báo cáo nghiên cứu khả thi</t>
  </si>
  <si>
    <t>Cấp đặc biệt</t>
  </si>
  <si>
    <t>Cấp I</t>
  </si>
  <si>
    <t>Chi phí thiết kế kỹ thuật (3 bước)</t>
  </si>
  <si>
    <t>Cấp II</t>
  </si>
  <si>
    <t>Chi phí thiết kế bản vẽ thi công (2 bước)</t>
  </si>
  <si>
    <t>Cấp III</t>
  </si>
  <si>
    <t>Chi phí thẩm tra báo cáo nghiên cứu tiền khả thi</t>
  </si>
  <si>
    <t>Chi phí thẩm tra báo cáo nghiên cứu khả thi</t>
  </si>
  <si>
    <t>Số bước thiết kế</t>
  </si>
  <si>
    <t>Chi phí thẩm tra thiết kế kỹ thuật</t>
  </si>
  <si>
    <t>2 Bước</t>
  </si>
  <si>
    <t>Chi phí thẩm tra dự toán</t>
  </si>
  <si>
    <t>3 Bước</t>
  </si>
  <si>
    <t>Hình thức thẩm tra</t>
  </si>
  <si>
    <t>Chi phí lập hồ sơ mời thầu, đánh giá hồ sơ dự thầu thi công xây dựng</t>
  </si>
  <si>
    <t>Chủ đầu tư tự thẩm tra</t>
  </si>
  <si>
    <t>Thông tư số 209/2016/TT-BTC ngày 10/11/2016 của Bộ Tài chính</t>
  </si>
  <si>
    <t>Chủ đầu tư cùng tư vấn thẩm tra</t>
  </si>
  <si>
    <t>Lệ phí thẩm định dự án ĐTXD</t>
  </si>
  <si>
    <t>Vốn khác (không phải vốn ngân sách)</t>
  </si>
  <si>
    <t>Thông tư 09/2016/TT-BTC ngày 18/1/2016 của Bộ Tài Chính</t>
  </si>
  <si>
    <t>Hình thức lựa chọn nhà thầu</t>
  </si>
  <si>
    <t>Chi phí thẩm tra, phê duyệt quyết toán</t>
  </si>
  <si>
    <t>Chủ đầu tư thực hiện</t>
  </si>
  <si>
    <t>Chi phí kiểm toán độc lập</t>
  </si>
  <si>
    <t>BẢNG NỘI SUY ĐMTL THEO QUYẾT ĐỊNH SỐ 79/QĐ-BXD NGÀY 15/2/2017 CỦA BỘ XÂY DỰNG</t>
  </si>
  <si>
    <t>TMDT (tỷ đồng)</t>
  </si>
  <si>
    <t>Gxdtt (tỷ đồng)</t>
  </si>
  <si>
    <t>Bảng số 1: Định mức chi phí quản lý dự án</t>
  </si>
  <si>
    <t>Đơn vị tính: Tỷ lệ %</t>
  </si>
  <si>
    <t>TT</t>
  </si>
  <si>
    <t>Loại công trình</t>
  </si>
  <si>
    <t>Chi phí xây dựng và chi phí thiết bị (chưa có thuế GTGT) (tỷ đồng)</t>
  </si>
  <si>
    <t>ĐM chi phí</t>
  </si>
  <si>
    <t>10-20</t>
  </si>
  <si>
    <t>20-50</t>
  </si>
  <si>
    <t>50-100</t>
  </si>
  <si>
    <t>100-200</t>
  </si>
  <si>
    <t>200-500</t>
  </si>
  <si>
    <t>500-1000</t>
  </si>
  <si>
    <t>1000-2000</t>
  </si>
  <si>
    <t>2000-5000</t>
  </si>
  <si>
    <t>5000-10000</t>
  </si>
  <si>
    <t>10000-20000</t>
  </si>
  <si>
    <t>20000-30000</t>
  </si>
  <si>
    <t>Bảng số 2: Định mức chi phí lập báo cáo nghiên cứu tiền khả thi</t>
  </si>
  <si>
    <t>Chi phí xây dựng và thiết bị (chưa có thuế GTGT) trong tổng mức đầu tư được duyệt (tỷ đồng)</t>
  </si>
  <si>
    <t>15-20</t>
  </si>
  <si>
    <t>Bảng số 3: Định mức chi phí lập báo cáo nghiên cứu khả thi</t>
  </si>
  <si>
    <t>Chi phí xây dựng và thiết bị (chưa có thuế GTGT) (tỷ đồng)</t>
  </si>
  <si>
    <t>Bảng số 4: Định mức chi phí lập báo cáo kinh tế - kỹ thuật</t>
  </si>
  <si>
    <t>1- &lt;=3</t>
  </si>
  <si>
    <t>3- &lt;=7</t>
  </si>
  <si>
    <t>7- &lt;=15</t>
  </si>
  <si>
    <t xml:space="preserve">Lưu ý khi áp dụng định mức chi phỉ lập báo cáo kinh tế - kỹ thuật: Chi phí lập báo cáo kinh tế - kỹ thuật xác định theo định mức nhưng tối thiểu không nhỏ hơn 5.000.000 đồng. </t>
  </si>
  <si>
    <t>Bảng số 5: Định mức chi phí thiết kế kỹ thuật của công trình dân dụng có yêu cầu thiết kế 3 bước</t>
  </si>
  <si>
    <t>Chi phí xây dựng (chưa có thuế GTGT) trong dự toán công trình được duyệt (tỷ đồng)</t>
  </si>
  <si>
    <t>5000-8000</t>
  </si>
  <si>
    <t>8000-10000</t>
  </si>
  <si>
    <t>Bảng DD1</t>
  </si>
  <si>
    <t>Chi phí thiết bị (tỷ đồng)</t>
  </si>
  <si>
    <t>Tỷ lệ %</t>
  </si>
  <si>
    <t>Bảng số 6: Định mức chi phí thiết kế bản vẽ thi công của công trình dân dụng có yêu cầu thiết kế 2 bước</t>
  </si>
  <si>
    <t>Bảng CN1</t>
  </si>
  <si>
    <t>Cấp điện áp/ CP XD và TB (tỷ đồng)</t>
  </si>
  <si>
    <t>Cáp ngầm điện áp &lt; ỐKV</t>
  </si>
  <si>
    <t>Cấp ngầm điện áp 6 4* 110KV</t>
  </si>
  <si>
    <t>Cáp ngầm điện áp 220KV</t>
  </si>
  <si>
    <t>Bảng số 7: Định mức chi phí thiết kế kỹ thuật của công trình công nghiệp có yêu cầu thiết kế 3 bước</t>
  </si>
  <si>
    <t>Bảng CN2</t>
  </si>
  <si>
    <t>Công trình</t>
  </si>
  <si>
    <t>Công trình hoá chất</t>
  </si>
  <si>
    <t>Công trình khai thác than, quặng (mỏ vật liệu):</t>
  </si>
  <si>
    <t>- Mỏ lộ thiên</t>
  </si>
  <si>
    <t>- Mỏ hầm lò</t>
  </si>
  <si>
    <t>Công trình trạm biến áp</t>
  </si>
  <si>
    <t>Bảng số 8: Định mức chi phí thiết kế bản vẽ thi công của công trình công nghiệp có yêu cầu thiết kế 2 bước</t>
  </si>
  <si>
    <t>Bảng số 9: Định mức chi phí thiết kế kỹ thuật của công trình giao thông có yêu cầu thiết kế 3 bước</t>
  </si>
  <si>
    <t>Bảng số 10: Định mức chi phí thiết kế bản vẽ thi công của công trình giao thông có yêu cầu thiết kế 2 bước</t>
  </si>
  <si>
    <t>Bảng TL1</t>
  </si>
  <si>
    <t>Chi phí thiết bị (chưa có thuế GTGT) (tỷ đồng)</t>
  </si>
  <si>
    <t>Cấp đặc biệt và cấp I</t>
  </si>
  <si>
    <t>cấp II, cấp III và cấp IV</t>
  </si>
  <si>
    <t>&lt;2</t>
  </si>
  <si>
    <t>Bảng số 11: Định mức chi phí thiết kế kỹ thuật của Công trình nông nghiệp và phát triển nông thôn có yêu cầu thiết kế 3 bước</t>
  </si>
  <si>
    <t>Bảng số 12: Định mức chi phí thiết kế bản vẽ thi công của Công trình nông nghiệp và phát triển nông thôn có yêu cầu thiết kế 2 bước</t>
  </si>
  <si>
    <t>Bảng số 13: Định mức chi phí thiết kế kỹ thuật của công trình hạ tầng kỹ thuật có yêu cầu thiết kế 3 bước</t>
  </si>
  <si>
    <t>Bảng HTKT1:</t>
  </si>
  <si>
    <t>Công trinh cáp chôn trực tiếp</t>
  </si>
  <si>
    <t>Công trình tuyến cáp chôn qua sông</t>
  </si>
  <si>
    <t>Công trình hào kỹ thuật, cống cáp</t>
  </si>
  <si>
    <t>Bảng số 14: Định mức chi phí thiết kế bản vẽ thi công của công trình hạ tầng kỹ thuật có yêu cầu thiết kế 2 bước</t>
  </si>
  <si>
    <t>Bảng HTKT2:</t>
  </si>
  <si>
    <t>Cống trình</t>
  </si>
  <si>
    <t>Các loại tổng đài host, vệ tinh, độc lập</t>
  </si>
  <si>
    <t>Các loại tổng đài MSC, BSC, truy nhập thuê bao, nhắn tin</t>
  </si>
  <si>
    <t>Hệ thống thiết bị truyền dẫn quang</t>
  </si>
  <si>
    <t>Hệ thống truyền dẫn vi ba</t>
  </si>
  <si>
    <t>Mạng viễn thông nông thôn</t>
  </si>
  <si>
    <t>Mạng Internet, Voip, thiết bị mạng NGN</t>
  </si>
  <si>
    <t>Hệ thống tiếp đất chống sét (cả thiết bị)</t>
  </si>
  <si>
    <t>Trạm thông tin vệ tinh Vsat</t>
  </si>
  <si>
    <t>Trạm BTS, CS, điện thoại thè</t>
  </si>
  <si>
    <t>Bảng số 15: Định mức chi phí thẩm tra báo cáo nghiên cứu tiền khả thi</t>
  </si>
  <si>
    <t>Công trình hạ tầng</t>
  </si>
  <si>
    <t>Bảng số 16: Định mức chi phí thẩm tra báo cáo nghiên cứu khả thi</t>
  </si>
  <si>
    <t>Bảng số 17: Định mức chi phí thẩm tra thiết kế xây dựng (Tối thiểu không nhỏ hơn 2 triệu)</t>
  </si>
  <si>
    <t>Chi phí xây dựng (chưa có thuế GTGT) trong dự toán công trình hoặc dự toán gói thầu được duyệt (tỷ đồng)</t>
  </si>
  <si>
    <t>Công trình hạ tầng kỹ</t>
  </si>
  <si>
    <t>Bảng số 18: Định mức chi phí thẩm tra dự toán công trình (Tối thiểu không nhỏ hơn 2 triệu)</t>
  </si>
  <si>
    <t>Bảng số 19: Định mức chi phí lập hồ sơ mời thầu, đánh giá hồ sơ dự thầu tư vấn</t>
  </si>
  <si>
    <t>Chi phí tư vấn (Chưa có thuế GTGT) của giá gói thầu tư vấn được duyệt (tỷ đồng)</t>
  </si>
  <si>
    <t>Bảng số 20: Định mức chi phí lập hồ sơ mời thầu, đánh giá hồ sơ dự thầu thi công xây dựng</t>
  </si>
  <si>
    <t>Chi phí xây dựng (chưa có thuế GTGT) trong dự toán gói thầu được duyệt (tỷ đồng)</t>
  </si>
  <si>
    <t>Bảng số 21: Định mức chi phí lập hồ sơ mời thầu, đánh giá hồ sơ dự thầu mua sắm vật tư, thiết bị</t>
  </si>
  <si>
    <t>Chi phí thiết bị (chưa có thuế GTGT) trong dự toán gói thầu được duyệt (tỷ đồng)</t>
  </si>
  <si>
    <t>Bảng sô 22: Định mức chi phí giám sát thi công xây dựng</t>
  </si>
  <si>
    <t>Chi phí xây dựng (chưa có thuế GTGT) của giá gói thầu thi công xây dựng được duyệt (tỷ đồng)</t>
  </si>
  <si>
    <t>Theo thông tư 210/2016/TT-BTC: Quy định mức thu, chế độ thu, nộp, quản lý và sử dụng phí thẩm định thiết kế kỹ thuật, thẩm định dự toán xây dựng (Tỷ lê: %)</t>
  </si>
  <si>
    <t>TH: Phí thẩm định thiết kế kỹ thuật, phí thẩm định dự toán xây dựng khi cơ quan nhà nước tự thẩm định Theo thông tư 210/2016/TT-BTC</t>
  </si>
  <si>
    <t>1. Phí thẩm định thiết kế kỹ thuật  Theo thông tư 210/2016/TT-BTC</t>
  </si>
  <si>
    <t>15-50</t>
  </si>
  <si>
    <t>2. Phí thẩm định dự toán xây dựng Theo thông tư 210/2016/TT-BTC: Quy định mức thu, chế độ thu, quản lý (Tỷ lê: %)</t>
  </si>
  <si>
    <t>TH: Phí thẩm định thiết kế kỹ thuật, phí thẩm định dự toán xây dựng khi cơ quan chuyên môn về xây dựng mời tổ chức tư vấn, cá nhân cùng thẩm định Theo thông tư 210/2016/TT-BTC</t>
  </si>
  <si>
    <t>1. Phí thẩm định thiết kế kỹ thuật Theo thông tư 210/2016/TT-BTC</t>
  </si>
  <si>
    <t>2. Phí thẩm định dự toán xây dựng Theo thông tư 210/2016/TT-BTC</t>
  </si>
  <si>
    <t>Số: 209/2016/TT-BTC: QUY ĐỊNH MỨC THU, CHẾ ĐỘ THU, NỘP, QUẢN LÝ VÀ SỬ DỤNG PHÍ THẨM ĐỊNH DỰ ÁN ĐẦU TƯ XÂY DỰNG, PHÍ THẨM ĐỊNH THIẾT KẾ CƠ SỞ</t>
  </si>
  <si>
    <t>Tổng mức đầu tư dự án (tỷ đồng)</t>
  </si>
  <si>
    <t>15-25</t>
  </si>
  <si>
    <t>25-50</t>
  </si>
  <si>
    <t>&gt;10000</t>
  </si>
  <si>
    <t>Thông tư số 09/2016/TT-BTC ngày 18/1/2016 của Bộ Tài chính: Chi phí thẩm tra, phê duyệt quyết toán; chi phí kiểm toán độc lập</t>
  </si>
  <si>
    <t>Tổng mức đầu tư (Tỷ đồng)</t>
  </si>
  <si>
    <t>5-10</t>
  </si>
  <si>
    <t>10-50</t>
  </si>
  <si>
    <t>100-500</t>
  </si>
  <si>
    <t>1000-10000</t>
  </si>
  <si>
    <t>=&gt;10000</t>
  </si>
  <si>
    <t>Thẩm tra, phê duyệt (%)</t>
  </si>
  <si>
    <t>Kiểm toán (%)</t>
  </si>
  <si>
    <t>BẢNG TỔNG HỢP KINH PHÍ HẠNG MỤC</t>
  </si>
  <si>
    <t>CÔNG TRÌNH: NÂNG CẤP, CẢI TẠO TUYẾN ĐƯỜNG HUYỆN ĐH.93_x000D_
ĐOẠN TỪ ĐƯỜNG ĐH.91 ĐẾN UBND XÃ THIỆN TÂN</t>
  </si>
  <si>
    <t>CÔNG TRÌNH: NÂNG CẤP, CẢI TẠO TUYẾN ĐƯỜNG HUYỆN ĐH.93_x000D_
TỪ KM13+200 ĐẾN KM16+200, HUYỆN HỮU LŨNG</t>
  </si>
  <si>
    <t>HẠNG MỤC: ﻿XÂY LẮP</t>
  </si>
  <si>
    <t>Khoản mục chi phí</t>
  </si>
  <si>
    <t>Ký hiệu</t>
  </si>
  <si>
    <t>Cách tính</t>
  </si>
  <si>
    <t>HM mặt đường BTXM</t>
  </si>
  <si>
    <t>HM nền, mặt đường láng nhựa, CTTN</t>
  </si>
  <si>
    <t>Thành tiền</t>
  </si>
  <si>
    <t>Vật liệu</t>
  </si>
  <si>
    <t>VL</t>
  </si>
  <si>
    <t>Theo bảng tiên lượng</t>
  </si>
  <si>
    <t>Nhân công</t>
  </si>
  <si>
    <t>NC</t>
  </si>
  <si>
    <t>Máy thi công</t>
  </si>
  <si>
    <t>M</t>
  </si>
  <si>
    <t>CHI PHÍ TRỰC TIẾP</t>
  </si>
  <si>
    <t>T</t>
  </si>
  <si>
    <t>VL + NC + M</t>
  </si>
  <si>
    <t>CHI PHÍ GIÁN TIẾP</t>
  </si>
  <si>
    <t>Chi phí chung</t>
  </si>
  <si>
    <t>C</t>
  </si>
  <si>
    <t>T x 6,2%</t>
  </si>
  <si>
    <t>Chi phí nhà tạm để ở và điều hành thi công</t>
  </si>
  <si>
    <t>LT</t>
  </si>
  <si>
    <t>T x 2,2%</t>
  </si>
  <si>
    <t>Chi phí một số công việc không xác định được khối lượng từ thiết kế</t>
  </si>
  <si>
    <t>T x 2,0%</t>
  </si>
  <si>
    <t>TỔNG CHI PHÍ GIÁN TIẾP</t>
  </si>
  <si>
    <t>GT</t>
  </si>
  <si>
    <t>C + LT + TT</t>
  </si>
  <si>
    <t>THU NHẬP CHỊU THUẾ TÍNH TRƯỚC</t>
  </si>
  <si>
    <t>TL</t>
  </si>
  <si>
    <t>(T + GT) x 6,0%</t>
  </si>
  <si>
    <t>Chi phí xây dựng trước thuế</t>
  </si>
  <si>
    <t>G</t>
  </si>
  <si>
    <t>T + GT + TL</t>
  </si>
  <si>
    <t>THUẾ GIÁ TRỊ GIA TĂNG</t>
  </si>
  <si>
    <t>GTGT</t>
  </si>
  <si>
    <t>G x 10%</t>
  </si>
  <si>
    <t>Chi phí xây dựng sau thuế</t>
  </si>
  <si>
    <t>G + GTGT</t>
  </si>
  <si>
    <t>Lạng Sơn, ngày 05 tháng 05 năm 2023</t>
  </si>
  <si>
    <t>NGƯỜI LẬP</t>
  </si>
  <si>
    <t>NGƯỜI CHỦ TRÌ</t>
  </si>
  <si>
    <t>NGUYỄN VĂN A</t>
  </si>
  <si>
    <t>NGUYỄN VĂN B</t>
  </si>
  <si>
    <t>Chứng chỉ KS định giá XD hạng ..., số ...</t>
  </si>
  <si>
    <t>HẠNG MỤC: ﻿MẶT ĐƯỜNG BÊ TÔNG XI MĂNG</t>
  </si>
  <si>
    <t>HẠNG MỤC: ﻿XÂY LẮP (1)</t>
  </si>
  <si>
    <t>A1</t>
  </si>
  <si>
    <t xml:space="preserve"> - Đơn giá vật liệu</t>
  </si>
  <si>
    <t>hsnc</t>
  </si>
  <si>
    <t xml:space="preserve"> - Đơn giá nhân công</t>
  </si>
  <si>
    <t>B1</t>
  </si>
  <si>
    <t xml:space="preserve"> - Nhân hệ số điều chỉnh</t>
  </si>
  <si>
    <t>hsm</t>
  </si>
  <si>
    <t xml:space="preserve"> - Đơn giá máy</t>
  </si>
  <si>
    <t>C1</t>
  </si>
  <si>
    <t>T x 2%</t>
  </si>
  <si>
    <t>(T + GT ) x 6%</t>
  </si>
  <si>
    <t>Bằng chữ: Một tỷ tám trăm hai mươi sáu triệu sáu trăm bốn mươi ba nghìn hai trăm sáu mươi tám đồng chẵn,/,</t>
  </si>
  <si>
    <t>CÔNG TRÌNH: NÂNG CẤP, CẢI TẠO TUYẾN ĐƯỜNG HUYỆN ĐH.93
TỪ KM13+200 ĐẾN KM16+200, HUYỆN HỮU LŨNG</t>
  </si>
  <si>
    <t>HẠNG MỤC: NỀN, MẶT ĐƯỜNG LÁNG NHỰA CTTN</t>
  </si>
  <si>
    <t>Bằng chữ: Ba tỷ bẩy trăm chín mươi chín triệu năm trăm ba mươi tư nghìn tám trắm tám mươi tư đồng chẵn./.</t>
  </si>
  <si>
    <t>Bằng chữ: Sáu tỷ một trăm hai mươi hai triệu chín trăm ba mươi mốt nghìn bốn trăm chín mươi lăm đồng chẵn./.</t>
  </si>
  <si>
    <t>BẢNG DỰ TOÁN HẠNG MỤC CÔNG TRÌNH</t>
  </si>
  <si>
    <t>MSCV</t>
  </si>
  <si>
    <t>Tên công việc</t>
  </si>
  <si>
    <t>ĐV Tính</t>
  </si>
  <si>
    <t>Diễn giải khối lượng</t>
  </si>
  <si>
    <t>KL phụ</t>
  </si>
  <si>
    <t>Khối lượng</t>
  </si>
  <si>
    <t>Đơn giá</t>
  </si>
  <si>
    <t>Hệ số điều chỉnh</t>
  </si>
  <si>
    <t>Tên CK</t>
  </si>
  <si>
    <t>Số CK</t>
  </si>
  <si>
    <t>Dài</t>
  </si>
  <si>
    <t>Rộng</t>
  </si>
  <si>
    <t>Cao</t>
  </si>
  <si>
    <t>HS phụ</t>
  </si>
  <si>
    <t>VL phụ</t>
  </si>
  <si>
    <t>Máy</t>
  </si>
  <si>
    <t>HM</t>
  </si>
  <si>
    <t>﻿XÂY LẮP (1)</t>
  </si>
  <si>
    <t>A. PHẦN MẶT ĐƯỜNG BTXM</t>
  </si>
  <si>
    <t>#</t>
  </si>
  <si>
    <t>I. Nền đường</t>
  </si>
  <si>
    <t>1. Đào nền đường</t>
  </si>
  <si>
    <t>Đào nền:</t>
  </si>
  <si>
    <t>AB.31132</t>
  </si>
  <si>
    <t>Đào nền đường bằng máy đào 1,25m3 - Cấp đất II</t>
  </si>
  <si>
    <t>100m3</t>
  </si>
  <si>
    <t>95,23/100 = 0,9523</t>
  </si>
  <si>
    <t>AB.31133</t>
  </si>
  <si>
    <t>Đào nền đường bằng máy đào 1,25m3 - Cấp đất III</t>
  </si>
  <si>
    <t>DinhMuc_2021XD_DM12  Thông tư 12/2021/TT-BXD ngày 31/8/2021 của Bộ Xây dựng</t>
  </si>
  <si>
    <t>275,12/100 = 2,7512</t>
  </si>
  <si>
    <t>AB.31134</t>
  </si>
  <si>
    <t>Đào nền đường bằng máy đào 1,25m3 - Cấp đất IV</t>
  </si>
  <si>
    <t>1,42/100 = 0,0142</t>
  </si>
  <si>
    <t>MD.QĐ792</t>
  </si>
  <si>
    <t>Đào nền đường đá cấp IV bằng máy đào 1,6m3</t>
  </si>
  <si>
    <t>m3</t>
  </si>
  <si>
    <t xml:space="preserve">DonGia_User  </t>
  </si>
  <si>
    <t>AB.31134VD</t>
  </si>
  <si>
    <t>Đào đường cũ cấp phối bằng máy đào 1,25m3</t>
  </si>
  <si>
    <t>Đào rãnh:</t>
  </si>
  <si>
    <t>AB.31132(VD)</t>
  </si>
  <si>
    <t>Đào rãnh bằng máy đào 1,25m3 - Cấp đất II</t>
  </si>
  <si>
    <t>7,29/100 = 0,0729</t>
  </si>
  <si>
    <t>AB.31133(VD)</t>
  </si>
  <si>
    <t>Đào rãnh bằng máy đào 1,25m3 - Cấp đất III</t>
  </si>
  <si>
    <t>88,53/100 = 0,8853</t>
  </si>
  <si>
    <t>AB.31134(VD)</t>
  </si>
  <si>
    <t>Đào rãnh bằng máy đào 1,25m3 - Cấp đất IV</t>
  </si>
  <si>
    <t>0,11/100 = 0,0011</t>
  </si>
  <si>
    <t>Đào rãnh đá cấp IV bằng máy đào 1,6m3</t>
  </si>
  <si>
    <t>Đánh cấp, vét hữu cơ:</t>
  </si>
  <si>
    <t>Đào cấp bằng máy đào 1,25m3 - Cấp đất II</t>
  </si>
  <si>
    <t>86,29/100 = 0,8629</t>
  </si>
  <si>
    <t>Đào hữu cơ bằng máy đào 1,25m3 - Cấp đất II</t>
  </si>
  <si>
    <t>385,53/100 = 3,8553</t>
  </si>
  <si>
    <t>2. Đắp nền</t>
  </si>
  <si>
    <t>AB.67110</t>
  </si>
  <si>
    <t>Đắp đá hỗn hợp công trình bằng máy ủi 180CV</t>
  </si>
  <si>
    <t>0 = 0</t>
  </si>
  <si>
    <t>AD.11212</t>
  </si>
  <si>
    <t>Thi công đắp cấp phối đá dăm loại 2</t>
  </si>
  <si>
    <t>GIAM 10 TR</t>
  </si>
  <si>
    <t>(1382,71-(486,02+1,53+31,5)/1,13)/100 = 9,2337</t>
  </si>
  <si>
    <t>AB.64123</t>
  </si>
  <si>
    <t>Đắp nền đường bằng máy lu bánh thép 16T, máy ủi 110CV, độ chặt Y/C K = 0,95</t>
  </si>
  <si>
    <t>((486,02+1,53+31,5)/1,13)/100 = 4,5934</t>
  </si>
  <si>
    <t>II. Mặt đường BTXM</t>
  </si>
  <si>
    <t>1. Đào khuôn đường</t>
  </si>
  <si>
    <t>Đào khuôn đường cũ cấp phối bằng máy đào 1,25m3</t>
  </si>
  <si>
    <t>122,37/100 = 1,2237</t>
  </si>
  <si>
    <t>2. Mặt đường chính</t>
  </si>
  <si>
    <t>AF.15433</t>
  </si>
  <si>
    <t>Bê tông sản xuất bằng máy trộn và đổ bằng thủ công, bê tông mặt đường dày mặt đường ≤25cm, bê tông M250, đá 2x4, PCB40</t>
  </si>
  <si>
    <t>KC1: 0,2*3385,2 = 677,04</t>
  </si>
  <si>
    <t>KC2: 0,2*1114,98 = 222,996</t>
  </si>
  <si>
    <t>AL.16201</t>
  </si>
  <si>
    <t>Ni lông chống thấm</t>
  </si>
  <si>
    <t>100m2</t>
  </si>
  <si>
    <t>4500,18/100 = 45,0018</t>
  </si>
  <si>
    <t xml:space="preserve">Thi công móng cấp phối đá dăm lớp dưới </t>
  </si>
  <si>
    <t>0,12*1114,98/100 = 1,338</t>
  </si>
  <si>
    <t>170,16/100 = 1,7016</t>
  </si>
  <si>
    <t>AF.82411</t>
  </si>
  <si>
    <t>Ván khuôn thép mặt đường bê tông</t>
  </si>
  <si>
    <t>363,97/100 = 3,6397</t>
  </si>
  <si>
    <t>3. Vuốt mặt đường rẽ ngã ba</t>
  </si>
  <si>
    <t>0,2*63,82 = 12,764</t>
  </si>
  <si>
    <t>Rải giấy dầu lớp cách ly</t>
  </si>
  <si>
    <t>63,82/100 = 0,6382</t>
  </si>
  <si>
    <t>0,12*63,82/100 = 0,0766</t>
  </si>
  <si>
    <t>14,08/100 = 0,1408</t>
  </si>
  <si>
    <t>AL.24111</t>
  </si>
  <si>
    <t>Thi công khe co không có thanh TL</t>
  </si>
  <si>
    <t>m</t>
  </si>
  <si>
    <t>AL.24112(VD)</t>
  </si>
  <si>
    <t>Thi công khe giãn</t>
  </si>
  <si>
    <t>AL.24113(VD)</t>
  </si>
  <si>
    <t>Thi công  khe dọc</t>
  </si>
  <si>
    <t>AL.24310</t>
  </si>
  <si>
    <t>Cắt khe</t>
  </si>
  <si>
    <t>100m</t>
  </si>
  <si>
    <t>(1026+103,46+1000,04)/100 = 21,295</t>
  </si>
  <si>
    <t>B. PHẦN MẶT ĐƯỜNG CÀO BÓC TÁI SINH</t>
  </si>
  <si>
    <t>122,63/100 = 1,2263</t>
  </si>
  <si>
    <t>363,26/100 = 3,6326</t>
  </si>
  <si>
    <t>48,09/100 = 0,4809</t>
  </si>
  <si>
    <t>32,34 = 32,34</t>
  </si>
  <si>
    <t>21,07/100 = 0,2107</t>
  </si>
  <si>
    <t>299,64/100 = 2,9964</t>
  </si>
  <si>
    <t>6,17/100 = 0,0617</t>
  </si>
  <si>
    <t>92,68/100 = 0,9268</t>
  </si>
  <si>
    <t>124,34/100 = 1,2434</t>
  </si>
  <si>
    <t xml:space="preserve">GIẢM </t>
  </si>
  <si>
    <t>433,5007/100 = 4,335</t>
  </si>
  <si>
    <t>AB.64113</t>
  </si>
  <si>
    <t>Đắp nền đường bằng máy lu bánh thép 9T, máy ủi 110CV, độ chặt Y/C K = 0,95</t>
  </si>
  <si>
    <t>824,1593/100 = 8,2416</t>
  </si>
  <si>
    <t>1. Mặt đường cào bóc tái sinh nguội tại chỗ</t>
  </si>
  <si>
    <t>AD.11212(VD)</t>
  </si>
  <si>
    <t>Bù vật liệu (trên mặt đường cũ lồi lõm) bằng cấp phối đá dăm loại 2 (không lu)</t>
  </si>
  <si>
    <t>1024/100 = 10,24</t>
  </si>
  <si>
    <t>Đào đất phần cạp mở rộng bằng máy đào 1,25m3 - Cấp đất III</t>
  </si>
  <si>
    <t>214,15/100 = 2,1415</t>
  </si>
  <si>
    <t>Bù trả vật liệu phần cạp mở rộng bằng cấp phối đá dăm loại 2 dày 18cm (không lu)</t>
  </si>
  <si>
    <t>483,11/100 = 4,8311</t>
  </si>
  <si>
    <t>LS.11110(ĐM.1322)</t>
  </si>
  <si>
    <t>Cào bóc tái sinh nguội tại chỗ bằng máy cào bóc tái sinh WR2400 trên mặt đường láng nhựa, chiều dày 18cm (4% xi măng rải thủ công)</t>
  </si>
  <si>
    <t>1925,33/100 = 19,2533</t>
  </si>
  <si>
    <t>AD.24223</t>
  </si>
  <si>
    <t>Tưới lớp dính bám mặt đường, nhũ tương CSS1, lượng nhũ tương 1kg/m2</t>
  </si>
  <si>
    <t>10696,27/100 = 106,9627</t>
  </si>
  <si>
    <t>AD.24132</t>
  </si>
  <si>
    <t>Thi công mặt đường láng nhũ tương 03 lớp - Tiêu chuẩn nhựa 4,5kg/m2</t>
  </si>
  <si>
    <t>2. Vuốt ngã ba đường giao</t>
  </si>
  <si>
    <t>23,89/100 = 0,2389</t>
  </si>
  <si>
    <t>132,72/100 = 1,3272</t>
  </si>
  <si>
    <t>III. Công trình thoát nước</t>
  </si>
  <si>
    <t>1. Rãnh dọc chịu lực</t>
  </si>
  <si>
    <t>Rãnh dọc:</t>
  </si>
  <si>
    <t>AK.98110(VD)</t>
  </si>
  <si>
    <t>Đá dăm đệm rãnh, đá (1x2)cm, dày 10cm</t>
  </si>
  <si>
    <t>AF.11231</t>
  </si>
  <si>
    <t>BTXM móng rãnh, M150, đá 2x4, PCB40</t>
  </si>
  <si>
    <t>AE.26313</t>
  </si>
  <si>
    <t>Xây rãnh thoát nước bằng gạch KN 6,5x10,5x22cm, vữa XM M75, PCB40</t>
  </si>
  <si>
    <t>AK.21113</t>
  </si>
  <si>
    <t>Trát tường ngoài dày 1cm, vữa XM M75, PCB40</t>
  </si>
  <si>
    <t>m2</t>
  </si>
  <si>
    <t>Mũ mố:</t>
  </si>
  <si>
    <t>AF.14212</t>
  </si>
  <si>
    <t>Bê tông mũ mố, mũ trụ trên cạn SX bằng máy trộn, đổ bằng thủ công, bê tông M200, đá 1x2, PCB40</t>
  </si>
  <si>
    <t>AF.61110</t>
  </si>
  <si>
    <t>Lắp dựng cốt thép móng, ĐK ≤10mm</t>
  </si>
  <si>
    <t>tấn</t>
  </si>
  <si>
    <t>244,9/1000 = 0,2449</t>
  </si>
  <si>
    <t>AF.82511</t>
  </si>
  <si>
    <t>Ván khuôn thép mũ  mố</t>
  </si>
  <si>
    <t>93,22/100 = 0,9322</t>
  </si>
  <si>
    <t>Tấm bản đậy rãnh:</t>
  </si>
  <si>
    <t>AG.11413</t>
  </si>
  <si>
    <t>Bê tông tấm đan, mái hắt, lanh tô, bê tông M250, đá 1x2, PCB40 - Đổ bê tông đúc sẵn bằng thủ công (vữa bê tông sản xuất bằng máy trộn)</t>
  </si>
  <si>
    <t>AG.41610</t>
  </si>
  <si>
    <t>Lắp đặt cấu kiện bê tông đúc sẵn trọng lượng từ 50kg đến 200kg bằng cần cẩu</t>
  </si>
  <si>
    <t>1cấu kiện</t>
  </si>
  <si>
    <t>79 = 79</t>
  </si>
  <si>
    <t>AG.13231</t>
  </si>
  <si>
    <t>Cốt thép tấm đậy</t>
  </si>
  <si>
    <t>(52,14+1657,42)/1000 = 1,7096</t>
  </si>
  <si>
    <t>AG.32511</t>
  </si>
  <si>
    <t>Ván khuôn thép tấm đậy</t>
  </si>
  <si>
    <t>35,39/100 = 0,3539</t>
  </si>
  <si>
    <t>2. Đường vào nhà dân + đường rẽ</t>
  </si>
  <si>
    <t>BB.11112</t>
  </si>
  <si>
    <t xml:space="preserve">Lắp đặt ống bê tông bằng thủ công, đoạn ống dài 1m - Đường kính 300mm </t>
  </si>
  <si>
    <t>1 đoạn ống</t>
  </si>
  <si>
    <t>DinhMuc_2021LD_DM12  Thông tư 12/2021/TT-BXD ngày 31/8/2021 của Bộ Xây dựng</t>
  </si>
  <si>
    <t>BB.11122</t>
  </si>
  <si>
    <t xml:space="preserve">Lắp đặt ống bê tông bằng thủ công, đoạn ống dài 2m - Đường kính 300mm </t>
  </si>
  <si>
    <t>BB.13502</t>
  </si>
  <si>
    <t xml:space="preserve">Nối ống bê tông bằng phương pháp xảm - Đường kính 300mm </t>
  </si>
  <si>
    <t>mối nối</t>
  </si>
  <si>
    <t>27,9/100 = 0,279</t>
  </si>
  <si>
    <t>3. Gia cố rãnh dọc</t>
  </si>
  <si>
    <t>AF.13211</t>
  </si>
  <si>
    <t>BTXM rãnh dọc, M150, đá 1x2, PCB40</t>
  </si>
  <si>
    <t>1,98+1,32 = 3,3</t>
  </si>
  <si>
    <t>13,2/100 = 0,132</t>
  </si>
  <si>
    <t>AK.98110</t>
  </si>
  <si>
    <t>Cấp phối đá dăm đệm móng, dày 5cm</t>
  </si>
  <si>
    <t>0,66 = 0,66</t>
  </si>
  <si>
    <t>Ván khuôn thép rãnh</t>
  </si>
  <si>
    <t>61,38/100 = 0,6138</t>
  </si>
  <si>
    <t>4. Bó nền tại MTL cuối tuyến</t>
  </si>
  <si>
    <t>AB.25123</t>
  </si>
  <si>
    <t>Đào móng bằng máy đào 1,25m3, chiều rộng móng ≤6m - Cấp đất III</t>
  </si>
  <si>
    <t>1,8/100 = 0,018</t>
  </si>
  <si>
    <t>AE.11114</t>
  </si>
  <si>
    <t>Khối xây bó nền bằng đá hộc - Chiều dày ≤60cm, vữa XM M100, PCB40</t>
  </si>
  <si>
    <t>6. Phá dỡ tường xây</t>
  </si>
  <si>
    <t>AA.22121</t>
  </si>
  <si>
    <t>Phá dỡ kết cấu gạch đá bằng búa căn khí nén 3m3/ph</t>
  </si>
  <si>
    <t>26*0,12*2,7 = 8,424</t>
  </si>
  <si>
    <t>C. CÔNG TRÌNH THOÁT NƯỚC</t>
  </si>
  <si>
    <t>I. Đào đắp móng cống</t>
  </si>
  <si>
    <t>AB.25112</t>
  </si>
  <si>
    <t>Đào móng bằng máy đào 0,8m3, chiều rộng móng ≤6m - Cấp đất II</t>
  </si>
  <si>
    <t>13,83/100 = 0,1383</t>
  </si>
  <si>
    <t>AB.25113</t>
  </si>
  <si>
    <t>Đào móng bằng máy đào 0,8m3, chiều rộng móng ≤6m - Cấp đất III</t>
  </si>
  <si>
    <t>67/100 = 0,67</t>
  </si>
  <si>
    <t>AB.25114</t>
  </si>
  <si>
    <t>Đào móng bằng máy đào 0,8m3, chiều rộng móng ≤6m - Cấp đất IV</t>
  </si>
  <si>
    <t>0,49/100 = 0,0049</t>
  </si>
  <si>
    <t>AB.65130</t>
  </si>
  <si>
    <t>Đắp đất bằng đầm đất cầm tay 70kg, độ chặt Y/C K = 0,95</t>
  </si>
  <si>
    <t>31,85/100 = 0,3185</t>
  </si>
  <si>
    <t>II. Cống tròn</t>
  </si>
  <si>
    <t>AE.12314</t>
  </si>
  <si>
    <t>Xây cống, vữa XM M100, PCB40</t>
  </si>
  <si>
    <t>Đá dăm đệm móng, đá (2x4)cm, dày 5cm</t>
  </si>
  <si>
    <t>BB.11211VD</t>
  </si>
  <si>
    <t>Lắp đặt ống bê tông bằng cần cẩu, đoạn ống dài 1m - Đường kính 400mm</t>
  </si>
  <si>
    <t>BB.11221VD</t>
  </si>
  <si>
    <t>Lắp đặt ống bê tông bằng cần cẩu, đoạn ống dài 2m - Đường kính 400mm</t>
  </si>
  <si>
    <t>BB.11211</t>
  </si>
  <si>
    <t>Lắp đặt ống bê tông bằng cần cẩu, đoạn ống dài 1m - Đường kính 600mm</t>
  </si>
  <si>
    <t>BB.11221</t>
  </si>
  <si>
    <t>Lắp đặt ống bê tông bằng cần cẩu, đoạn ống dài 2m - Đường kính 600mm</t>
  </si>
  <si>
    <t>BB.11222VD</t>
  </si>
  <si>
    <t>Lắp đặt ống bê tông bằng cần cẩu, đoạn ống dài 2m - Đường kính 800mm</t>
  </si>
  <si>
    <t>BB.13503</t>
  </si>
  <si>
    <t>Nối ống bê tông bằng phương pháp xảm - Đường kính 400mm</t>
  </si>
  <si>
    <t>BB.13505</t>
  </si>
  <si>
    <t>Nối ống bê tông bằng phương pháp xảm - Đường kính 600mm</t>
  </si>
  <si>
    <t>BB.13507</t>
  </si>
  <si>
    <t>Nối ống bê tông bằng phương pháp xảm - Đường kính 800mm</t>
  </si>
  <si>
    <t>BB.33011</t>
  </si>
  <si>
    <t>Khối xây gia cố bằng đá hộc - Chiều dày ≤60cm, vữa XM M100, PCB40</t>
  </si>
  <si>
    <t>Lắp đặt ống thép - Đường kính 200mm</t>
  </si>
  <si>
    <t>Tấm gỗ chắn nước</t>
  </si>
  <si>
    <t>III. Cống bản</t>
  </si>
  <si>
    <t>AF.12151</t>
  </si>
  <si>
    <t>BTXM đầu cống - Chiều dày ≤45cm, chiều cao ≤6m, M150, đá 2x4, PCB40</t>
  </si>
  <si>
    <t>AF.12152</t>
  </si>
  <si>
    <t>BTXM thân cống - Chiều dày ≤45cm, chiều cao ≤6m, M200, đá 2x4, PCB40</t>
  </si>
  <si>
    <t>BTXM móng cống, M150, đá 2x4, PCB40</t>
  </si>
  <si>
    <t>BTCT tấm bản mặt, M250, đá 1x2, PCB40 - Đổ bê tông đúc sẵn bằng thủ công (vữa bê tông sản xuất bằng máy trộn)</t>
  </si>
  <si>
    <t>Lắp đặt tấm bản mặt bằng cần cẩu</t>
  </si>
  <si>
    <t>AF.14232</t>
  </si>
  <si>
    <t>BTCT mũ mố, M200, đá 2x4, PCB40</t>
  </si>
  <si>
    <t>Cốt thép tấm bản mặt</t>
  </si>
  <si>
    <t>(105,27+79,62+18,26)/1000 = 0,2032</t>
  </si>
  <si>
    <t>Ván khuôn thép tấm bản</t>
  </si>
  <si>
    <t>6,01/100 = 0,0601</t>
  </si>
  <si>
    <t>Ván khuôn thép cống</t>
  </si>
  <si>
    <t>27,44/100 = 0,2744</t>
  </si>
  <si>
    <t>Tháo dỡ tấm bản mặt cầu cũ bằng cần cẩu</t>
  </si>
  <si>
    <t>Tháo dỡ ống bê tông bằng cần cẩu, đoạn ống dài 1m - Đường kính 400mm</t>
  </si>
  <si>
    <t>E. VẬN CHUYỂN ĐẤT</t>
  </si>
  <si>
    <t>Vận chuyển đất đi đổ, cự ly TB 1Km:</t>
  </si>
  <si>
    <t>AB.41432</t>
  </si>
  <si>
    <t>Vận chuyển đất bằng ô tô tự đổ 10T, phạm vi ≤1000m - Cấp đất II</t>
  </si>
  <si>
    <t>948,95/100 = 9,4895</t>
  </si>
  <si>
    <t>AB.53431</t>
  </si>
  <si>
    <t>Vận chuyển đá sau nổ mìn bằng ô tô tự đổ 10T trong phạm vi ≤1000m</t>
  </si>
  <si>
    <t>224,46/100 = 2,2446</t>
  </si>
  <si>
    <t>THM</t>
  </si>
  <si>
    <t>CỘNG HẠNG MỤC</t>
  </si>
  <si>
    <t>BẢNG ĐƠN GIÁ CHI TIẾT</t>
  </si>
  <si>
    <t/>
  </si>
  <si>
    <t>Mã CV</t>
  </si>
  <si>
    <t>Mã hiệu</t>
  </si>
  <si>
    <t>Thành phần hao phí</t>
  </si>
  <si>
    <t>Đơn vị</t>
  </si>
  <si>
    <t>Định mức</t>
  </si>
  <si>
    <t>Hệ số</t>
  </si>
  <si>
    <t>=</t>
  </si>
  <si>
    <t>N1307</t>
  </si>
  <si>
    <t>M0698</t>
  </si>
  <si>
    <t>M1453</t>
  </si>
  <si>
    <t>N1357</t>
  </si>
  <si>
    <t>M0700</t>
  </si>
  <si>
    <t>M1458</t>
  </si>
  <si>
    <t>V01829</t>
  </si>
  <si>
    <t>N2307</t>
  </si>
  <si>
    <t>M1348</t>
  </si>
  <si>
    <t>M1164</t>
  </si>
  <si>
    <t>M2159</t>
  </si>
  <si>
    <t>M1162</t>
  </si>
  <si>
    <t>M1621</t>
  </si>
  <si>
    <t>ZM999</t>
  </si>
  <si>
    <t xml:space="preserve"> - Máy khác</t>
  </si>
  <si>
    <t>M2402</t>
  </si>
  <si>
    <t>V12595</t>
  </si>
  <si>
    <t>V01897</t>
  </si>
  <si>
    <t>V04514</t>
  </si>
  <si>
    <t>V07969</t>
  </si>
  <si>
    <t>V06640</t>
  </si>
  <si>
    <t>V07947</t>
  </si>
  <si>
    <t>ZV999</t>
  </si>
  <si>
    <t xml:space="preserve"> - Vât liệu khác</t>
  </si>
  <si>
    <t>N2357</t>
  </si>
  <si>
    <t>M1419</t>
  </si>
  <si>
    <t>M0639</t>
  </si>
  <si>
    <t>M0667</t>
  </si>
  <si>
    <t>V06415</t>
  </si>
  <si>
    <t>V11347</t>
  </si>
  <si>
    <t>V10166</t>
  </si>
  <si>
    <t>N2407</t>
  </si>
  <si>
    <t>M0934</t>
  </si>
  <si>
    <t>V07335</t>
  </si>
  <si>
    <t>V11277</t>
  </si>
  <si>
    <t>M0596</t>
  </si>
  <si>
    <t>M1240</t>
  </si>
  <si>
    <t xml:space="preserve"> - Gỗ làm khe co dãn</t>
  </si>
  <si>
    <t>V07294</t>
  </si>
  <si>
    <t>M0556</t>
  </si>
  <si>
    <t>M2401</t>
  </si>
  <si>
    <t>V10046</t>
  </si>
  <si>
    <t>M2136</t>
  </si>
  <si>
    <t>M2460</t>
  </si>
  <si>
    <t>M2265</t>
  </si>
  <si>
    <t>M2156</t>
  </si>
  <si>
    <t>M2595</t>
  </si>
  <si>
    <t>M1355</t>
  </si>
  <si>
    <t>V07951</t>
  </si>
  <si>
    <t>M1335</t>
  </si>
  <si>
    <t>V25061</t>
  </si>
  <si>
    <t>V25062</t>
  </si>
  <si>
    <t>V25064</t>
  </si>
  <si>
    <t>M2160</t>
  </si>
  <si>
    <t>M1612</t>
  </si>
  <si>
    <t>V045310</t>
  </si>
  <si>
    <t>V01879</t>
  </si>
  <si>
    <t>V25970</t>
  </si>
  <si>
    <t>V01892</t>
  </si>
  <si>
    <t>M1431</t>
  </si>
  <si>
    <t>V01890</t>
  </si>
  <si>
    <t>V04513</t>
  </si>
  <si>
    <t>M0201</t>
  </si>
  <si>
    <t>V11428</t>
  </si>
  <si>
    <t>V05429</t>
  </si>
  <si>
    <t>V11400</t>
  </si>
  <si>
    <t>V11330</t>
  </si>
  <si>
    <t>M0143</t>
  </si>
  <si>
    <t>V11424</t>
  </si>
  <si>
    <t>082D3</t>
  </si>
  <si>
    <t xml:space="preserve"> - Vật liệu khác</t>
  </si>
  <si>
    <t>082D4</t>
  </si>
  <si>
    <t>V12592</t>
  </si>
  <si>
    <t>V04583</t>
  </si>
  <si>
    <t>V04546</t>
  </si>
  <si>
    <t>M0070</t>
  </si>
  <si>
    <t>M1235</t>
  </si>
  <si>
    <t>M0697</t>
  </si>
  <si>
    <t>M0663</t>
  </si>
  <si>
    <t>08A31</t>
  </si>
  <si>
    <t>08A33</t>
  </si>
  <si>
    <t>08A03</t>
  </si>
  <si>
    <t>V09906</t>
  </si>
  <si>
    <t>V07523</t>
  </si>
  <si>
    <t>V06684</t>
  </si>
  <si>
    <t>M1598</t>
  </si>
  <si>
    <t>BẢNG GIÁ VẬT LIỆU</t>
  </si>
  <si>
    <t>Đơn vị tính: Đồng</t>
  </si>
  <si>
    <t>Tên vật liệu</t>
  </si>
  <si>
    <t>Giá gốc</t>
  </si>
  <si>
    <t>Giá TB</t>
  </si>
  <si>
    <t>Giá TB x HS</t>
  </si>
  <si>
    <t>Cước 
ô tô</t>
  </si>
  <si>
    <t>Cước ô
 tô mới</t>
  </si>
  <si>
    <t>Cước
 sông</t>
  </si>
  <si>
    <t>Cước 
TC</t>
  </si>
  <si>
    <t>Cước nội bộ</t>
  </si>
  <si>
    <t>Cước biển</t>
  </si>
  <si>
    <t>Tổng cước</t>
  </si>
  <si>
    <t>Giá HT</t>
  </si>
  <si>
    <t>Ghi chú</t>
  </si>
  <si>
    <t>Ống bê tông D300mm, L=1m</t>
  </si>
  <si>
    <t>đoạn</t>
  </si>
  <si>
    <t>Ống bê tông D300mm, L=2m</t>
  </si>
  <si>
    <t>Ống bê tông D800mm, L=2m</t>
  </si>
  <si>
    <t>Ống bê tông D ≤600mm, L=1m</t>
  </si>
  <si>
    <t>Ống bê tông D400mm, L=1m</t>
  </si>
  <si>
    <t>Ống bê tông D ≤600mm, L=2m</t>
  </si>
  <si>
    <t>Ống bê tông D400mm, L=2m</t>
  </si>
  <si>
    <t>V01717</t>
  </si>
  <si>
    <t>Cao su đệm khe giãn</t>
  </si>
  <si>
    <t>Cấp phối đá dăm loại 2</t>
  </si>
  <si>
    <t>Cát</t>
  </si>
  <si>
    <t>Cát mịn ML=0,7÷1,4</t>
  </si>
  <si>
    <t>Cát mịn ML=1,5÷2,0</t>
  </si>
  <si>
    <t>Cát vàng</t>
  </si>
  <si>
    <t>Đá 1x2</t>
  </si>
  <si>
    <t>Đá 2x4</t>
  </si>
  <si>
    <t>Đá cấp phối dmax ≤ 4</t>
  </si>
  <si>
    <t>Đá dăm</t>
  </si>
  <si>
    <t>Đá hộc</t>
  </si>
  <si>
    <t>Dây thép</t>
  </si>
  <si>
    <t>kg</t>
  </si>
  <si>
    <t>Ni Lông</t>
  </si>
  <si>
    <t>Gỗ làm khe co dãn</t>
  </si>
  <si>
    <t>Gỗ ván</t>
  </si>
  <si>
    <t>DinhMuc_2021XD
_DM12</t>
  </si>
  <si>
    <t>Lưỡi cắt D350mm</t>
  </si>
  <si>
    <t>cái</t>
  </si>
  <si>
    <t>Ma tít chèn khe</t>
  </si>
  <si>
    <t>Măng sông thép tráng kẽm D200mm</t>
  </si>
  <si>
    <t>V07712</t>
  </si>
  <si>
    <t>Mùn cưa</t>
  </si>
  <si>
    <t>Nhựa đường</t>
  </si>
  <si>
    <t>Nhựa nhũ tương gốc axít 60%</t>
  </si>
  <si>
    <t>Nước</t>
  </si>
  <si>
    <t>lít</t>
  </si>
  <si>
    <t>V090811</t>
  </si>
  <si>
    <t>Ống nhựa khe co giãn Fi 42</t>
  </si>
  <si>
    <t>Ống thép tráng kẽm D200mm, L=8m</t>
  </si>
  <si>
    <t>Phụ gia chống trương nở đất TS</t>
  </si>
  <si>
    <t>Que hàn</t>
  </si>
  <si>
    <t>Thép Fi 25</t>
  </si>
  <si>
    <t>Thép hình</t>
  </si>
  <si>
    <t>Thép hình, thép tấm</t>
  </si>
  <si>
    <t>Thép tấm</t>
  </si>
  <si>
    <t>Thép tròn</t>
  </si>
  <si>
    <t>Thép tròn Fi ≤10mm</t>
  </si>
  <si>
    <t>Xi măng PCB30</t>
  </si>
  <si>
    <t>Xi măng PCB40</t>
  </si>
  <si>
    <t>Đá 4,75÷9,5 (mm)</t>
  </si>
  <si>
    <t>Đá 9,5÷12,5 (mm)</t>
  </si>
  <si>
    <t>Đá 12,5÷19 (mm)</t>
  </si>
  <si>
    <t>Gạch đất sét nung 6,5 x 10,5 x 22cm</t>
  </si>
  <si>
    <t>viên</t>
  </si>
  <si>
    <t>BẢNG TỔNG HỢP VẬT LIỆU</t>
  </si>
  <si>
    <t>Tên vật tư / công tác</t>
  </si>
  <si>
    <t>KL thi công</t>
  </si>
  <si>
    <t>Hao phí</t>
  </si>
  <si>
    <t>Chênh lệch</t>
  </si>
  <si>
    <t>Cước VC</t>
  </si>
  <si>
    <t>VT</t>
  </si>
  <si>
    <t>Vât liệu khác</t>
  </si>
  <si>
    <t>BẢNG TÍNH CƯỚC VẬN CHUYỂN VẬT LIỆU BẰNG Ô TÔ</t>
  </si>
  <si>
    <t>CÔNG TRÌNH: NÂNG CẤP, CẢI TẠO TUYẾN ĐƯỜNG HUYỆN ĐH.93TỪ KM13+200 ĐẾN KM16+200, HUYỆN HỮU LŨNG</t>
  </si>
  <si>
    <t>HẠNG MỤC: XÂY LẮP (1)</t>
  </si>
  <si>
    <t>Lương nhân công bốc dỡ:</t>
  </si>
  <si>
    <t>Thuế VAT:</t>
  </si>
  <si>
    <t>Hệ số điều chỉnh:</t>
  </si>
  <si>
    <t>Khối lượng đơn vị</t>
  </si>
  <si>
    <t>Bậc hàng</t>
  </si>
  <si>
    <t>Hệ số bậc hàng</t>
  </si>
  <si>
    <t>Nguồn mua</t>
  </si>
  <si>
    <t>Phương tiện</t>
  </si>
  <si>
    <t>Loại đường</t>
  </si>
  <si>
    <t>Chi phí vận chuyển</t>
  </si>
  <si>
    <t>Chi phí bốc dỡ</t>
  </si>
  <si>
    <t>Hao hụt</t>
  </si>
  <si>
    <t>Chi phí khác (đ)</t>
  </si>
  <si>
    <t>Tổng cước trước thuế</t>
  </si>
  <si>
    <t>Hệ số P.tiện</t>
  </si>
  <si>
    <t>Cự ly (km)</t>
  </si>
  <si>
    <t>Tổng cự ly</t>
  </si>
  <si>
    <t>Cước cơ bản</t>
  </si>
  <si>
    <t>Sau thuế</t>
  </si>
  <si>
    <t>Trước thuế</t>
  </si>
  <si>
    <t>Định mức(công/tấn)</t>
  </si>
  <si>
    <t>Cước nâng hạ (đ/tấn)</t>
  </si>
  <si>
    <t>Bậc 1</t>
  </si>
  <si>
    <t>Ô tô</t>
  </si>
  <si>
    <t>Loại 1</t>
  </si>
  <si>
    <t>Bậc 2</t>
  </si>
  <si>
    <t>Giấy dầu</t>
  </si>
  <si>
    <t>Bậc 3</t>
  </si>
  <si>
    <t>Bậc 4</t>
  </si>
  <si>
    <t>Nhân công bậc 3,0/7 - Nhóm 1</t>
  </si>
  <si>
    <t>Mã số</t>
  </si>
  <si>
    <t>Khối
lượng đơn vị (Tấn)</t>
  </si>
  <si>
    <t>Quy đổi đơn vị</t>
  </si>
  <si>
    <t>Nhóm hàng</t>
  </si>
  <si>
    <t>Phương tiện vận chuyển</t>
  </si>
  <si>
    <t>Tổng cự ly
(km)</t>
  </si>
  <si>
    <t>Cung đường</t>
  </si>
  <si>
    <t>H.số
đổ
ben
hoặc
bốc
dỡ</t>
  </si>
  <si>
    <t>H.số
sử
dụng
xe
tải
nhỏ</t>
  </si>
  <si>
    <t>Giá cước
hàng
bậc 1
(đ/T.km)</t>
  </si>
  <si>
    <t>Giá cước
hàng
bậc 1
đã v/c
trước
(đ/T.km)</t>
  </si>
  <si>
    <t>Định mức ca máy</t>
  </si>
  <si>
    <t>Đơn giá
ca máy</t>
  </si>
  <si>
    <t>Giá cước</t>
  </si>
  <si>
    <t>Bốc xếp</t>
  </si>
  <si>
    <t>Cước cộng thêm</t>
  </si>
  <si>
    <t>Hệ
số
điều
chỉnh</t>
  </si>
  <si>
    <t>Giá V/C sau khi điều chỉnh</t>
  </si>
  <si>
    <t>Giá V/C
trước
thuế (đ)</t>
  </si>
  <si>
    <t>Cự ly
(km)</t>
  </si>
  <si>
    <t>Cự ly &lt;= 1km</t>
  </si>
  <si>
    <t>Cự ly &lt;=10km</t>
  </si>
  <si>
    <t>Cự ly &lt;=60km</t>
  </si>
  <si>
    <t>Cự ly &gt;60km</t>
  </si>
  <si>
    <t>Loại
đường</t>
  </si>
  <si>
    <t>Hệ số
loại đường</t>
  </si>
  <si>
    <t>Đã
v/c
(km)</t>
  </si>
  <si>
    <t>Định mức &lt;=1km</t>
  </si>
  <si>
    <t>Định mức &lt;=10km</t>
  </si>
  <si>
    <t>Định mức &lt;=60km</t>
  </si>
  <si>
    <t>Định mức &gt;60km</t>
  </si>
  <si>
    <t>Định mức bốc lên</t>
  </si>
  <si>
    <t>Thành tiền bốc lên</t>
  </si>
  <si>
    <t>Định mức bốc xuống</t>
  </si>
  <si>
    <t>Thành tiền bốc xuống</t>
  </si>
  <si>
    <t>Đồng Bành - Chi Lăng</t>
  </si>
  <si>
    <t>ống cống bê tông</t>
  </si>
  <si>
    <t>Ô tô thùng 12T</t>
  </si>
  <si>
    <t>Loại2</t>
  </si>
  <si>
    <t>Loại 4</t>
  </si>
  <si>
    <t>Loại 5</t>
  </si>
  <si>
    <t>Loại 6</t>
  </si>
  <si>
    <t>Loại 2</t>
  </si>
  <si>
    <t>Ô tô tự đổ 7T</t>
  </si>
  <si>
    <t>Mỏ đá Minh Tiến</t>
  </si>
  <si>
    <t>đá dăm các loại</t>
  </si>
  <si>
    <t>Ô tô tự đổ 10T</t>
  </si>
  <si>
    <t>TT Hữu Lũng</t>
  </si>
  <si>
    <t>cát xây dựng</t>
  </si>
  <si>
    <t>đá hộc</t>
  </si>
  <si>
    <t>thép các loại</t>
  </si>
  <si>
    <t>gỗ các loại</t>
  </si>
  <si>
    <t>xi măng bao</t>
  </si>
  <si>
    <t>TT Lạng Giang - BG</t>
  </si>
  <si>
    <t>nhựa đường</t>
  </si>
  <si>
    <t>Thành phố Lạng Sơn</t>
  </si>
  <si>
    <t>Lạng Giang</t>
  </si>
  <si>
    <t>d</t>
  </si>
  <si>
    <t>gạch xây các loại</t>
  </si>
  <si>
    <t>BẢNG TÍNH CƯỚC VẬN CHUYỂN VẬT LIỆU BẰNG ĐƯỜNG SÔNG</t>
  </si>
  <si>
    <t>Loại sông</t>
  </si>
  <si>
    <t>Giá cước (đ/Tấn)</t>
  </si>
  <si>
    <t>Cự ly</t>
  </si>
  <si>
    <t>Quy đổi</t>
  </si>
  <si>
    <t>Tổng</t>
  </si>
  <si>
    <t>cSTT</t>
  </si>
  <si>
    <t>cMS</t>
  </si>
  <si>
    <t>cTVL</t>
  </si>
  <si>
    <t>cDV</t>
  </si>
  <si>
    <t>cKL</t>
  </si>
  <si>
    <t>cBH</t>
  </si>
  <si>
    <t>cHSBH</t>
  </si>
  <si>
    <t>cCLT</t>
  </si>
  <si>
    <t>cCL</t>
  </si>
  <si>
    <t>cLD</t>
  </si>
  <si>
    <t>cHSLD</t>
  </si>
  <si>
    <t>BẢNG TÍNH CƯỚC VẬN CHUYỂN BỘ HẠNG MỤC CÔNG TRÌNH</t>
  </si>
  <si>
    <t xml:space="preserve">Nhân công bậc 3,0/7 - Nhóm 1: </t>
  </si>
  <si>
    <t>Hệ số quy đổi đơn vị</t>
  </si>
  <si>
    <t>Cự ly (m)</t>
  </si>
  <si>
    <t>Độ dốc</t>
  </si>
  <si>
    <t>Hệ số độ dốc</t>
  </si>
  <si>
    <t>Địa hình</t>
  </si>
  <si>
    <t>Hệ số địa hình</t>
  </si>
  <si>
    <t>Bốc lên</t>
  </si>
  <si>
    <t>Bốc xuống</t>
  </si>
  <si>
    <t>10m đầu</t>
  </si>
  <si>
    <t>10m tiếp</t>
  </si>
  <si>
    <t>&lt;=7°</t>
  </si>
  <si>
    <t>không</t>
  </si>
  <si>
    <t>Sỏi, đá dăm các loại (m3)</t>
  </si>
  <si>
    <t>Cát xây dựng (m3)</t>
  </si>
  <si>
    <t>Đá hộc (m3)</t>
  </si>
  <si>
    <t>Cọc gỗ, cừ tràm ( 100cây)</t>
  </si>
  <si>
    <t>Tre, cây chống (100cây)</t>
  </si>
  <si>
    <t>Đất các loại (m3)</t>
  </si>
  <si>
    <t>Gạch xây các loại (1000v)</t>
  </si>
  <si>
    <t>BẢNG GIÁ NHÂN CÔNG</t>
  </si>
  <si>
    <t>(Theo Bảng tính giá nhân công )</t>
  </si>
  <si>
    <t>MSVT</t>
  </si>
  <si>
    <t>Tên nhân công</t>
  </si>
  <si>
    <t>công</t>
  </si>
  <si>
    <t>Nhân công bậc 3,5/7 - Nhóm 1</t>
  </si>
  <si>
    <t>Nhân công bậc 3,0/7 - Nhóm 2</t>
  </si>
  <si>
    <t>Nhân công bậc 3,5/7 - Nhóm 2</t>
  </si>
  <si>
    <t>Nhân công bậc 4,0/7 - Nhóm 2</t>
  </si>
  <si>
    <t>BẢNG TỔNG HỢP NHÂN CÔNG</t>
  </si>
  <si>
    <t>Chi phí</t>
  </si>
  <si>
    <t>BẢNG TÍNH GIÁ NHÂN CÔNG</t>
  </si>
  <si>
    <t>Mã NC</t>
  </si>
  <si>
    <t>Hệ số lương</t>
  </si>
  <si>
    <t>Lương cơ bản</t>
  </si>
  <si>
    <t>Các khoản phụ cấp</t>
  </si>
  <si>
    <t>Tổng lương và phụ cấp</t>
  </si>
  <si>
    <t>Lương ngày công</t>
  </si>
  <si>
    <t>Phục cấp khu vực</t>
  </si>
  <si>
    <t>Phụ cấp lưu động</t>
  </si>
  <si>
    <t>Trách nhiệm</t>
  </si>
  <si>
    <t>Độc hại</t>
  </si>
  <si>
    <t>Lương phụ</t>
  </si>
  <si>
    <t>Khoán trực tiếp</t>
  </si>
  <si>
    <t>Không ổn định SX</t>
  </si>
  <si>
    <t>Thu hút</t>
  </si>
  <si>
    <t>BẢNG GIÁ CA MÁY</t>
  </si>
  <si>
    <t>(Theo Bảng tính giá ca máy)</t>
  </si>
  <si>
    <t>Tên máy</t>
  </si>
  <si>
    <t>GiaTB</t>
  </si>
  <si>
    <t>Bù NG</t>
  </si>
  <si>
    <t>Bù NC</t>
  </si>
  <si>
    <t>Bù NL</t>
  </si>
  <si>
    <t>Bù giá</t>
  </si>
  <si>
    <t>Búa căn khí nén 3m3/ph</t>
  </si>
  <si>
    <t>ca</t>
  </si>
  <si>
    <t>Cần cẩu bánh hơi 6T</t>
  </si>
  <si>
    <t>Cần cẩu bánh hơi 16T</t>
  </si>
  <si>
    <t>Máy cắt bê tông 12CV (MCD 218)</t>
  </si>
  <si>
    <t>Máy cắt uốn cốt thép 5kW</t>
  </si>
  <si>
    <t>Máy đầm bàn 1kW</t>
  </si>
  <si>
    <t>Máy đầm đất cầm tay 70kg</t>
  </si>
  <si>
    <t>Máy đầm dùi 1,5kW</t>
  </si>
  <si>
    <t>Máy đào 0,8m3</t>
  </si>
  <si>
    <t>Máy đào 1,25m3</t>
  </si>
  <si>
    <t>Máy đào 1,6m3</t>
  </si>
  <si>
    <t>Máy hàn điện 23kW</t>
  </si>
  <si>
    <t>Máy lu bánh thép 10T</t>
  </si>
  <si>
    <t>Máy lu rung tự hành 25T</t>
  </si>
  <si>
    <t>Máy nén khí diezel 360m3/h</t>
  </si>
  <si>
    <t>Máy nén khí diezel 600m3/h</t>
  </si>
  <si>
    <t>Máy phun nhựa đường 190CV</t>
  </si>
  <si>
    <t>Máy rải cấp phối đá dăm 50 - 60m3/h</t>
  </si>
  <si>
    <t>Máy san 110CV</t>
  </si>
  <si>
    <t>Máy trộn bê tông 250 lít</t>
  </si>
  <si>
    <t>Máy trộn vữa 150l</t>
  </si>
  <si>
    <t>Máy ủi 110CV</t>
  </si>
  <si>
    <t>Máy ủi 180CV</t>
  </si>
  <si>
    <t>Ô tô tự đổ 5T</t>
  </si>
  <si>
    <t>Ô tô tưới nước 5m3</t>
  </si>
  <si>
    <t>Máy cào bóc tái sinh Wirtgen 2400</t>
  </si>
  <si>
    <t>Máy lu rung chân cừu 12T</t>
  </si>
  <si>
    <t>Máy lu bánh hơi tự hành 16T</t>
  </si>
  <si>
    <t>Máy lu bánh thép tự hành 8,5T</t>
  </si>
  <si>
    <t>Ô tô tưới nước 10m3</t>
  </si>
  <si>
    <t>Máy lu bánh thép 9T</t>
  </si>
  <si>
    <t>Máy lu bánh thép 16T</t>
  </si>
  <si>
    <t>Máy rải xi măng SW16TC (16m3)</t>
  </si>
  <si>
    <t>Máy lu bánh thép tự hành 12T</t>
  </si>
  <si>
    <t>BẢNG TỔNG HỢP MÁY</t>
  </si>
  <si>
    <t>Máy khác</t>
  </si>
  <si>
    <t>BẢNG PHÂN TÍCH CHI PHÍ CA MÁY</t>
  </si>
  <si>
    <t>Mã máy</t>
  </si>
  <si>
    <t>Tên máy / Chi phí</t>
  </si>
  <si>
    <t>Nguyên giá/ Đơn giá</t>
  </si>
  <si>
    <t>Số ca/ năm</t>
  </si>
  <si>
    <t>- Chỉ tiêu sử dụng</t>
  </si>
  <si>
    <t xml:space="preserve">  + Định mức khấu hao</t>
  </si>
  <si>
    <t xml:space="preserve">  + Định mức sửa chữa</t>
  </si>
  <si>
    <t xml:space="preserve">  + Định mức chi phí khác</t>
  </si>
  <si>
    <t>- Nhân công lái máy</t>
  </si>
  <si>
    <t>- Nhiên liệu</t>
  </si>
  <si>
    <t>N4407</t>
  </si>
  <si>
    <t xml:space="preserve">  + Nhân công bậc 4,0/7 - Nhóm 4</t>
  </si>
  <si>
    <t>N4607</t>
  </si>
  <si>
    <t xml:space="preserve">  + Nhân công bậc 6,0/7 - Nhóm 4</t>
  </si>
  <si>
    <t>D</t>
  </si>
  <si>
    <t xml:space="preserve">  + Diezel</t>
  </si>
  <si>
    <t>N4307</t>
  </si>
  <si>
    <t xml:space="preserve">  + Nhân công bậc 3,0/7 - Nhóm 4</t>
  </si>
  <si>
    <t>X</t>
  </si>
  <si>
    <t xml:space="preserve">  + Xăng</t>
  </si>
  <si>
    <t>Đ</t>
  </si>
  <si>
    <t xml:space="preserve">  + Điện</t>
  </si>
  <si>
    <t>kWh</t>
  </si>
  <si>
    <t>NLX414</t>
  </si>
  <si>
    <t xml:space="preserve">  +   Lái xe bậc 1,0/4 - Nhóm 4</t>
  </si>
  <si>
    <t>NLX434</t>
  </si>
  <si>
    <t xml:space="preserve">  +   Lái xe bậc 3,0/4 - Nhóm 4</t>
  </si>
  <si>
    <t>N4507</t>
  </si>
  <si>
    <t xml:space="preserve">  + Nhân công bậc 5,0/7 - Nhóm 4</t>
  </si>
  <si>
    <t>NLX424</t>
  </si>
  <si>
    <t xml:space="preserve">  +   Lái xe bậc 2,0/4 - Nhóm 4</t>
  </si>
  <si>
    <t>N4707</t>
  </si>
  <si>
    <t xml:space="preserve">  + Nhân công bậc 7,0/7 - Nhóm 4</t>
  </si>
  <si>
    <t>BẢNG TỔNG HỢP NHIÊN LIỆU</t>
  </si>
  <si>
    <t>State</t>
  </si>
  <si>
    <t>Tên nhiên liệu / máy</t>
  </si>
  <si>
    <t>KL máy</t>
  </si>
  <si>
    <t>NL phụ</t>
  </si>
  <si>
    <t>NL</t>
  </si>
  <si>
    <t>Điện</t>
  </si>
  <si>
    <t>Diezel</t>
  </si>
  <si>
    <t>Xăng</t>
  </si>
  <si>
    <t>SUM</t>
  </si>
  <si>
    <t>BẢNG TỔNG HỢP NHÂN CÔNG LÁI MÁY</t>
  </si>
  <si>
    <t>Nhân công bậc 3,0/7 - Nhóm 4</t>
  </si>
  <si>
    <t>Nhân công bậc 4,0/7 - Nhóm 4</t>
  </si>
  <si>
    <t>Nhân công bậc 5,0/7 - Nhóm 4</t>
  </si>
  <si>
    <t>Nhân công bậc 6,0/7 - Nhóm 4</t>
  </si>
  <si>
    <t>Nhân công bậc 7,0/7 - Nhóm 4</t>
  </si>
  <si>
    <t>Lái xe bậc 1/4 - Nhóm 4</t>
  </si>
  <si>
    <t>Lái xe bậc 2/4 - Nhóm 4</t>
  </si>
  <si>
    <t>Lái xe bậc 3/4 - Nhóm 4</t>
  </si>
  <si>
    <t>BẢNG ĐƠN GIÁ TỔNG HỢP</t>
  </si>
  <si>
    <t>BẢNG TỔNG HỢP VẬT LIỆU - NHÂN CÔNG - MÁY THI CÔNG</t>
  </si>
  <si>
    <t>Tên vật tư</t>
  </si>
  <si>
    <t>Thành tiền HT</t>
  </si>
  <si>
    <t>Chênh lệch giá HT</t>
  </si>
  <si>
    <t>I.)</t>
  </si>
  <si>
    <t>I.) VẬT LIỆU</t>
  </si>
  <si>
    <t>II.)</t>
  </si>
  <si>
    <t>II.) NHÂN CÔNG</t>
  </si>
  <si>
    <t>III.)</t>
  </si>
  <si>
    <t>III.) MÁY THI CÔNG</t>
  </si>
  <si>
    <t>BẢNG TỔNG HỢP DỰ TOÁN GÓI THẦU THI CÔNG XÂY DỰNG</t>
  </si>
  <si>
    <t>Dự án: ................</t>
  </si>
  <si>
    <t>Gói thầu: NÂNG CẤP, CẢI TẠO TUYẾN ĐƯỜNG HUYỆN ĐH.93_x000D_
TỪ KM13+200 ĐẾN KM16+200, HUYỆN HỮU LŨNG</t>
  </si>
  <si>
    <t>Nội dung chi phí</t>
  </si>
  <si>
    <t>GIÁ TRỊ
TRƯỚC THUẾ</t>
  </si>
  <si>
    <t>GIÁ TRỊ
SAU THUẾ</t>
  </si>
  <si>
    <t>Tỷ lệ</t>
  </si>
  <si>
    <t>[1]</t>
  </si>
  <si>
    <t>[2]</t>
  </si>
  <si>
    <t>[3]</t>
  </si>
  <si>
    <t>[4]</t>
  </si>
  <si>
    <t>[5]</t>
  </si>
  <si>
    <t>[6]</t>
  </si>
  <si>
    <t>Chi phí xây dựng của gói thầu</t>
  </si>
  <si>
    <t>GXD</t>
  </si>
  <si>
    <t xml:space="preserve">   - XÂY LẮP (1)</t>
  </si>
  <si>
    <t>Chi phí hạng Mục chung</t>
  </si>
  <si>
    <t>Ghmc</t>
  </si>
  <si>
    <t>Chi phí xây dựng nhà tạm tại hiện trường để ở và Điều hành thi công tại hiện trường</t>
  </si>
  <si>
    <t>Gxd x 1%</t>
  </si>
  <si>
    <t>Chi phí một số công tác không xác định được khối lượng từ thiết kế</t>
  </si>
  <si>
    <t>Gxd x 2,5%</t>
  </si>
  <si>
    <t>Chi phí các hạng Mục chung còn lại</t>
  </si>
  <si>
    <t>Chi phí dự phòng (GDPXD1 + GDPXD2)</t>
  </si>
  <si>
    <t>Gdpxd</t>
  </si>
  <si>
    <t>Gdpxd1 + Gdpxd2</t>
  </si>
  <si>
    <t>Chi phí dự phòng cho yếu tố khối lượng công việc phát sinh</t>
  </si>
  <si>
    <t>Gdpxd1</t>
  </si>
  <si>
    <t>(Gxd + Ghmc) x 5%</t>
  </si>
  <si>
    <t>Chi phí dự phòng cho yếu tố trượt giá</t>
  </si>
  <si>
    <t>Gdpxd2</t>
  </si>
  <si>
    <t>TỔNG CỘNG (1+2+3)</t>
  </si>
  <si>
    <t>GGTXD</t>
  </si>
  <si>
    <t>BẢNG PHÂN TÍCH VẬT TƯ</t>
  </si>
  <si>
    <t>Tên công tác / vật tư</t>
  </si>
  <si>
    <t>Đơn giá gốc</t>
  </si>
  <si>
    <t>Đơn giá TB</t>
  </si>
  <si>
    <t>Đơn giá HT</t>
  </si>
  <si>
    <t>Định mức khác</t>
  </si>
  <si>
    <t>Thi công</t>
  </si>
  <si>
    <t>Vật tư</t>
  </si>
  <si>
    <t xml:space="preserve"> - I. Nền đường</t>
  </si>
  <si>
    <t xml:space="preserve"> - 1. Đào nền đường</t>
  </si>
  <si>
    <t xml:space="preserve"> - 2. Đắp nền</t>
  </si>
  <si>
    <t xml:space="preserve"> - II. Mặt đường BTXM</t>
  </si>
  <si>
    <t xml:space="preserve"> - 1. Đào khuôn đường</t>
  </si>
  <si>
    <t xml:space="preserve"> - 2. Mặt đường chính</t>
  </si>
  <si>
    <t xml:space="preserve"> - 3. Vuốt mặt đường rẽ ngã ba</t>
  </si>
  <si>
    <t xml:space="preserve"> - 1. Mặt đường cào bóc tái sinh nguội tại chỗ</t>
  </si>
  <si>
    <t xml:space="preserve"> - 2. Vuốt ngã ba đường giao</t>
  </si>
  <si>
    <t xml:space="preserve"> - III. Công trình thoát nước</t>
  </si>
  <si>
    <t xml:space="preserve"> - 1. Rãnh dọc chịu lực</t>
  </si>
  <si>
    <t xml:space="preserve"> - 2. Đường vào nhà dân + đường rẽ</t>
  </si>
  <si>
    <t xml:space="preserve"> - 3. Gia cố rãnh dọc</t>
  </si>
  <si>
    <t xml:space="preserve"> - 4. Bó nền tại MTL cuối tuyến</t>
  </si>
  <si>
    <t xml:space="preserve"> - 6. Phá dỡ tường xây</t>
  </si>
  <si>
    <t xml:space="preserve"> - I. Đào đắp móng cống</t>
  </si>
  <si>
    <t xml:space="preserve"> - II. Cống tròn</t>
  </si>
  <si>
    <t xml:space="preserve"> - III. Cống bản</t>
  </si>
  <si>
    <t>Độc lập - Tự do - Hạnh phúc</t>
  </si>
  <si>
    <t>----------------------------------------</t>
  </si>
  <si>
    <t>BẢNG TỔNG HỢP GIÁ DỰ THẦU</t>
  </si>
  <si>
    <t>Tên hạng mục</t>
  </si>
  <si>
    <t>Giá dự thầu</t>
  </si>
  <si>
    <t>XÂY LẮP (1)</t>
  </si>
  <si>
    <t>Bằng chữ: Sáu tỷ một trăm hai mươi hai triệu chín trăm ba mươi mốt nghìn năm trăm hai mươi mốt đồng chẵn./.</t>
  </si>
  <si>
    <t>BẢNG TỔNG HỢP CHI PHÍ XÂY DỰNG CÔNG TRÌNH</t>
  </si>
  <si>
    <t>Thuế giá trị gia tăng</t>
  </si>
  <si>
    <t>Chi phí xây dựng lán trại, nhà tạm</t>
  </si>
  <si>
    <t>Tổng chi phí xây dựng</t>
  </si>
  <si>
    <t>BẢNG TỔNG HỢP CHI PHÍ THIẾT BỊ</t>
  </si>
  <si>
    <t>Tên thiết bị</t>
  </si>
  <si>
    <t>Số lượng</t>
  </si>
  <si>
    <t>Thuế VAT</t>
  </si>
  <si>
    <t>Bằng chữ: Không đồng chẵn./.</t>
  </si>
  <si>
    <t>Lạng Sơn, ngày ... tháng ... năm 2023</t>
  </si>
  <si>
    <t>CƠ QUAN LẬP</t>
  </si>
  <si>
    <t>CHI PHÍ HẠNG MỤC CHUNG</t>
  </si>
  <si>
    <t>Chi phí trước thuế</t>
  </si>
  <si>
    <t>Thuế GTGT</t>
  </si>
  <si>
    <t>Chi phí sau thuế</t>
  </si>
  <si>
    <t>CNT</t>
  </si>
  <si>
    <t>Chi phí xây dựng nhà tạm tại hiện trường để ở và điều hành thi công</t>
  </si>
  <si>
    <t>1.1</t>
  </si>
  <si>
    <t>Gxd.1</t>
  </si>
  <si>
    <t>CKKL</t>
  </si>
  <si>
    <t>2.1</t>
  </si>
  <si>
    <t>CK</t>
  </si>
  <si>
    <t>Các chi phí hạng mục chung còn lại</t>
  </si>
  <si>
    <t>3.1</t>
  </si>
  <si>
    <t>Chi phí di chuyển máy, thiết bị, nhân công</t>
  </si>
  <si>
    <t>3.2</t>
  </si>
  <si>
    <t>Chi phí an toàn lao động</t>
  </si>
  <si>
    <t>3.3</t>
  </si>
  <si>
    <t>Chi phí đảm an toàn giao thông phục vụ thi công</t>
  </si>
  <si>
    <t>3.4</t>
  </si>
  <si>
    <t>Chi phí bảo vệ môi trường cho người lao động và môi trường xung quanh</t>
  </si>
  <si>
    <t>3.5</t>
  </si>
  <si>
    <t>Chi phí hoàn trả mặt bằng và hạ tầng kỹ thuật</t>
  </si>
  <si>
    <t>3.6</t>
  </si>
  <si>
    <t>Chi phí thí nghiệm vật liệu của nhà thầu</t>
  </si>
  <si>
    <t>3.7</t>
  </si>
  <si>
    <t>Các chi phí khác...</t>
  </si>
  <si>
    <t>TỔNG CỘNG (CNT + CKKL + CK)</t>
  </si>
  <si>
    <t>CHMC</t>
  </si>
  <si>
    <t>CÔNG TY CỔ PHẦN TIN HỌC ETA</t>
  </si>
  <si>
    <t>http://dutoaneta.vn</t>
  </si>
  <si>
    <t>-------------------------</t>
  </si>
  <si>
    <t>-------------o0o-------------</t>
  </si>
  <si>
    <t>HỒ SƠ DỰ TOÁN</t>
  </si>
  <si>
    <t>Số: ......./.......</t>
  </si>
  <si>
    <t>CÔNG TRÌNH:</t>
  </si>
  <si>
    <t>NÂNG CẤP, CẢI TẠO TUYẾN ĐƯỜNG HUYỆN ĐH.93_x000D_
TỪ KM13+200 ĐẾN KM16+200, HUYỆN HỮU LŨNG</t>
  </si>
  <si>
    <t>HẠNG MỤC:</t>
  </si>
  <si>
    <t>ĐỊA ĐIỂM:</t>
  </si>
  <si>
    <t>CHỦ ĐẦU TƯ:</t>
  </si>
  <si>
    <t>Năm 202..</t>
  </si>
  <si>
    <t>Giá trị dự toán:</t>
  </si>
  <si>
    <t>Bảy tỷ ba trăm sáu mươi triệu năm trăm tám mươi hai nghìn đồng</t>
  </si>
  <si>
    <t>.... , ngày .… tháng …. năm …...</t>
  </si>
  <si>
    <t>CỘNG HOÀ XÃ HỘI CHỦ NGHĨA VIỆT NAM</t>
  </si>
  <si>
    <t>Độc lập- Tự do- Hạnh phúc</t>
  </si>
  <si>
    <t>THUYẾT MINH LẬP DỰ TOÁN</t>
  </si>
  <si>
    <t>CÔNG TRÌNH: Tên công trình</t>
  </si>
  <si>
    <t>I. Căn cứ lập:</t>
  </si>
  <si>
    <t>1. Các văn bản:</t>
  </si>
  <si>
    <t>- Nghị định số 10/2021/NĐ-CP ngày 09/02/2021 của Chính phủ về quản lý chi phí đầu tư xây dựng.</t>
  </si>
  <si>
    <t>- Thông tư số 11/2021/TT-BXD ngày 31/8/2021 của Bộ Xây dựng hướng dẫn xác định và quản lý chi phí đầu tư xây dựng.</t>
  </si>
  <si>
    <t>- Thông tư số 12/2021/TT-BXD  ngày 31/8/2021 của Bộ Xây dựng ban hành định mức xây dựng.</t>
  </si>
  <si>
    <t>- Thông tư số 13/2021/TT-BXD ngày 31/8/2021 của Bộ Xây dựng hướng dẫn phương pháp xác định các chỉ tiêu kinh tế kỹ thuật và đo bóc khối lượng công trình.</t>
  </si>
  <si>
    <t>- Nghị định 146/2017/NĐ-CP sửa đổi Nghị định 100/2016/NĐ-CP và Nghị định 12/2015/NĐ-CP về thuế GTGT, thuế TNDN.</t>
  </si>
  <si>
    <t>- Nghị định số 72/2018/NĐ-CP ngày 01/07/2018 của Chính phủ quy định mức lương cơ sở đối với cán bộ, công chức, viên chức và lực lượng vũ trang</t>
  </si>
  <si>
    <t>- Nghị định số 141/2017/NĐ-CP ngày 07/12/2017 của Chính phủ quy định mức lương tối thiểu vùng đối với người lao động làm việc theo hợp đồng lao động</t>
  </si>
  <si>
    <t>- Công bố giá vật liệu xây dựng theo Công bố …/CB-SXD ngày …/…/ của Sở Xây dựng</t>
  </si>
  <si>
    <t>- Căn cứ vào khối lượng xác định từ hồ sơ bản vẽ thiết kế.</t>
  </si>
  <si>
    <t>- Một số tài liệu khác có liên quan.</t>
  </si>
  <si>
    <t>2. Định mức:</t>
  </si>
  <si>
    <t>- Định mức xây dựng theo Thông tư số 12/2021/TT-BXD  ngày 31/8/2021 của Bộ Xây dựng ban hành định mức xây dựng.</t>
  </si>
  <si>
    <t>- Định mức dự toán công tác dịch vụ công ích công bố kèm theo văn bản số 590, 591, 592, 593, 594/QĐ-BXD ngày 30/05/2014 của Bộ xây dựng.</t>
  </si>
  <si>
    <t>...</t>
  </si>
  <si>
    <t>3. Đơn giá:</t>
  </si>
  <si>
    <t>- Đơn giá xây dựng công trình theo quyết định số .../....../QĐ-UBND ngày .../....../ của UBND tỉnh ....</t>
  </si>
  <si>
    <t>- Đơn giá dịch vụ công ích đô thị theo quyết định số .../....../ QĐ-UBND ngày .../....../ của UBND tỉnh ....</t>
  </si>
  <si>
    <t>- Bảng giá ca máy và thiết bị thi công theo quyết định số .../....../ QĐ-UBND ngày .../....../ của UBND tỉnh ....</t>
  </si>
  <si>
    <t xml:space="preserve">II. Giá trị dự toán: </t>
  </si>
  <si>
    <t>CHỦ ĐẦU TƯ</t>
  </si>
  <si>
    <r>
      <rPr>
        <sz val="11"/>
        <color indexed="55"/>
        <rFont val="Times New Roman"/>
        <family val="1"/>
      </rPr>
      <t>Phiên bản mẫu xuất Excel:</t>
    </r>
    <r>
      <rPr>
        <sz val="11"/>
        <rFont val="Times New Roman"/>
        <family val="1"/>
      </rPr>
      <t xml:space="preserve"> </t>
    </r>
    <r>
      <rPr>
        <b/>
        <sz val="11"/>
        <color indexed="10"/>
        <rFont val="Times New Roman"/>
        <family val="1"/>
      </rPr>
      <t>2.0</t>
    </r>
  </si>
  <si>
    <t>[Name]</t>
  </si>
  <si>
    <t>CÔNG TRÌNH</t>
  </si>
  <si>
    <t>Tên thông tin</t>
  </si>
  <si>
    <t>Tên công trình</t>
  </si>
  <si>
    <t>Địa điểm xây dựng</t>
  </si>
  <si>
    <t>Chủ đầu tư</t>
  </si>
  <si>
    <t>Đơn vị thực thiện</t>
  </si>
  <si>
    <t>Loại thiết kế</t>
  </si>
  <si>
    <t>Thiết kế 1 bước</t>
  </si>
  <si>
    <t>Cấp 1</t>
  </si>
  <si>
    <t>Nhóm dự án</t>
  </si>
  <si>
    <t>Xuất ra từ phiên bản</t>
  </si>
  <si>
    <t>3.1.3.40</t>
  </si>
  <si>
    <t>Thời gian xuất</t>
  </si>
  <si>
    <t>Tỉnh TP</t>
  </si>
  <si>
    <t>Lạng Sơn</t>
  </si>
  <si>
    <t>DinhMuc_2021XD_DM12: DinhMuc_2021TNVL_DM12: DinhMuc_2021SC_DM12_PCB30: DinhMuc_2021SC_DM12: DinhMuc_2021LDM_DM12: DinhMuc_2021LD_DM12: DinhMuc_2021KS_DM12</t>
  </si>
  <si>
    <t>HẠNG MỤC</t>
  </si>
  <si>
    <t>HM1</t>
  </si>
  <si>
    <t>Hạng mục 1</t>
  </si>
  <si>
    <t>Kiểu Tiên lượng</t>
  </si>
  <si>
    <t>Cách tính giá VL</t>
  </si>
  <si>
    <t>Cách tính giá NC</t>
  </si>
  <si>
    <t>Cách tính giá Máy</t>
  </si>
  <si>
    <t>Số liệu tính giá NC</t>
  </si>
  <si>
    <t>Lương tối thiểu chung</t>
  </si>
  <si>
    <t>Lương tối thiểu vùng</t>
  </si>
  <si>
    <t>Hệ số phụ cấp khu vực</t>
  </si>
  <si>
    <t>Hệ số phụ cấp lưu động</t>
  </si>
  <si>
    <t>Hệ số phụ cấp trách nhiệm</t>
  </si>
  <si>
    <t>Hệ số phụ cấp độc hại</t>
  </si>
  <si>
    <t>Hệ số lương phụ</t>
  </si>
  <si>
    <t>Hệ số phụ cấp khoán trực tiếp</t>
  </si>
  <si>
    <t>Hệ số không ổn định SX</t>
  </si>
  <si>
    <t>Hệ số phụ cấp thu hút</t>
  </si>
  <si>
    <t>Kiểu chiết tính</t>
  </si>
  <si>
    <t>Chiết tính theo giá</t>
  </si>
  <si>
    <t>HT</t>
  </si>
  <si>
    <t>Mẫu THKPHM</t>
  </si>
  <si>
    <t>hsDP</t>
  </si>
  <si>
    <t>Thông tư 03/2015/TT-BKHĐT</t>
  </si>
  <si>
    <t>hsLTNT</t>
  </si>
  <si>
    <t>Hệ số lán trại, nhà tạm</t>
  </si>
  <si>
    <t>hsVAT</t>
  </si>
  <si>
    <t>hsRM</t>
  </si>
  <si>
    <t>Hệ số riêng máy</t>
  </si>
  <si>
    <t>hsTLTTT</t>
  </si>
  <si>
    <t>Hệ số tỷ lệ thuế tính trước</t>
  </si>
  <si>
    <t>hsDBGT</t>
  </si>
  <si>
    <t>Hệ số đảm bảo an toàn giao thông</t>
  </si>
  <si>
    <t>hsKLTK</t>
  </si>
  <si>
    <t>- Chi phí một số công tác không xác định được khối lượng từ thiết kế</t>
  </si>
  <si>
    <t>hsTTPK</t>
  </si>
  <si>
    <t>Trực tiếp phí khác</t>
  </si>
  <si>
    <t>hsCPC</t>
  </si>
  <si>
    <t>Hệ số chi phí chung</t>
  </si>
  <si>
    <t>hsVLPhu</t>
  </si>
  <si>
    <t>hs vật liệu phụ</t>
  </si>
  <si>
    <t>hsRNC</t>
  </si>
  <si>
    <t>hs riêng nhân công</t>
  </si>
  <si>
    <t>hsKVM</t>
  </si>
  <si>
    <t>Hệ số phụ cấp khu vực máy</t>
  </si>
  <si>
    <t>hsBGM</t>
  </si>
  <si>
    <t>Hệ số bù giá máy</t>
  </si>
  <si>
    <t>hsRVL</t>
  </si>
  <si>
    <t>Hệ số riêng VL</t>
  </si>
  <si>
    <t>hsKVNC</t>
  </si>
  <si>
    <t>hs phụ cấp khu vực nhân công</t>
  </si>
  <si>
    <t>hsBGNC</t>
  </si>
  <si>
    <t>Hệ số bù giá nhân công</t>
  </si>
  <si>
    <t>Tổng cộng</t>
  </si>
  <si>
    <t>BẢNG TÍNH GIÁ VỮA</t>
  </si>
  <si>
    <t>Đơn vị: đồng</t>
  </si>
  <si>
    <t>Tên vữa/ vật liệu</t>
  </si>
  <si>
    <t>Định mức thực tế</t>
  </si>
  <si>
    <t>C3233</t>
  </si>
  <si>
    <t>Vữa bê tông M250, XM PCB40, đá 2x4, độ sụt 2÷4cm</t>
  </si>
  <si>
    <t>C3231</t>
  </si>
  <si>
    <t>Vữa bê tông M150, XM PCB40, đá 2x4, độ sụt 2÷4cm</t>
  </si>
  <si>
    <t>B2223</t>
  </si>
  <si>
    <t>Vữa XM cát mịn M75, XM PCB40, độ lớn ML = 1,5÷2,0</t>
  </si>
  <si>
    <t>B2233</t>
  </si>
  <si>
    <t>Vữa XM cát mịn M75, XM PCB40, độ lớn ML = 0,7÷1,4</t>
  </si>
  <si>
    <t>C3222</t>
  </si>
  <si>
    <t>Vữa bê tông M200, XM PCB40, đá 1x2, độ sụt 2÷4cm</t>
  </si>
  <si>
    <t>C3223</t>
  </si>
  <si>
    <t>Vữa bê tông M250, XM PCB40, đá 1x2, độ sụt 2÷4cm</t>
  </si>
  <si>
    <t>B1215</t>
  </si>
  <si>
    <t>Vữa XM cát vàng M125, PCB30, độ lớn ML &gt;2</t>
  </si>
  <si>
    <t>C3221</t>
  </si>
  <si>
    <t>Vữa bê tông M150, XM PCB40, đá 1x2, độ sụt 2÷4cm</t>
  </si>
  <si>
    <t>B2214</t>
  </si>
  <si>
    <t>Vữa XM cát vàng M100, XM PCB40, độ lớn ML&gt;2</t>
  </si>
  <si>
    <t>C3232</t>
  </si>
  <si>
    <t>Vữa bê tông M200, XM PCB40, đá 2x4, độ sụt 2÷4cm</t>
  </si>
  <si>
    <t>Mẫu số 08b
Mã hiệu: ………..
Số: ………</t>
  </si>
  <si>
    <t>BẢNG XÁC ĐỊNH GIÁ TRỊ KHỐI LƯỢNG CÔNG VIỆC HOÀN THÀNH THEO HỢP ĐỒNG ĐỀ NGHỊ THANH TOÁN</t>
  </si>
  <si>
    <t xml:space="preserve">(Áp dụng đối với các khoản thanh toán vốn đầu tư thuộc nguồn vốn ngân sách nhà nước, vốn ngoài nước - Theo Nghị định 11/2020/NĐ-CP ngày 20/01/2020) </t>
  </si>
  <si>
    <t>THEO HỢP ĐỒNG BAN ĐẦU □       NGOÀI HỢP ĐỒNG BAN ĐẦU □</t>
  </si>
  <si>
    <t>Tên dự án:                                                                  Mã dự án:</t>
  </si>
  <si>
    <t>Tên gói thầu:</t>
  </si>
  <si>
    <t>Hợp đồng số:      ngày      tháng      năm</t>
  </si>
  <si>
    <t>Phụ lục bổ sung hợp đồng số … ngày … tháng … năm</t>
  </si>
  <si>
    <t>Chủ đầu tư:</t>
  </si>
  <si>
    <t>Nhà thầu:</t>
  </si>
  <si>
    <t>Thanh toán lần thứ:</t>
  </si>
  <si>
    <t>Căn cứ xác định:</t>
  </si>
  <si>
    <t>Biên bản nghiệm thu số ….. ngày…..tháng…..năm.….</t>
  </si>
  <si>
    <t>Đơn vị tính</t>
  </si>
  <si>
    <t>Đơn giá thanh toán</t>
  </si>
  <si>
    <t>Thành tiền (đồng)</t>
  </si>
  <si>
    <t>Thực hiện</t>
  </si>
  <si>
    <t>Đơn giá bổ sung (nếu có)</t>
  </si>
  <si>
    <t>Theo hợp đồng</t>
  </si>
  <si>
    <t>Khối lượng phát sinh so với hợp đồng ban đầu</t>
  </si>
  <si>
    <t>Luỹ kế đến hết kỳ trước</t>
  </si>
  <si>
    <t>Thực hiện kỳ này</t>
  </si>
  <si>
    <t>Lũy kế đến hết kỳ này</t>
  </si>
  <si>
    <t>Phát sinh
so với hợp đồng ban đầu</t>
  </si>
  <si>
    <t>1. Giá trị hợp đồng:</t>
  </si>
  <si>
    <t>2. Giá trị tạm ứng theo hợp đồng còn lại chưa thu hồi đến cuối kỳ trước:</t>
  </si>
  <si>
    <t>3. Số tiền đã thanh toán khối lượng hoàn thành đến cuối kỳ trước:</t>
  </si>
  <si>
    <t>4. Luỹ kế giá trị khối lượng thực hiện đến cuối kỳ này:</t>
  </si>
  <si>
    <t>5. Thanh toán để thu hồi tạm ứng:</t>
  </si>
  <si>
    <t>6. Giá trị đề nghị thanh toán kỳ này:</t>
  </si>
  <si>
    <t>Số tiền bằng chữ:………………………...(là số tiền đề nghị thanh toán kỳ này).</t>
  </si>
  <si>
    <t>7. Luỹ kế giá trị thanh toán:</t>
  </si>
  <si>
    <t>Đại diện nhà thầu</t>
  </si>
  <si>
    <t>Đại diện chủ đầu tư</t>
  </si>
  <si>
    <t>(Ký, ghi rõ họ tên chức vụ và đóng dấu)</t>
  </si>
  <si>
    <t>Phụ lục 03.a</t>
  </si>
  <si>
    <t>(Ban hành kèm theo Thông tư số: 08/2016/TT-BTC ngày 18 tháng 01 năm 2016 của Bộ Tài chính)</t>
  </si>
  <si>
    <t>Phụ lục số 03.b</t>
  </si>
  <si>
    <t>BẢNG KÊ XÁC NHẬN KHỐI LƯỢNG  CÔNG VIỆC BỒI THƯỜNG, HỖ TRỢ VÀ TÁI ĐỊNH CƯ ĐÃ THỰC HIỆN</t>
  </si>
  <si>
    <t>Nội dung</t>
  </si>
  <si>
    <t>QĐ phê duyệt phương án bồi thường, hỗ trợ và tái định cư</t>
  </si>
  <si>
    <t>Số tiền bồi thường, hỗ trợ và tái định cư đã chi trả cho đơn vị thụ hưởng theo phương án được duyệt</t>
  </si>
  <si>
    <t>Số, ngày,_x000D_
tháng, năm</t>
  </si>
  <si>
    <t>Số tiền</t>
  </si>
  <si>
    <t>Thanh toán cho các cơ quan, tổ chức:</t>
  </si>
  <si>
    <t>...........</t>
  </si>
  <si>
    <t>Thanh toán trực tiếp cho hộ dân:</t>
  </si>
  <si>
    <t>Ngày ... tháng ... năm 2016</t>
  </si>
  <si>
    <t>Hội đồng đền bù GPMB</t>
  </si>
  <si>
    <t>Phụ lục 04</t>
  </si>
  <si>
    <t>BẢNG XÁC ĐỊNH GIÁ TRỊ KHỐI LƯỢNG CÔNG VIỆC PHÁT SINH NGOÀI HỢP ĐỒNG ĐỀ NGHỊ THANH TOÁN</t>
  </si>
  <si>
    <t>Khối lượng phát sinh ngoài hợp đồng</t>
  </si>
  <si>
    <t>Tổng khối lượng phát sinh</t>
  </si>
  <si>
    <t>8</t>
  </si>
  <si>
    <t>9</t>
  </si>
  <si>
    <t>10</t>
  </si>
  <si>
    <t>11</t>
  </si>
  <si>
    <t>12</t>
  </si>
  <si>
    <t>13</t>
  </si>
  <si>
    <t>14</t>
  </si>
  <si>
    <t>TỔNG SỐ:</t>
  </si>
  <si>
    <t>1. Tổng giá trị khối lượng phát sinh:</t>
  </si>
  <si>
    <t>5. Thanh toán thu hồi tạm ứng:</t>
  </si>
  <si>
    <t>Phụ lục 05</t>
  </si>
  <si>
    <t>Chủ đầu tư:……</t>
  </si>
  <si>
    <t>Số:…</t>
  </si>
  <si>
    <t>GIẤY ĐỀ NGHỊ THANH TOÁN VỐN ĐẦU TƯ</t>
  </si>
  <si>
    <t>Kính gửi: Kho bạc nhà nước ………………………..</t>
  </si>
  <si>
    <t>Tên dự án, công trình:………………………………………………………..</t>
  </si>
  <si>
    <t>Mã dự án đầu tư:……………………</t>
  </si>
  <si>
    <t>Chủ đầu tư/Ban QLDA…………………mã số ĐVSDNS:….……………………………………………………………</t>
  </si>
  <si>
    <t>Số tài khoản của chủ đầu tư:</t>
  </si>
  <si>
    <t>- Vốn trong nước…………...tại :……………………………………….</t>
  </si>
  <si>
    <t>- Vốn ngoài nước………… ..tại………………………...........................</t>
  </si>
  <si>
    <t>Căn cứ hợp đồng số:………………….ngày…. tháng….. năm………………………………………………………</t>
  </si>
  <si>
    <t>Căn cứ bảng xác định giá trị KLHT đề nghị thanh toán số…….ngày……..tháng……..năm……</t>
  </si>
  <si>
    <t>Luỹ kế giá trị khối lượng nghiệm thu của hạng mục đề nghị thanh toán:……………..…đồng.</t>
  </si>
  <si>
    <t>Số dư tạm ứng của hạng mục đề nghị thanh toán…………đồng.</t>
  </si>
  <si>
    <t>Số tiền đề nghị:</t>
  </si>
  <si>
    <t>Tạm ứng</t>
  </si>
  <si>
    <t>Thanh toán</t>
  </si>
  <si>
    <t>Theo bảng dưới đây (khung nào không sử dụng thì gạch chéo)</t>
  </si>
  <si>
    <t>Thuộc nguồn vốn: (XDCB tập trung; CTMT….)……………………………………….............</t>
  </si>
  <si>
    <t>Thuộc kế hoạch vốn:</t>
  </si>
  <si>
    <t>Năm…</t>
  </si>
  <si>
    <t>Dự toán được duyệt hoặc giá trị trúng thầu hoặc giá trị hợp đồng</t>
  </si>
  <si>
    <t>Luỹ kế số vốn đã thanh toán từ khởi công đến cuối kỳ trước</t>
  </si>
  <si>
    <t>Số đề nghị tạm ứng, thanh toán khối lượng hoàn thành kỳ này (gồm cả thu hồi tạm ứng)</t>
  </si>
  <si>
    <t>Vốn TN</t>
  </si>
  <si>
    <t>Vốn NN</t>
  </si>
  <si>
    <t>Tổng số tiền đề nghị tạm ứng, thanh toán bằng số:……………………………………………..</t>
  </si>
  <si>
    <t>Bằng chữ:……………………………………………………………………………………….</t>
  </si>
  <si>
    <t>………………………………………………………………………………………………….</t>
  </si>
  <si>
    <t>Trong đó:   - Thu hồi tạm ứng (bằng số):………………………….</t>
  </si>
  <si>
    <t>+ Vốn trong nước…………………………………….</t>
  </si>
  <si>
    <t>+ Vốn ngoài nước……………………………………</t>
  </si>
  <si>
    <t>- Thuế giá trị gia tăng</t>
  </si>
  <si>
    <t>- Chuyển tiền bảo hành (bằng số)</t>
  </si>
  <si>
    <t>- Số trả đơn vị thụ hưởng (bằng số)…………………….</t>
  </si>
  <si>
    <t>Tên đơn vị thụ hưởng………………………………………………</t>
  </si>
  <si>
    <t>Số tài khoản đơn vị thụ hưởng…………………tại ……………….</t>
  </si>
  <si>
    <t>Ngày……. tháng….. năm….</t>
  </si>
  <si>
    <t>Kế toán trưởng</t>
  </si>
  <si>
    <t>(Ký, ghi rõ họ tên)</t>
  </si>
  <si>
    <t>Phụ lục 06</t>
  </si>
  <si>
    <t>BẢNG ĐỐI CHIẾU SỐ LIỆU THANH TOÁN VỐN ĐẦU TƯ NĂM...</t>
  </si>
  <si>
    <t>Tên dự án:</t>
  </si>
  <si>
    <t>Mã dự án đầu tư:</t>
  </si>
  <si>
    <t>Thời gian khởi công - hoàn thành:</t>
  </si>
  <si>
    <t>Quyết định đầu tư được duyệt (số, ngày, tháng, năm):</t>
  </si>
  <si>
    <t>Tổng mức đầu tư được duyệt:</t>
  </si>
  <si>
    <t>Tình hình thanh toán vốn:</t>
  </si>
  <si>
    <t>Kế hoặc năm...</t>
  </si>
  <si>
    <t>Số vốn đã thanh toán trong năm…</t>
  </si>
  <si>
    <t>Tổng số vốn theo kế hoạch còn lại chưa thanh toán</t>
  </si>
  <si>
    <t>Tổng số</t>
  </si>
  <si>
    <t>Trong đó:</t>
  </si>
  <si>
    <t>Thanh toán khối lượng hoàn thành</t>
  </si>
  <si>
    <t>Vốn tạm ứng theo chế độ chưa thu hồi</t>
  </si>
  <si>
    <t>A</t>
  </si>
  <si>
    <t>Số liệu của chủ đầu tư:</t>
  </si>
  <si>
    <t>Vốn thanh toán trong năm (1+2+3)</t>
  </si>
  <si>
    <t>Vốn trong nước</t>
  </si>
  <si>
    <t>Vốn ngoài nước</t>
  </si>
  <si>
    <t>Trong đó chia ra:</t>
  </si>
  <si>
    <t>Kế hoạch vốn trong năm</t>
  </si>
  <si>
    <t>Vốn ứng trước kế hoạch năm sau (vốn trong nước)</t>
  </si>
  <si>
    <t>Vốn còn lại kế hoạch năm trước</t>
  </si>
  <si>
    <t>Luỹ kế vốn thanh toán từ khởi công đến hết niên độ ngân sách năm kế hoạch:</t>
  </si>
  <si>
    <t>B</t>
  </si>
  <si>
    <t>Số liệu của Kho bạc nơi giao dịch:</t>
  </si>
  <si>
    <t>Chênh lệch vốn thanh toán trong năm:</t>
  </si>
  <si>
    <t>Ghi chú : + Số vốn thanh toán trong năm là số vốn được thanh toán theo niên độ NSNN theo quy định (đến hết 31/1năm sau).</t>
  </si>
  <si>
    <t>+ Số vốn ứng trước kế hoạch năm sau là số vốn được thanh toán đến 31/1 năm sau.</t>
  </si>
  <si>
    <t>+ Số vốn kéo dài KH năm trước chuyển sang:</t>
  </si>
  <si>
    <t>- Vốn trong nước: là số vốn còn lại của KH năm trước được kéo dài thanh toán trong năm theo quy định cụ thể từng trường hợp (tối đa đến 31/1 năm sau)</t>
  </si>
  <si>
    <t>- Vốn ngoài nước: là số vốn ngoài nước được kéo dài thanh toán như vốn trong nước (như vốn vay của Cơ quan phát triển Pháp AFD...)</t>
  </si>
  <si>
    <t>Cột 6: vốn tạm ứng theo chế độ còn lại chưa thu hồi đến 31/1 năm sau.</t>
  </si>
  <si>
    <t>Ngày . . .tháng. . . năm 2016</t>
  </si>
  <si>
    <t>Kho bạc nhà nước</t>
  </si>
  <si>
    <t>Kế toán trưởng          Thủ trưởng đơn vị</t>
  </si>
  <si>
    <t>Thủ trưởng đơn vị</t>
  </si>
  <si>
    <t>CÔNG TRÌNH: NÂNG CẤP, CẢI TẠO TUYẾN ĐƯỜNG HUYỆN ĐH.93 (ĐỒNG TIẾN - THIỆN TÂN)</t>
  </si>
  <si>
    <t>DPTD</t>
  </si>
  <si>
    <r>
      <rPr>
        <b/>
        <sz val="11"/>
        <rFont val="Times New Roman"/>
        <family val="1"/>
      </rPr>
      <t>Ghi chú:</t>
    </r>
    <r>
      <rPr>
        <sz val="11"/>
        <rFont val="Times New Roman"/>
        <family val="1"/>
      </rPr>
      <t xml:space="preserve"> Trong trường hợp cơ quan quản lý nhà nước thuê đơn vị tư vấn </t>
    </r>
    <r>
      <rPr>
        <b/>
        <sz val="11"/>
        <rFont val="Times New Roman"/>
        <family val="1"/>
      </rPr>
      <t>CÙNG THẨM TRA</t>
    </r>
    <r>
      <rPr>
        <sz val="11"/>
        <rFont val="Times New Roman"/>
        <family val="1"/>
      </rPr>
      <t xml:space="preserve"> thì bổ sung thêm chi phí thẩm tra cho tư vấn theo QĐ 979/QĐ-BXD vào bảng tổng mức theo hệ số ở bảng trên.</t>
    </r>
  </si>
  <si>
    <r>
      <t xml:space="preserve">Công trình </t>
    </r>
    <r>
      <rPr>
        <sz val="14"/>
        <rFont val="Times New Roman"/>
        <family val="1"/>
      </rPr>
      <t xml:space="preserve">sx </t>
    </r>
    <r>
      <rPr>
        <sz val="12"/>
        <rFont val="Times New Roman"/>
        <family val="1"/>
      </rPr>
      <t>xi măng</t>
    </r>
  </si>
  <si>
    <t>Tuyến đường Gốc Sau-Minh Tiến-Đá Mài, xã Thiện Tân</t>
  </si>
  <si>
    <t>Hạng mục đường BTXM</t>
  </si>
  <si>
    <t>KHÁI TOÁN XÂY DỰNG CÔNG TRÌNH</t>
  </si>
  <si>
    <t>7.1</t>
  </si>
  <si>
    <t>7.2</t>
  </si>
  <si>
    <t>7.3</t>
  </si>
  <si>
    <t>7.4</t>
  </si>
  <si>
    <t>(Ban hành kèm theo Nghị quyết số       /NQ-HĐND ngày  31/10/2025 của HĐND xã Thiện Tân)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</si>
</sst>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_(* \(#,##0.00\);_(* &quot;-&quot;??_);_(@_)"/>
    <numFmt numFmtId="164" formatCode="#,##0;#,##0;#,##0"/>
    <numFmt numFmtId="165" formatCode="###,##0.000"/>
    <numFmt numFmtId="166" formatCode="###,###,###,##0"/>
    <numFmt numFmtId="167" formatCode="###,##0.0000"/>
    <numFmt numFmtId="168" formatCode="###,###,###,###,##0"/>
    <numFmt numFmtId="169" formatCode="###,###,##0.0000"/>
    <numFmt numFmtId="170" formatCode="##0.00%"/>
    <numFmt numFmtId="171" formatCode="#,###"/>
    <numFmt numFmtId="172" formatCode="##0.0%"/>
    <numFmt numFmtId="173" formatCode="#,###,##0.0000"/>
    <numFmt numFmtId="174" formatCode="##0%"/>
    <numFmt numFmtId="175" formatCode="0.0%"/>
    <numFmt numFmtId="176" formatCode="#,##0.0000;\-#,##0.0000"/>
    <numFmt numFmtId="177" formatCode="#,###,###,##0.0000"/>
    <numFmt numFmtId="178" formatCode="#,###,###,###,###,##0"/>
    <numFmt numFmtId="179" formatCode="###,###,###.0000"/>
    <numFmt numFmtId="180" formatCode="###,###,##0"/>
    <numFmt numFmtId="181" formatCode="###,###,###.000"/>
    <numFmt numFmtId="182" formatCode="0.000"/>
    <numFmt numFmtId="183" formatCode="##0.0"/>
    <numFmt numFmtId="184" formatCode="#,###,###,##0.0"/>
    <numFmt numFmtId="185" formatCode="###,###,##0.00"/>
    <numFmt numFmtId="186" formatCode="_(* #,##0_);_(* \(#,##0\);_(* &quot;-&quot;??_);_(@_)"/>
    <numFmt numFmtId="187" formatCode="0.0000"/>
    <numFmt numFmtId="188" formatCode="&quot;≤&quot;00"/>
    <numFmt numFmtId="189" formatCode="&quot;≤&quot;\ 0"/>
    <numFmt numFmtId="190" formatCode="_(* #,##0.000_);_(* \(#,##0.000\);_(* &quot;-&quot;??_);_(@_)"/>
    <numFmt numFmtId="191" formatCode="&quot;≤&quot;0"/>
    <numFmt numFmtId="192" formatCode="0,000"/>
    <numFmt numFmtId="193" formatCode="&quot;&gt;&quot;00"/>
    <numFmt numFmtId="194" formatCode="&quot;≥&quot;00000"/>
    <numFmt numFmtId="195" formatCode="#,##0.000"/>
    <numFmt numFmtId="196" formatCode="###,###,###,###,##0.0000"/>
  </numFmts>
  <fonts count="99">
    <font>
      <sz val="11"/>
      <color theme="1"/>
      <name val="Calibri"/>
      <charset val="134"/>
      <scheme val="minor"/>
    </font>
    <font>
      <sz val="11"/>
      <color theme="1"/>
      <name val="Calibri"/>
      <family val="2"/>
      <scheme val="minor"/>
    </font>
    <font>
      <b/>
      <sz val="14"/>
      <name val="Times New Roman"/>
      <family val="1"/>
    </font>
    <font>
      <sz val="11"/>
      <name val="Calibri"/>
      <family val="2"/>
    </font>
    <font>
      <sz val="11.25"/>
      <name val="Times New Roman"/>
      <family val="1"/>
    </font>
    <font>
      <i/>
      <sz val="11.25"/>
      <name val="Times New Roman"/>
      <family val="1"/>
    </font>
    <font>
      <b/>
      <sz val="11.25"/>
      <name val="Times New Roman"/>
      <family val="1"/>
    </font>
    <font>
      <b/>
      <sz val="13"/>
      <name val="Times New Roman"/>
      <family val="1"/>
    </font>
    <font>
      <sz val="14"/>
      <name val="Times New Roman"/>
      <family val="1"/>
    </font>
    <font>
      <i/>
      <sz val="14"/>
      <name val="Times New Roman"/>
      <family val="1"/>
    </font>
    <font>
      <b/>
      <sz val="11.25"/>
      <color rgb="FF00008B"/>
      <name val="Times New Roman"/>
      <family val="1"/>
    </font>
    <font>
      <i/>
      <sz val="12"/>
      <name val="Times New Roman"/>
      <family val="1"/>
    </font>
    <font>
      <b/>
      <sz val="10"/>
      <color rgb="FF0000FF"/>
      <name val="Times New Roman"/>
      <family val="1"/>
    </font>
    <font>
      <sz val="11"/>
      <color theme="1"/>
      <name val="Times New Roman"/>
      <family val="1"/>
    </font>
    <font>
      <sz val="11"/>
      <name val="Times New Roman"/>
      <family val="1"/>
    </font>
    <font>
      <b/>
      <sz val="11"/>
      <name val="Times New Roman"/>
      <family val="1"/>
    </font>
    <font>
      <b/>
      <sz val="14"/>
      <color theme="1"/>
      <name val="Times New Roman"/>
      <family val="1"/>
    </font>
    <font>
      <i/>
      <sz val="11"/>
      <color theme="1"/>
      <name val="Times New Roman"/>
      <family val="1"/>
    </font>
    <font>
      <b/>
      <sz val="11"/>
      <color theme="1"/>
      <name val="Times New Roman"/>
      <family val="1"/>
    </font>
    <font>
      <b/>
      <sz val="11"/>
      <color rgb="FF0000FF"/>
      <name val="Times New Roman"/>
      <family val="1"/>
    </font>
    <font>
      <sz val="11"/>
      <color rgb="FFD3D3D3"/>
      <name val="Times New Roman"/>
      <family val="1"/>
    </font>
    <font>
      <b/>
      <sz val="10"/>
      <color theme="1"/>
      <name val="Times New Roman"/>
      <family val="1"/>
    </font>
    <font>
      <b/>
      <sz val="10"/>
      <color rgb="FFFFFFFF"/>
      <name val="Times New Roman"/>
      <family val="1"/>
    </font>
    <font>
      <sz val="11"/>
      <color rgb="FF0000FF"/>
      <name val="Times New Roman"/>
      <family val="1"/>
    </font>
    <font>
      <sz val="11"/>
      <color rgb="FFFFFFFF"/>
      <name val="Times New Roman"/>
      <family val="1"/>
    </font>
    <font>
      <sz val="11"/>
      <color indexed="55"/>
      <name val="Times New Roman"/>
      <family val="1"/>
    </font>
    <font>
      <b/>
      <sz val="11"/>
      <color indexed="10"/>
      <name val="Times New Roman"/>
      <family val="1"/>
    </font>
    <font>
      <i/>
      <u/>
      <sz val="11"/>
      <color indexed="12"/>
      <name val="Times New Roman"/>
      <family val="1"/>
    </font>
    <font>
      <sz val="11"/>
      <color indexed="23"/>
      <name val="Times New Roman"/>
      <family val="1"/>
    </font>
    <font>
      <sz val="11"/>
      <color indexed="63"/>
      <name val="Times New Roman"/>
      <family val="1"/>
    </font>
    <font>
      <sz val="11"/>
      <color indexed="12"/>
      <name val="Times New Roman"/>
      <family val="1"/>
    </font>
    <font>
      <sz val="12"/>
      <color theme="1"/>
      <name val="Times New Roman"/>
      <family val="1"/>
    </font>
    <font>
      <b/>
      <sz val="12"/>
      <color rgb="FF000000"/>
      <name val="Times New Roman"/>
      <family val="1"/>
    </font>
    <font>
      <sz val="12"/>
      <color rgb="FF000000"/>
      <name val="Times New Roman"/>
      <family val="1"/>
    </font>
    <font>
      <b/>
      <sz val="16"/>
      <color rgb="FF000000"/>
      <name val="Times New Roman"/>
      <family val="1"/>
    </font>
    <font>
      <b/>
      <i/>
      <sz val="12"/>
      <color rgb="FF000000"/>
      <name val="Times New Roman"/>
      <family val="1"/>
    </font>
    <font>
      <u/>
      <sz val="12"/>
      <color theme="10"/>
      <name val="Times New Roman"/>
      <family val="1"/>
    </font>
    <font>
      <sz val="12"/>
      <color rgb="FF0000FF"/>
      <name val="Times New Roman"/>
      <family val="1"/>
    </font>
    <font>
      <b/>
      <sz val="12"/>
      <color theme="1"/>
      <name val="Times New Roman"/>
      <family val="1"/>
    </font>
    <font>
      <i/>
      <sz val="10.5"/>
      <name val="Times New Roman"/>
      <family val="1"/>
    </font>
    <font>
      <i/>
      <sz val="11"/>
      <name val="Times New Roman"/>
      <family val="1"/>
    </font>
    <font>
      <b/>
      <sz val="12"/>
      <name val="Times New Roman"/>
      <family val="1"/>
    </font>
    <font>
      <sz val="13"/>
      <name val="Times New Roman"/>
      <family val="1"/>
    </font>
    <font>
      <b/>
      <sz val="10"/>
      <name val="Times New Roman"/>
      <family val="1"/>
    </font>
    <font>
      <sz val="10"/>
      <color rgb="FF000000"/>
      <name val="Times New Roman"/>
      <family val="1"/>
    </font>
    <font>
      <b/>
      <sz val="11"/>
      <color rgb="FF000000"/>
      <name val="Times New Roman"/>
      <family val="1"/>
    </font>
    <font>
      <sz val="11"/>
      <color rgb="FF000000"/>
      <name val="Times New Roman"/>
      <family val="1"/>
    </font>
    <font>
      <sz val="11"/>
      <color rgb="FFFF0000"/>
      <name val="Times New Roman"/>
      <family val="1"/>
    </font>
    <font>
      <sz val="11"/>
      <color rgb="FFC0C0C0"/>
      <name val="Times New Roman"/>
      <family val="1"/>
    </font>
    <font>
      <sz val="11"/>
      <color rgb="FF0078B5"/>
      <name val="Times New Roman"/>
      <family val="1"/>
    </font>
    <font>
      <sz val="11"/>
      <color rgb="FF0070C0"/>
      <name val="Times New Roman"/>
      <family val="1"/>
    </font>
    <font>
      <i/>
      <sz val="11"/>
      <color rgb="FF808080"/>
      <name val="Times New Roman"/>
      <family val="1"/>
    </font>
    <font>
      <sz val="11"/>
      <color rgb="FFFF7F50"/>
      <name val="Times New Roman"/>
      <family val="1"/>
    </font>
    <font>
      <sz val="11"/>
      <color indexed="9"/>
      <name val="Times New Roman"/>
      <family val="1"/>
    </font>
    <font>
      <sz val="11.25"/>
      <color rgb="FFFF0000"/>
      <name val="Times New Roman"/>
      <family val="1"/>
    </font>
    <font>
      <sz val="12"/>
      <name val="Times New Roman"/>
      <family val="1"/>
    </font>
    <font>
      <b/>
      <sz val="11"/>
      <color rgb="FF0070C0"/>
      <name val="Times New Roman"/>
      <family val="1"/>
    </font>
    <font>
      <sz val="11"/>
      <name val="Calibri"/>
      <family val="2"/>
      <scheme val="minor"/>
    </font>
    <font>
      <b/>
      <sz val="14"/>
      <color rgb="FF000000"/>
      <name val="Times New Roman"/>
      <family val="1"/>
    </font>
    <font>
      <b/>
      <sz val="10"/>
      <color rgb="FF000000"/>
      <name val="Times New Roman"/>
      <family val="1"/>
    </font>
    <font>
      <b/>
      <sz val="11"/>
      <color rgb="FFFF0000"/>
      <name val="Times New Roman"/>
      <family val="1"/>
    </font>
    <font>
      <sz val="11.25"/>
      <color rgb="FF000000"/>
      <name val="Times New Roman"/>
      <family val="1"/>
    </font>
    <font>
      <sz val="11"/>
      <color rgb="FF008000"/>
      <name val="Times New Roman"/>
      <family val="1"/>
    </font>
    <font>
      <b/>
      <sz val="11"/>
      <color rgb="FF008000"/>
      <name val="Times New Roman"/>
      <family val="1"/>
    </font>
    <font>
      <sz val="11"/>
      <color rgb="FF808080"/>
      <name val="Times New Roman"/>
      <family val="1"/>
    </font>
    <font>
      <sz val="11.25"/>
      <color rgb="FF0000FF"/>
      <name val="Times New Roman"/>
      <family val="1"/>
    </font>
    <font>
      <b/>
      <sz val="11.25"/>
      <color rgb="FF0000FF"/>
      <name val="Times New Roman"/>
      <family val="1"/>
    </font>
    <font>
      <sz val="11.25"/>
      <color rgb="FF800000"/>
      <name val="Times New Roman"/>
      <family val="1"/>
    </font>
    <font>
      <b/>
      <sz val="11.25"/>
      <color rgb="FF008000"/>
      <name val="Times New Roman"/>
      <family val="1"/>
    </font>
    <font>
      <sz val="11"/>
      <color theme="0"/>
      <name val="Calibri"/>
      <family val="2"/>
      <scheme val="minor"/>
    </font>
    <font>
      <b/>
      <sz val="11"/>
      <color indexed="8"/>
      <name val="Times New Roman"/>
      <family val="1"/>
    </font>
    <font>
      <i/>
      <sz val="11"/>
      <color rgb="FF000000"/>
      <name val="Times New Roman"/>
      <family val="1"/>
    </font>
    <font>
      <b/>
      <sz val="11"/>
      <color rgb="FFFF0000"/>
      <name val="Calibri"/>
      <family val="2"/>
      <scheme val="minor"/>
    </font>
    <font>
      <u/>
      <sz val="11"/>
      <color theme="10"/>
      <name val="Calibri"/>
      <family val="2"/>
      <scheme val="minor"/>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19"/>
      <name val="Calibri"/>
      <family val="2"/>
    </font>
    <font>
      <sz val="10"/>
      <name val="Arial"/>
      <family val="2"/>
    </font>
    <font>
      <b/>
      <sz val="11"/>
      <color indexed="63"/>
      <name val="Calibri"/>
      <family val="2"/>
    </font>
    <font>
      <b/>
      <sz val="18"/>
      <color indexed="62"/>
      <name val="Cambria"/>
      <family val="1"/>
    </font>
    <font>
      <b/>
      <sz val="11"/>
      <name val="Calibri"/>
      <family val="2"/>
    </font>
    <font>
      <sz val="11"/>
      <color indexed="10"/>
      <name val="Calibri"/>
      <family val="2"/>
    </font>
    <font>
      <sz val="11"/>
      <color theme="1"/>
      <name val="Calibri"/>
      <family val="2"/>
      <scheme val="minor"/>
    </font>
    <font>
      <b/>
      <i/>
      <sz val="11"/>
      <name val="Times New Roman"/>
      <family val="1"/>
    </font>
    <font>
      <sz val="13.5"/>
      <name val="Times New Roman"/>
      <family val="1"/>
    </font>
    <font>
      <b/>
      <sz val="13.5"/>
      <name val="Times New Roman"/>
      <family val="1"/>
    </font>
    <font>
      <b/>
      <sz val="16"/>
      <name val="Times New Roman"/>
      <family val="1"/>
    </font>
    <font>
      <sz val="5"/>
      <name val="Times New Roman"/>
      <family val="1"/>
    </font>
    <font>
      <sz val="11"/>
      <color rgb="FFC00000"/>
      <name val="Times New Roman"/>
      <family val="1"/>
    </font>
    <font>
      <b/>
      <i/>
      <sz val="12"/>
      <name val="Times New Roman"/>
      <family val="1"/>
    </font>
  </fonts>
  <fills count="29">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rgb="FFFFFFC8"/>
        <bgColor indexed="64"/>
      </patternFill>
    </fill>
    <fill>
      <patternFill patternType="solid">
        <fgColor rgb="FFFFFFAF"/>
        <bgColor indexed="64"/>
      </patternFill>
    </fill>
    <fill>
      <patternFill patternType="solid">
        <fgColor rgb="FFEEEEEE"/>
        <bgColor indexed="64"/>
      </patternFill>
    </fill>
    <fill>
      <patternFill patternType="solid">
        <fgColor rgb="FFF0F0FF"/>
        <bgColor indexed="64"/>
      </patternFill>
    </fill>
    <fill>
      <patternFill patternType="solid">
        <fgColor rgb="FFFFFF00"/>
        <bgColor indexed="64"/>
      </patternFill>
    </fill>
    <fill>
      <patternFill patternType="solid">
        <fgColor rgb="FF92D050"/>
        <bgColor indexed="64"/>
      </patternFill>
    </fill>
    <fill>
      <patternFill patternType="solid">
        <fgColor rgb="FFF0EEEC"/>
        <bgColor indexed="64"/>
      </patternFill>
    </fill>
    <fill>
      <patternFill patternType="solid">
        <fgColor rgb="FFFFFFCC"/>
        <bgColor indexed="64"/>
      </patternFill>
    </fill>
    <fill>
      <patternFill patternType="solid">
        <fgColor rgb="FFFFCCCC"/>
        <bgColor indexed="64"/>
      </patternFill>
    </fill>
    <fill>
      <patternFill patternType="solid">
        <fgColor theme="8" tint="0.79995117038483843"/>
        <bgColor indexed="64"/>
      </patternFill>
    </fill>
    <fill>
      <patternFill patternType="solid">
        <fgColor rgb="FFFFC000"/>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s>
  <borders count="48">
    <border>
      <left/>
      <right/>
      <top/>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hair">
        <color indexed="0"/>
      </bottom>
      <diagonal/>
    </border>
    <border>
      <left style="thin">
        <color indexed="0"/>
      </left>
      <right style="thin">
        <color indexed="0"/>
      </right>
      <top style="hair">
        <color indexed="0"/>
      </top>
      <bottom style="hair">
        <color indexed="0"/>
      </bottom>
      <diagonal/>
    </border>
    <border>
      <left style="thin">
        <color indexed="0"/>
      </left>
      <right style="thin">
        <color indexed="0"/>
      </right>
      <top style="hair">
        <color indexed="0"/>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bottom style="hair">
        <color indexed="8"/>
      </bottom>
      <diagonal/>
    </border>
    <border>
      <left/>
      <right style="thin">
        <color indexed="8"/>
      </right>
      <top/>
      <bottom style="hair">
        <color indexed="8"/>
      </bottom>
      <diagonal/>
    </border>
    <border>
      <left style="thin">
        <color auto="1"/>
      </left>
      <right style="thin">
        <color indexed="8"/>
      </right>
      <top style="hair">
        <color indexed="8"/>
      </top>
      <bottom style="thin">
        <color auto="1"/>
      </bottom>
      <diagonal/>
    </border>
    <border>
      <left/>
      <right style="thin">
        <color indexed="8"/>
      </right>
      <top style="hair">
        <color indexed="8"/>
      </top>
      <bottom style="thin">
        <color auto="1"/>
      </bottom>
      <diagonal/>
    </border>
    <border>
      <left style="thin">
        <color auto="1"/>
      </left>
      <right style="thin">
        <color auto="1"/>
      </right>
      <top/>
      <bottom/>
      <diagonal/>
    </border>
    <border>
      <left style="thin">
        <color auto="1"/>
      </left>
      <right style="thin">
        <color auto="1"/>
      </right>
      <top style="hair">
        <color auto="1"/>
      </top>
      <bottom style="thin">
        <color rgb="FF000000"/>
      </bottom>
      <diagonal/>
    </border>
    <border>
      <left style="thin">
        <color auto="1"/>
      </left>
      <right style="thin">
        <color auto="1"/>
      </right>
      <top style="hair">
        <color auto="1"/>
      </top>
      <bottom style="hair">
        <color rgb="FF000000"/>
      </bottom>
      <diagonal/>
    </border>
    <border>
      <left style="thin">
        <color auto="1"/>
      </left>
      <right style="thin">
        <color auto="1"/>
      </right>
      <top/>
      <bottom style="hair">
        <color rgb="FF000000"/>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s>
  <cellStyleXfs count="51">
    <xf numFmtId="0" fontId="0" fillId="0" borderId="0"/>
    <xf numFmtId="43" fontId="91" fillId="0" borderId="0" applyFont="0" applyFill="0" applyBorder="0" applyAlignment="0" applyProtection="0"/>
    <xf numFmtId="9" fontId="91" fillId="0" borderId="0" applyFont="0" applyFill="0" applyBorder="0" applyAlignment="0" applyProtection="0"/>
    <xf numFmtId="0" fontId="73"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74" fillId="22" borderId="0" applyNumberFormat="0" applyBorder="0" applyAlignment="0" applyProtection="0"/>
    <xf numFmtId="0" fontId="74" fillId="23"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22" borderId="0" applyNumberFormat="0" applyBorder="0" applyAlignment="0" applyProtection="0"/>
    <xf numFmtId="0" fontId="74" fillId="21" borderId="0" applyNumberFormat="0" applyBorder="0" applyAlignment="0" applyProtection="0"/>
    <xf numFmtId="0" fontId="74" fillId="24"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4" borderId="0" applyNumberFormat="0" applyBorder="0" applyAlignment="0" applyProtection="0"/>
    <xf numFmtId="0" fontId="74" fillId="27" borderId="0" applyNumberFormat="0" applyBorder="0" applyAlignment="0" applyProtection="0"/>
    <xf numFmtId="0" fontId="74" fillId="23" borderId="0" applyNumberFormat="0" applyBorder="0" applyAlignment="0" applyProtection="0"/>
    <xf numFmtId="0" fontId="75" fillId="21" borderId="0" applyNumberFormat="0" applyBorder="0" applyAlignment="0" applyProtection="0"/>
    <xf numFmtId="0" fontId="76" fillId="4" borderId="38" applyNumberFormat="0" applyAlignment="0" applyProtection="0"/>
    <xf numFmtId="0" fontId="77" fillId="26" borderId="39" applyNumberFormat="0" applyAlignment="0" applyProtection="0"/>
    <xf numFmtId="0" fontId="78" fillId="0" borderId="0" applyNumberFormat="0" applyFill="0" applyBorder="0" applyAlignment="0" applyProtection="0"/>
    <xf numFmtId="0" fontId="79" fillId="20" borderId="0" applyNumberFormat="0" applyBorder="0" applyAlignment="0" applyProtection="0"/>
    <xf numFmtId="0" fontId="80" fillId="0" borderId="40" applyNumberFormat="0" applyFill="0" applyAlignment="0" applyProtection="0"/>
    <xf numFmtId="0" fontId="81" fillId="0" borderId="41" applyNumberFormat="0" applyFill="0" applyAlignment="0" applyProtection="0"/>
    <xf numFmtId="0" fontId="82" fillId="0" borderId="42" applyNumberFormat="0" applyFill="0" applyAlignment="0" applyProtection="0"/>
    <xf numFmtId="0" fontId="82" fillId="0" borderId="0" applyNumberFormat="0" applyFill="0" applyBorder="0" applyAlignment="0" applyProtection="0"/>
    <xf numFmtId="0" fontId="83" fillId="21" borderId="38" applyNumberFormat="0" applyAlignment="0" applyProtection="0"/>
    <xf numFmtId="0" fontId="84" fillId="0" borderId="43" applyNumberFormat="0" applyFill="0" applyAlignment="0" applyProtection="0"/>
    <xf numFmtId="0" fontId="85" fillId="28" borderId="0" applyNumberFormat="0" applyBorder="0" applyAlignment="0" applyProtection="0"/>
    <xf numFmtId="0" fontId="86" fillId="0" borderId="0"/>
    <xf numFmtId="0" fontId="91" fillId="0" borderId="0"/>
    <xf numFmtId="0" fontId="91" fillId="0" borderId="0"/>
    <xf numFmtId="0" fontId="3" fillId="0" borderId="0"/>
    <xf numFmtId="0" fontId="91" fillId="0" borderId="0"/>
    <xf numFmtId="0" fontId="3" fillId="17" borderId="44" applyNumberFormat="0" applyFont="0" applyAlignment="0" applyProtection="0"/>
    <xf numFmtId="0" fontId="87" fillId="4" borderId="45" applyNumberFormat="0" applyAlignment="0" applyProtection="0"/>
    <xf numFmtId="0" fontId="88" fillId="0" borderId="0" applyNumberFormat="0" applyFill="0" applyBorder="0" applyAlignment="0" applyProtection="0"/>
    <xf numFmtId="0" fontId="89" fillId="0" borderId="46" applyNumberFormat="0" applyFill="0" applyAlignment="0" applyProtection="0"/>
    <xf numFmtId="0" fontId="90" fillId="0" borderId="0" applyNumberFormat="0" applyFill="0" applyBorder="0" applyAlignment="0" applyProtection="0"/>
    <xf numFmtId="0" fontId="1" fillId="0" borderId="0"/>
  </cellStyleXfs>
  <cellXfs count="1098">
    <xf numFmtId="0" fontId="0" fillId="0" borderId="0" xfId="0"/>
    <xf numFmtId="0" fontId="2" fillId="0" borderId="0" xfId="0" applyFont="1"/>
    <xf numFmtId="49" fontId="2" fillId="0" borderId="0" xfId="0" applyNumberFormat="1" applyFont="1"/>
    <xf numFmtId="0" fontId="3" fillId="0" borderId="0" xfId="0" applyFont="1"/>
    <xf numFmtId="0" fontId="4" fillId="0" borderId="0" xfId="0" applyFont="1"/>
    <xf numFmtId="49" fontId="4" fillId="0" borderId="0" xfId="0" applyNumberFormat="1" applyFont="1"/>
    <xf numFmtId="49" fontId="5" fillId="0" borderId="0" xfId="0" applyNumberFormat="1" applyFont="1" applyAlignment="1">
      <alignment horizontal="right"/>
    </xf>
    <xf numFmtId="49"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49" fontId="4" fillId="0" borderId="6" xfId="0" applyNumberFormat="1" applyFont="1" applyBorder="1" applyAlignment="1">
      <alignment horizontal="center"/>
    </xf>
    <xf numFmtId="49" fontId="6" fillId="0" borderId="8" xfId="0" applyNumberFormat="1" applyFont="1" applyBorder="1" applyAlignment="1">
      <alignment horizontal="center" vertical="top" wrapText="1"/>
    </xf>
    <xf numFmtId="49" fontId="6" fillId="0" borderId="8" xfId="0" applyNumberFormat="1" applyFont="1" applyBorder="1" applyAlignment="1">
      <alignment vertical="top" wrapText="1"/>
    </xf>
    <xf numFmtId="0" fontId="6" fillId="0" borderId="8" xfId="0" applyFont="1" applyBorder="1" applyAlignment="1">
      <alignment vertical="top" wrapText="1"/>
    </xf>
    <xf numFmtId="49" fontId="4" fillId="0" borderId="9" xfId="0" applyNumberFormat="1" applyFont="1" applyBorder="1" applyAlignment="1">
      <alignment horizontal="center" vertical="top" wrapText="1"/>
    </xf>
    <xf numFmtId="49" fontId="4" fillId="0" borderId="9" xfId="0" applyNumberFormat="1" applyFont="1" applyBorder="1" applyAlignment="1">
      <alignment vertical="top" wrapText="1"/>
    </xf>
    <xf numFmtId="0" fontId="4" fillId="0" borderId="9" xfId="0" applyFont="1" applyBorder="1" applyAlignment="1">
      <alignment vertical="top" wrapText="1"/>
    </xf>
    <xf numFmtId="0" fontId="4" fillId="0" borderId="9" xfId="0" applyFont="1" applyBorder="1" applyAlignment="1">
      <alignment horizontal="center" vertical="top" wrapText="1"/>
    </xf>
    <xf numFmtId="49" fontId="4" fillId="0" borderId="9" xfId="0" applyNumberFormat="1" applyFont="1" applyBorder="1" applyAlignment="1">
      <alignment horizontal="right" vertical="top" wrapText="1"/>
    </xf>
    <xf numFmtId="49" fontId="6" fillId="0" borderId="9" xfId="0" applyNumberFormat="1" applyFont="1" applyBorder="1" applyAlignment="1">
      <alignment horizontal="center" vertical="top" wrapText="1"/>
    </xf>
    <xf numFmtId="49" fontId="6" fillId="0" borderId="9" xfId="0" applyNumberFormat="1" applyFont="1" applyBorder="1" applyAlignment="1">
      <alignment vertical="top" wrapText="1"/>
    </xf>
    <xf numFmtId="0" fontId="6" fillId="0" borderId="9" xfId="0" applyFont="1" applyBorder="1" applyAlignment="1">
      <alignment vertical="top" wrapText="1"/>
    </xf>
    <xf numFmtId="0" fontId="4" fillId="0" borderId="10" xfId="0" applyFont="1" applyBorder="1" applyAlignment="1">
      <alignment horizontal="center" vertical="top" wrapText="1"/>
    </xf>
    <xf numFmtId="49" fontId="4" fillId="0" borderId="10" xfId="0" applyNumberFormat="1" applyFont="1" applyBorder="1" applyAlignment="1">
      <alignment horizontal="right" vertical="top" wrapText="1"/>
    </xf>
    <xf numFmtId="0" fontId="4" fillId="0" borderId="10" xfId="0" applyFont="1" applyBorder="1" applyAlignment="1">
      <alignment vertical="top" wrapText="1"/>
    </xf>
    <xf numFmtId="0" fontId="4" fillId="0" borderId="0" xfId="0" applyFont="1" applyAlignment="1">
      <alignment horizontal="center"/>
    </xf>
    <xf numFmtId="49" fontId="4" fillId="0" borderId="0" xfId="0" applyNumberFormat="1" applyFont="1" applyAlignment="1">
      <alignment horizontal="center"/>
    </xf>
    <xf numFmtId="49" fontId="6" fillId="0" borderId="0" xfId="0" applyNumberFormat="1" applyFont="1" applyAlignment="1">
      <alignment horizontal="center"/>
    </xf>
    <xf numFmtId="0" fontId="3" fillId="0" borderId="0" xfId="0" applyFont="1" applyAlignment="1">
      <alignment horizontal="center"/>
    </xf>
    <xf numFmtId="0" fontId="6" fillId="0" borderId="0" xfId="0" applyFont="1"/>
    <xf numFmtId="0" fontId="7" fillId="0" borderId="0" xfId="0" applyFont="1"/>
    <xf numFmtId="49" fontId="7" fillId="0" borderId="0" xfId="0" applyNumberFormat="1" applyFont="1"/>
    <xf numFmtId="49" fontId="6" fillId="0" borderId="0" xfId="0" applyNumberFormat="1" applyFont="1"/>
    <xf numFmtId="49" fontId="6" fillId="0" borderId="6" xfId="0" applyNumberFormat="1" applyFont="1" applyBorder="1" applyAlignment="1">
      <alignment horizontal="center" vertical="center" wrapText="1"/>
    </xf>
    <xf numFmtId="0" fontId="4" fillId="0" borderId="8" xfId="0" applyFont="1" applyBorder="1"/>
    <xf numFmtId="0" fontId="4" fillId="0" borderId="9" xfId="0" applyFont="1" applyBorder="1"/>
    <xf numFmtId="0" fontId="4" fillId="0" borderId="10" xfId="0" applyFont="1" applyBorder="1"/>
    <xf numFmtId="0" fontId="4" fillId="0" borderId="6" xfId="0" applyFont="1" applyBorder="1"/>
    <xf numFmtId="0" fontId="8" fillId="0" borderId="0" xfId="0" applyFont="1"/>
    <xf numFmtId="0" fontId="3" fillId="0" borderId="8" xfId="0" applyFont="1" applyBorder="1"/>
    <xf numFmtId="0" fontId="3" fillId="0" borderId="9" xfId="0" applyFont="1" applyBorder="1"/>
    <xf numFmtId="0" fontId="3" fillId="0" borderId="10" xfId="0" applyFont="1" applyBorder="1"/>
    <xf numFmtId="0" fontId="10" fillId="0" borderId="6" xfId="0" applyFont="1" applyBorder="1"/>
    <xf numFmtId="49" fontId="10" fillId="0" borderId="6" xfId="0" applyNumberFormat="1" applyFont="1" applyBorder="1"/>
    <xf numFmtId="0" fontId="2" fillId="0" borderId="0" xfId="0" applyFont="1" applyAlignment="1">
      <alignment horizontal="center"/>
    </xf>
    <xf numFmtId="0" fontId="11" fillId="0" borderId="0" xfId="0" applyFont="1" applyAlignment="1">
      <alignment horizontal="center"/>
    </xf>
    <xf numFmtId="0" fontId="11" fillId="0" borderId="0" xfId="0" applyFont="1"/>
    <xf numFmtId="164" fontId="10" fillId="0" borderId="6" xfId="0" applyNumberFormat="1" applyFont="1" applyBorder="1" applyAlignment="1">
      <alignment horizontal="right"/>
    </xf>
    <xf numFmtId="0" fontId="9" fillId="0" borderId="0" xfId="0" applyFont="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0" fontId="6" fillId="0" borderId="8" xfId="0" applyFont="1" applyBorder="1"/>
    <xf numFmtId="0" fontId="4" fillId="0" borderId="9" xfId="0" applyFont="1" applyBorder="1" applyAlignment="1">
      <alignment horizontal="center"/>
    </xf>
    <xf numFmtId="49" fontId="4" fillId="0" borderId="9" xfId="0" applyNumberFormat="1" applyFont="1" applyBorder="1"/>
    <xf numFmtId="49" fontId="6" fillId="0" borderId="9" xfId="0" applyNumberFormat="1" applyFont="1" applyBorder="1" applyAlignment="1">
      <alignment horizontal="center"/>
    </xf>
    <xf numFmtId="49" fontId="6" fillId="0" borderId="9" xfId="0" applyNumberFormat="1" applyFont="1" applyBorder="1"/>
    <xf numFmtId="0" fontId="6" fillId="0" borderId="9" xfId="0" applyFont="1" applyBorder="1"/>
    <xf numFmtId="0" fontId="4" fillId="0" borderId="10" xfId="0" applyFont="1" applyBorder="1" applyAlignment="1">
      <alignment horizontal="center"/>
    </xf>
    <xf numFmtId="49" fontId="4" fillId="0" borderId="10" xfId="0" applyNumberFormat="1" applyFont="1" applyBorder="1"/>
    <xf numFmtId="0" fontId="6" fillId="0" borderId="6" xfId="0" applyFont="1" applyBorder="1" applyAlignment="1">
      <alignment horizontal="center" vertical="center" wrapText="1"/>
    </xf>
    <xf numFmtId="0" fontId="4" fillId="0" borderId="6" xfId="0" applyFont="1" applyBorder="1" applyAlignment="1">
      <alignment horizontal="center"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6" xfId="0" applyFont="1" applyBorder="1" applyAlignment="1">
      <alignment vertical="top"/>
    </xf>
    <xf numFmtId="0" fontId="12" fillId="0" borderId="17" xfId="0" applyFont="1" applyBorder="1" applyAlignment="1">
      <alignment horizontal="center" vertical="top"/>
    </xf>
    <xf numFmtId="0" fontId="12" fillId="0" borderId="17" xfId="0" applyFont="1" applyBorder="1" applyAlignment="1">
      <alignment vertical="top"/>
    </xf>
    <xf numFmtId="165" fontId="12" fillId="0" borderId="17" xfId="0" applyNumberFormat="1" applyFont="1" applyBorder="1" applyAlignment="1">
      <alignment vertical="top"/>
    </xf>
    <xf numFmtId="0" fontId="13" fillId="0" borderId="18" xfId="0" applyFont="1" applyBorder="1" applyAlignment="1">
      <alignment horizontal="center" vertical="top"/>
    </xf>
    <xf numFmtId="0" fontId="13" fillId="0" borderId="18" xfId="0" applyFont="1" applyBorder="1" applyAlignment="1">
      <alignment vertical="top"/>
    </xf>
    <xf numFmtId="165" fontId="13" fillId="0" borderId="18" xfId="0" applyNumberFormat="1" applyFont="1" applyBorder="1" applyAlignment="1">
      <alignment vertical="top"/>
    </xf>
    <xf numFmtId="164" fontId="4" fillId="0" borderId="6" xfId="0" applyNumberFormat="1" applyFont="1" applyBorder="1" applyAlignment="1">
      <alignment horizontal="right" vertical="top"/>
    </xf>
    <xf numFmtId="166" fontId="12" fillId="0" borderId="17" xfId="0" applyNumberFormat="1" applyFont="1" applyBorder="1" applyAlignment="1">
      <alignment vertical="top"/>
    </xf>
    <xf numFmtId="166" fontId="13" fillId="0" borderId="18" xfId="0" applyNumberFormat="1" applyFont="1" applyBorder="1" applyAlignment="1">
      <alignment vertical="top"/>
    </xf>
    <xf numFmtId="0" fontId="14" fillId="0" borderId="0" xfId="0" applyFont="1"/>
    <xf numFmtId="49" fontId="6" fillId="0" borderId="17"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7" xfId="0" applyFont="1" applyBorder="1" applyAlignment="1">
      <alignment horizontal="left" vertical="top" wrapText="1"/>
    </xf>
    <xf numFmtId="0" fontId="4" fillId="0" borderId="7" xfId="0" applyFont="1" applyBorder="1" applyAlignment="1">
      <alignment vertical="top"/>
    </xf>
    <xf numFmtId="0" fontId="6" fillId="0" borderId="17" xfId="0" applyFont="1" applyBorder="1" applyAlignment="1">
      <alignment horizontal="center" vertical="center" wrapText="1"/>
    </xf>
    <xf numFmtId="164" fontId="4" fillId="0" borderId="7" xfId="0" applyNumberFormat="1" applyFont="1" applyBorder="1" applyAlignment="1">
      <alignment horizontal="right" vertical="top"/>
    </xf>
    <xf numFmtId="0" fontId="14" fillId="0" borderId="0" xfId="0" applyFont="1" applyAlignment="1">
      <alignment wrapText="1"/>
    </xf>
    <xf numFmtId="0" fontId="18" fillId="2" borderId="17" xfId="0" applyFont="1" applyFill="1" applyBorder="1" applyAlignment="1">
      <alignment horizontal="center" vertical="center"/>
    </xf>
    <xf numFmtId="0" fontId="13" fillId="0" borderId="19" xfId="0" applyFont="1" applyBorder="1"/>
    <xf numFmtId="0" fontId="13" fillId="0" borderId="19" xfId="0" applyFont="1" applyBorder="1" applyAlignment="1">
      <alignment horizontal="center"/>
    </xf>
    <xf numFmtId="167" fontId="13" fillId="0" borderId="19" xfId="0" applyNumberFormat="1" applyFont="1" applyBorder="1"/>
    <xf numFmtId="166" fontId="13" fillId="0" borderId="19" xfId="0" applyNumberFormat="1" applyFont="1" applyBorder="1"/>
    <xf numFmtId="0" fontId="19" fillId="0" borderId="18" xfId="0" applyFont="1" applyBorder="1"/>
    <xf numFmtId="0" fontId="19" fillId="0" borderId="18" xfId="0" applyFont="1" applyBorder="1" applyAlignment="1">
      <alignment horizontal="center"/>
    </xf>
    <xf numFmtId="167" fontId="19" fillId="0" borderId="18" xfId="0" applyNumberFormat="1" applyFont="1" applyBorder="1"/>
    <xf numFmtId="166" fontId="19" fillId="0" borderId="18" xfId="0" applyNumberFormat="1" applyFont="1" applyBorder="1"/>
    <xf numFmtId="0" fontId="13" fillId="0" borderId="18" xfId="0" applyFont="1" applyBorder="1"/>
    <xf numFmtId="0" fontId="13" fillId="0" borderId="18" xfId="0" applyFont="1" applyBorder="1" applyAlignment="1">
      <alignment horizontal="center"/>
    </xf>
    <xf numFmtId="167" fontId="13" fillId="0" borderId="18" xfId="0" applyNumberFormat="1" applyFont="1" applyBorder="1"/>
    <xf numFmtId="166" fontId="13" fillId="0" borderId="18" xfId="0" applyNumberFormat="1" applyFont="1" applyBorder="1"/>
    <xf numFmtId="0" fontId="13" fillId="0" borderId="20" xfId="0" applyFont="1" applyBorder="1"/>
    <xf numFmtId="0" fontId="13" fillId="0" borderId="20" xfId="0" applyFont="1" applyBorder="1" applyAlignment="1">
      <alignment horizontal="center"/>
    </xf>
    <xf numFmtId="167" fontId="13" fillId="0" borderId="20" xfId="0" applyNumberFormat="1" applyFont="1" applyBorder="1"/>
    <xf numFmtId="166" fontId="13" fillId="0" borderId="20" xfId="0" applyNumberFormat="1" applyFont="1" applyBorder="1"/>
    <xf numFmtId="0" fontId="18" fillId="0" borderId="17" xfId="0" applyFont="1" applyBorder="1" applyAlignment="1">
      <alignment horizontal="center" vertical="center"/>
    </xf>
    <xf numFmtId="0" fontId="18" fillId="0" borderId="17" xfId="0" applyFont="1" applyBorder="1" applyAlignment="1">
      <alignment horizontal="center" vertical="center" wrapText="1"/>
    </xf>
    <xf numFmtId="166" fontId="18" fillId="0" borderId="17" xfId="0" applyNumberFormat="1" applyFont="1" applyBorder="1" applyAlignment="1">
      <alignment horizontal="center" vertical="center"/>
    </xf>
    <xf numFmtId="0" fontId="13" fillId="0" borderId="18" xfId="0" applyFont="1" applyBorder="1" applyAlignment="1">
      <alignment vertical="top" wrapText="1"/>
    </xf>
    <xf numFmtId="167" fontId="13" fillId="0" borderId="18" xfId="0" applyNumberFormat="1" applyFont="1" applyBorder="1" applyAlignment="1">
      <alignment vertical="top"/>
    </xf>
    <xf numFmtId="0" fontId="13" fillId="0" borderId="20" xfId="0" applyFont="1" applyBorder="1" applyAlignment="1">
      <alignment vertical="top"/>
    </xf>
    <xf numFmtId="0" fontId="13" fillId="0" borderId="20" xfId="0" applyFont="1" applyBorder="1" applyAlignment="1">
      <alignment horizontal="center" vertical="top"/>
    </xf>
    <xf numFmtId="0" fontId="13" fillId="0" borderId="20" xfId="0" applyFont="1" applyBorder="1" applyAlignment="1">
      <alignment vertical="top" wrapText="1"/>
    </xf>
    <xf numFmtId="167" fontId="13" fillId="0" borderId="20" xfId="0" applyNumberFormat="1" applyFont="1" applyBorder="1" applyAlignment="1">
      <alignment vertical="top"/>
    </xf>
    <xf numFmtId="166" fontId="13" fillId="0" borderId="20" xfId="0" applyNumberFormat="1" applyFont="1" applyBorder="1" applyAlignment="1">
      <alignment vertical="top"/>
    </xf>
    <xf numFmtId="0" fontId="12" fillId="0" borderId="17" xfId="0" applyFont="1" applyBorder="1" applyAlignment="1">
      <alignment vertical="top" wrapText="1"/>
    </xf>
    <xf numFmtId="167" fontId="12" fillId="0" borderId="17" xfId="0" applyNumberFormat="1" applyFont="1" applyBorder="1" applyAlignment="1">
      <alignment vertical="top"/>
    </xf>
    <xf numFmtId="49" fontId="0" fillId="0" borderId="0" xfId="0" applyNumberFormat="1"/>
    <xf numFmtId="49" fontId="18" fillId="0" borderId="0" xfId="0" applyNumberFormat="1" applyFont="1" applyAlignment="1">
      <alignment horizontal="center"/>
    </xf>
    <xf numFmtId="49" fontId="18" fillId="0" borderId="17" xfId="0" applyNumberFormat="1" applyFont="1" applyBorder="1" applyAlignment="1">
      <alignment horizontal="center" vertical="center" wrapText="1"/>
    </xf>
    <xf numFmtId="0" fontId="21" fillId="0" borderId="17" xfId="0" applyFont="1" applyBorder="1"/>
    <xf numFmtId="0" fontId="21" fillId="0" borderId="17" xfId="0" applyFont="1" applyBorder="1" applyAlignment="1">
      <alignment horizontal="center"/>
    </xf>
    <xf numFmtId="49" fontId="21" fillId="0" borderId="17" xfId="0" applyNumberFormat="1" applyFont="1" applyBorder="1"/>
    <xf numFmtId="49" fontId="22" fillId="0" borderId="17" xfId="0" applyNumberFormat="1" applyFont="1" applyBorder="1"/>
    <xf numFmtId="0" fontId="21" fillId="0" borderId="17" xfId="0" applyFont="1" applyBorder="1" applyAlignment="1">
      <alignment wrapText="1"/>
    </xf>
    <xf numFmtId="0" fontId="21" fillId="0" borderId="17" xfId="0" applyFont="1" applyBorder="1" applyAlignment="1">
      <alignment horizontal="right"/>
    </xf>
    <xf numFmtId="168" fontId="21" fillId="0" borderId="17" xfId="0" applyNumberFormat="1" applyFont="1" applyBorder="1"/>
    <xf numFmtId="0" fontId="13" fillId="0" borderId="19" xfId="0" applyFont="1" applyBorder="1" applyAlignment="1">
      <alignment vertical="top"/>
    </xf>
    <xf numFmtId="0" fontId="13" fillId="0" borderId="19" xfId="0" applyFont="1" applyBorder="1" applyAlignment="1">
      <alignment horizontal="center" vertical="top"/>
    </xf>
    <xf numFmtId="0" fontId="13" fillId="0" borderId="19" xfId="0" applyFont="1" applyBorder="1" applyAlignment="1">
      <alignment vertical="top" wrapText="1"/>
    </xf>
    <xf numFmtId="0" fontId="13" fillId="0" borderId="19" xfId="0" applyFont="1" applyBorder="1" applyAlignment="1">
      <alignment horizontal="right" vertical="top"/>
    </xf>
    <xf numFmtId="168" fontId="13" fillId="0" borderId="19" xfId="0" applyNumberFormat="1" applyFont="1" applyBorder="1" applyAlignment="1">
      <alignment vertical="top"/>
    </xf>
    <xf numFmtId="0" fontId="23" fillId="0" borderId="18" xfId="0" applyFont="1" applyBorder="1" applyAlignment="1">
      <alignment vertical="top"/>
    </xf>
    <xf numFmtId="0" fontId="23" fillId="0" borderId="18" xfId="0" applyFont="1" applyBorder="1" applyAlignment="1">
      <alignment horizontal="center" vertical="top"/>
    </xf>
    <xf numFmtId="49" fontId="23" fillId="0" borderId="18" xfId="0" applyNumberFormat="1" applyFont="1" applyBorder="1" applyAlignment="1">
      <alignment vertical="top"/>
    </xf>
    <xf numFmtId="0" fontId="23" fillId="0" borderId="18" xfId="0" applyFont="1" applyBorder="1" applyAlignment="1">
      <alignment vertical="top" wrapText="1"/>
    </xf>
    <xf numFmtId="0" fontId="23" fillId="0" borderId="18" xfId="0" applyFont="1" applyBorder="1" applyAlignment="1">
      <alignment horizontal="right" vertical="top"/>
    </xf>
    <xf numFmtId="168" fontId="23" fillId="0" borderId="18" xfId="0" applyNumberFormat="1" applyFont="1" applyBorder="1" applyAlignment="1">
      <alignment vertical="top"/>
    </xf>
    <xf numFmtId="49" fontId="13" fillId="0" borderId="18" xfId="0" applyNumberFormat="1" applyFont="1" applyBorder="1" applyAlignment="1">
      <alignment vertical="top"/>
    </xf>
    <xf numFmtId="49" fontId="24" fillId="0" borderId="18" xfId="0" applyNumberFormat="1" applyFont="1" applyBorder="1" applyAlignment="1">
      <alignment vertical="top"/>
    </xf>
    <xf numFmtId="169" fontId="13" fillId="0" borderId="18" xfId="0" applyNumberFormat="1" applyFont="1" applyBorder="1" applyAlignment="1">
      <alignment horizontal="right" vertical="top"/>
    </xf>
    <xf numFmtId="168" fontId="13" fillId="0" borderId="18" xfId="0" applyNumberFormat="1" applyFont="1" applyBorder="1" applyAlignment="1">
      <alignment vertical="top"/>
    </xf>
    <xf numFmtId="49" fontId="13" fillId="0" borderId="20" xfId="0" applyNumberFormat="1" applyFont="1" applyBorder="1" applyAlignment="1">
      <alignment vertical="top"/>
    </xf>
    <xf numFmtId="49" fontId="24" fillId="0" borderId="20" xfId="0" applyNumberFormat="1" applyFont="1" applyBorder="1" applyAlignment="1">
      <alignment vertical="top"/>
    </xf>
    <xf numFmtId="169" fontId="13" fillId="0" borderId="20" xfId="0" applyNumberFormat="1" applyFont="1" applyBorder="1" applyAlignment="1">
      <alignment horizontal="right" vertical="top"/>
    </xf>
    <xf numFmtId="168" fontId="13" fillId="0" borderId="20" xfId="0" applyNumberFormat="1" applyFont="1" applyBorder="1" applyAlignment="1">
      <alignment vertical="top"/>
    </xf>
    <xf numFmtId="169" fontId="21" fillId="0" borderId="17" xfId="0" applyNumberFormat="1" applyFont="1" applyBorder="1"/>
    <xf numFmtId="169" fontId="13" fillId="0" borderId="19" xfId="0" applyNumberFormat="1" applyFont="1" applyBorder="1" applyAlignment="1">
      <alignment vertical="top"/>
    </xf>
    <xf numFmtId="168" fontId="12" fillId="0" borderId="19" xfId="0" applyNumberFormat="1" applyFont="1" applyBorder="1" applyAlignment="1">
      <alignment vertical="top"/>
    </xf>
    <xf numFmtId="169" fontId="23" fillId="0" borderId="18" xfId="0" applyNumberFormat="1" applyFont="1" applyBorder="1" applyAlignment="1">
      <alignment vertical="top"/>
    </xf>
    <xf numFmtId="169" fontId="13" fillId="0" borderId="18" xfId="0" applyNumberFormat="1" applyFont="1" applyBorder="1" applyAlignment="1">
      <alignment vertical="top"/>
    </xf>
    <xf numFmtId="169" fontId="13" fillId="0" borderId="20" xfId="0" applyNumberFormat="1" applyFont="1" applyBorder="1" applyAlignment="1">
      <alignment vertical="top"/>
    </xf>
    <xf numFmtId="0" fontId="14" fillId="3" borderId="0" xfId="0" applyFont="1" applyFill="1"/>
    <xf numFmtId="0" fontId="14" fillId="4" borderId="0" xfId="0" applyFont="1" applyFill="1" applyAlignment="1">
      <alignment horizontal="center"/>
    </xf>
    <xf numFmtId="0" fontId="14" fillId="4" borderId="0" xfId="0" applyFont="1" applyFill="1" applyAlignment="1">
      <alignment horizontal="left"/>
    </xf>
    <xf numFmtId="0" fontId="15" fillId="4" borderId="0" xfId="0" applyFont="1" applyFill="1"/>
    <xf numFmtId="0" fontId="2" fillId="4" borderId="0" xfId="0" applyFont="1" applyFill="1"/>
    <xf numFmtId="0" fontId="2" fillId="4" borderId="0" xfId="0" applyFont="1" applyFill="1" applyAlignment="1">
      <alignment horizontal="left"/>
    </xf>
    <xf numFmtId="0" fontId="15" fillId="4" borderId="17" xfId="0" applyFont="1" applyFill="1" applyBorder="1" applyAlignment="1">
      <alignment horizontal="center" vertical="center" wrapText="1"/>
    </xf>
    <xf numFmtId="0" fontId="15" fillId="4" borderId="17" xfId="0" applyFont="1" applyFill="1" applyBorder="1" applyAlignment="1">
      <alignment horizontal="left" vertical="center" wrapText="1"/>
    </xf>
    <xf numFmtId="0" fontId="14" fillId="4" borderId="22" xfId="0" applyFont="1" applyFill="1" applyBorder="1" applyAlignment="1">
      <alignment horizontal="center"/>
    </xf>
    <xf numFmtId="0" fontId="14" fillId="4" borderId="22" xfId="0" applyFont="1" applyFill="1" applyBorder="1" applyAlignment="1">
      <alignment horizontal="left"/>
    </xf>
    <xf numFmtId="0" fontId="26" fillId="4" borderId="22" xfId="0" applyFont="1" applyFill="1" applyBorder="1"/>
    <xf numFmtId="0" fontId="26" fillId="4" borderId="22" xfId="0" applyFont="1" applyFill="1" applyBorder="1" applyAlignment="1">
      <alignment wrapText="1"/>
    </xf>
    <xf numFmtId="0" fontId="14" fillId="4" borderId="22" xfId="0" applyFont="1" applyFill="1" applyBorder="1"/>
    <xf numFmtId="0" fontId="14" fillId="4" borderId="18" xfId="0" applyFont="1" applyFill="1" applyBorder="1" applyAlignment="1">
      <alignment horizontal="center"/>
    </xf>
    <xf numFmtId="0" fontId="14" fillId="4" borderId="18" xfId="0" applyFont="1" applyFill="1" applyBorder="1" applyAlignment="1">
      <alignment horizontal="left"/>
    </xf>
    <xf numFmtId="0" fontId="14" fillId="4" borderId="18" xfId="0" applyFont="1" applyFill="1" applyBorder="1"/>
    <xf numFmtId="49" fontId="14" fillId="4" borderId="18" xfId="0" applyNumberFormat="1" applyFont="1" applyFill="1" applyBorder="1"/>
    <xf numFmtId="22" fontId="14" fillId="4" borderId="18" xfId="0" applyNumberFormat="1" applyFont="1" applyFill="1" applyBorder="1"/>
    <xf numFmtId="0" fontId="14" fillId="4" borderId="20" xfId="0" applyFont="1" applyFill="1" applyBorder="1" applyAlignment="1">
      <alignment horizontal="center"/>
    </xf>
    <xf numFmtId="0" fontId="14" fillId="4" borderId="20" xfId="0" applyFont="1" applyFill="1" applyBorder="1" applyAlignment="1">
      <alignment horizontal="left"/>
    </xf>
    <xf numFmtId="0" fontId="14" fillId="4" borderId="20" xfId="0" applyFont="1" applyFill="1" applyBorder="1"/>
    <xf numFmtId="0" fontId="15" fillId="4" borderId="0" xfId="0" applyFont="1" applyFill="1" applyAlignment="1">
      <alignment horizontal="center" vertical="center" wrapText="1"/>
    </xf>
    <xf numFmtId="0" fontId="14" fillId="4" borderId="0" xfId="0" applyFont="1" applyFill="1"/>
    <xf numFmtId="0" fontId="27" fillId="4" borderId="18" xfId="0" applyFont="1" applyFill="1" applyBorder="1"/>
    <xf numFmtId="0" fontId="28" fillId="4" borderId="18" xfId="0" applyFont="1" applyFill="1" applyBorder="1"/>
    <xf numFmtId="0" fontId="14" fillId="4" borderId="23" xfId="0" applyFont="1" applyFill="1" applyBorder="1" applyAlignment="1">
      <alignment horizontal="left"/>
    </xf>
    <xf numFmtId="0" fontId="29" fillId="4" borderId="23" xfId="0" applyFont="1" applyFill="1" applyBorder="1"/>
    <xf numFmtId="0" fontId="14" fillId="4" borderId="23" xfId="0" applyFont="1" applyFill="1" applyBorder="1"/>
    <xf numFmtId="0" fontId="29" fillId="4" borderId="18" xfId="0" applyFont="1" applyFill="1" applyBorder="1"/>
    <xf numFmtId="0" fontId="30" fillId="4" borderId="18" xfId="0" applyFont="1" applyFill="1" applyBorder="1"/>
    <xf numFmtId="0" fontId="28" fillId="0" borderId="18" xfId="0" applyFont="1" applyBorder="1" applyAlignment="1">
      <alignment horizontal="left" vertical="top"/>
    </xf>
    <xf numFmtId="0" fontId="15" fillId="4" borderId="18" xfId="0" applyFont="1" applyFill="1" applyBorder="1" applyAlignment="1">
      <alignment horizontal="center"/>
    </xf>
    <xf numFmtId="170" fontId="15" fillId="4" borderId="18" xfId="0" applyNumberFormat="1" applyFont="1" applyFill="1" applyBorder="1" applyAlignment="1">
      <alignment horizontal="center"/>
    </xf>
    <xf numFmtId="0" fontId="28" fillId="0" borderId="18" xfId="0" applyFont="1" applyBorder="1" applyAlignment="1">
      <alignment vertical="top"/>
    </xf>
    <xf numFmtId="0" fontId="28" fillId="0" borderId="18" xfId="0" applyFont="1" applyBorder="1" applyAlignment="1">
      <alignment wrapText="1"/>
    </xf>
    <xf numFmtId="0" fontId="31" fillId="0" borderId="0" xfId="0" applyFont="1"/>
    <xf numFmtId="0" fontId="32" fillId="0" borderId="0" xfId="0" applyFont="1" applyAlignment="1">
      <alignment horizontal="center" vertical="top" wrapText="1"/>
    </xf>
    <xf numFmtId="0" fontId="33" fillId="0" borderId="0" xfId="0" applyFont="1" applyAlignment="1">
      <alignment horizontal="left" vertical="top" wrapText="1"/>
    </xf>
    <xf numFmtId="0" fontId="32"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vertical="top" wrapText="1"/>
    </xf>
    <xf numFmtId="0" fontId="18" fillId="0" borderId="19" xfId="0" applyFont="1" applyBorder="1" applyAlignment="1">
      <alignment vertical="top"/>
    </xf>
    <xf numFmtId="0" fontId="18" fillId="0" borderId="19" xfId="0" applyFont="1" applyBorder="1" applyAlignment="1">
      <alignment horizontal="center" vertical="top"/>
    </xf>
    <xf numFmtId="0" fontId="18" fillId="0" borderId="19" xfId="0" applyFont="1" applyBorder="1" applyAlignment="1">
      <alignment vertical="top" wrapText="1"/>
    </xf>
    <xf numFmtId="166" fontId="18" fillId="0" borderId="19" xfId="0" applyNumberFormat="1" applyFont="1" applyBorder="1" applyAlignment="1">
      <alignment vertical="top"/>
    </xf>
    <xf numFmtId="0" fontId="18" fillId="0" borderId="18" xfId="0" applyFont="1" applyBorder="1" applyAlignment="1">
      <alignment vertical="top"/>
    </xf>
    <xf numFmtId="0" fontId="18" fillId="0" borderId="18" xfId="0" applyFont="1" applyBorder="1" applyAlignment="1">
      <alignment horizontal="center" vertical="top"/>
    </xf>
    <xf numFmtId="0" fontId="18" fillId="0" borderId="18" xfId="0" applyFont="1" applyBorder="1" applyAlignment="1">
      <alignment vertical="top" wrapText="1"/>
    </xf>
    <xf numFmtId="166" fontId="18" fillId="0" borderId="18" xfId="0" applyNumberFormat="1" applyFont="1" applyBorder="1" applyAlignment="1">
      <alignment vertical="top"/>
    </xf>
    <xf numFmtId="0" fontId="18" fillId="0" borderId="20" xfId="0" applyFont="1" applyBorder="1" applyAlignment="1">
      <alignment vertical="top"/>
    </xf>
    <xf numFmtId="0" fontId="18" fillId="0" borderId="20" xfId="0" applyFont="1" applyBorder="1" applyAlignment="1">
      <alignment horizontal="center" vertical="top"/>
    </xf>
    <xf numFmtId="0" fontId="18" fillId="0" borderId="20" xfId="0" applyFont="1" applyBorder="1" applyAlignment="1">
      <alignment vertical="top" wrapText="1"/>
    </xf>
    <xf numFmtId="166" fontId="18" fillId="0" borderId="20" xfId="0" applyNumberFormat="1" applyFont="1" applyBorder="1" applyAlignment="1">
      <alignment vertical="top"/>
    </xf>
    <xf numFmtId="0" fontId="13" fillId="0" borderId="0" xfId="0" applyFont="1" applyAlignment="1">
      <alignment vertical="top"/>
    </xf>
    <xf numFmtId="0" fontId="13" fillId="0" borderId="0" xfId="0" applyFont="1" applyAlignment="1">
      <alignment horizontal="center" vertical="top"/>
    </xf>
    <xf numFmtId="0" fontId="13" fillId="0" borderId="0" xfId="0" applyFont="1" applyAlignment="1">
      <alignment vertical="top" wrapText="1"/>
    </xf>
    <xf numFmtId="166" fontId="13" fillId="0" borderId="0" xfId="0" applyNumberFormat="1" applyFont="1" applyAlignment="1">
      <alignment vertical="top"/>
    </xf>
    <xf numFmtId="172" fontId="13" fillId="5" borderId="18" xfId="0" applyNumberFormat="1" applyFont="1" applyFill="1" applyBorder="1" applyAlignment="1">
      <alignment vertical="top"/>
    </xf>
    <xf numFmtId="0" fontId="15" fillId="3" borderId="17" xfId="0" applyFont="1" applyFill="1" applyBorder="1" applyAlignment="1">
      <alignment horizontal="center" vertical="center" wrapText="1"/>
    </xf>
    <xf numFmtId="0" fontId="15" fillId="4" borderId="17" xfId="0" applyFont="1" applyFill="1" applyBorder="1" applyAlignment="1">
      <alignment horizontal="center" vertical="center"/>
    </xf>
    <xf numFmtId="0" fontId="13" fillId="0" borderId="19" xfId="0" applyFont="1" applyBorder="1" applyAlignment="1">
      <alignment horizontal="left"/>
    </xf>
    <xf numFmtId="49" fontId="13" fillId="0" borderId="19" xfId="0" applyNumberFormat="1" applyFont="1" applyBorder="1" applyAlignment="1">
      <alignment horizontal="left"/>
    </xf>
    <xf numFmtId="167" fontId="13" fillId="0" borderId="19" xfId="0" applyNumberFormat="1" applyFont="1" applyBorder="1" applyAlignment="1">
      <alignment horizontal="right"/>
    </xf>
    <xf numFmtId="168" fontId="13" fillId="0" borderId="19" xfId="0" applyNumberFormat="1" applyFont="1" applyBorder="1" applyAlignment="1">
      <alignment horizontal="right"/>
    </xf>
    <xf numFmtId="0" fontId="13" fillId="0" borderId="18" xfId="0" applyFont="1" applyBorder="1" applyAlignment="1">
      <alignment horizontal="left"/>
    </xf>
    <xf numFmtId="49" fontId="13" fillId="0" borderId="18" xfId="0" applyNumberFormat="1" applyFont="1" applyBorder="1" applyAlignment="1">
      <alignment horizontal="left"/>
    </xf>
    <xf numFmtId="167" fontId="13" fillId="0" borderId="18" xfId="0" applyNumberFormat="1" applyFont="1" applyBorder="1" applyAlignment="1">
      <alignment horizontal="right"/>
    </xf>
    <xf numFmtId="168" fontId="13" fillId="0" borderId="18" xfId="0" applyNumberFormat="1" applyFont="1" applyBorder="1" applyAlignment="1">
      <alignment horizontal="right"/>
    </xf>
    <xf numFmtId="0" fontId="13" fillId="0" borderId="20" xfId="0" applyFont="1" applyBorder="1" applyAlignment="1">
      <alignment horizontal="left"/>
    </xf>
    <xf numFmtId="49" fontId="13" fillId="0" borderId="20" xfId="0" applyNumberFormat="1" applyFont="1" applyBorder="1" applyAlignment="1">
      <alignment horizontal="left"/>
    </xf>
    <xf numFmtId="167" fontId="13" fillId="0" borderId="20" xfId="0" applyNumberFormat="1" applyFont="1" applyBorder="1" applyAlignment="1">
      <alignment horizontal="right"/>
    </xf>
    <xf numFmtId="168" fontId="13" fillId="0" borderId="20" xfId="0" applyNumberFormat="1" applyFont="1" applyBorder="1" applyAlignment="1">
      <alignment horizontal="right"/>
    </xf>
    <xf numFmtId="168" fontId="12" fillId="0" borderId="17" xfId="0" applyNumberFormat="1" applyFont="1" applyBorder="1" applyAlignment="1">
      <alignment horizontal="right" vertical="center"/>
    </xf>
    <xf numFmtId="0" fontId="13" fillId="0" borderId="0" xfId="0" applyFont="1"/>
    <xf numFmtId="49" fontId="13" fillId="0" borderId="0" xfId="0" applyNumberFormat="1" applyFont="1"/>
    <xf numFmtId="49" fontId="14" fillId="3" borderId="0" xfId="0" applyNumberFormat="1" applyFont="1" applyFill="1"/>
    <xf numFmtId="0" fontId="14" fillId="3" borderId="19" xfId="0" applyFont="1" applyFill="1" applyBorder="1"/>
    <xf numFmtId="0" fontId="14" fillId="3" borderId="19" xfId="0" applyFont="1" applyFill="1" applyBorder="1" applyAlignment="1">
      <alignment horizontal="center"/>
    </xf>
    <xf numFmtId="168" fontId="14" fillId="3" borderId="19" xfId="0" applyNumberFormat="1" applyFont="1" applyFill="1" applyBorder="1"/>
    <xf numFmtId="0" fontId="19" fillId="3" borderId="17" xfId="0" applyFont="1" applyFill="1" applyBorder="1"/>
    <xf numFmtId="0" fontId="19" fillId="3" borderId="17" xfId="0" applyFont="1" applyFill="1" applyBorder="1" applyAlignment="1">
      <alignment horizontal="center"/>
    </xf>
    <xf numFmtId="168" fontId="19" fillId="3" borderId="17" xfId="0" applyNumberFormat="1" applyFont="1" applyFill="1" applyBorder="1"/>
    <xf numFmtId="0" fontId="15" fillId="4" borderId="27" xfId="0" applyFont="1" applyFill="1" applyBorder="1" applyAlignment="1">
      <alignment horizontal="center" vertical="center"/>
    </xf>
    <xf numFmtId="0" fontId="43" fillId="3" borderId="17" xfId="0" applyFont="1" applyFill="1" applyBorder="1" applyAlignment="1">
      <alignment vertical="top"/>
    </xf>
    <xf numFmtId="0" fontId="43" fillId="4" borderId="17" xfId="0" applyFont="1" applyFill="1" applyBorder="1" applyAlignment="1">
      <alignment horizontal="center" vertical="top"/>
    </xf>
    <xf numFmtId="0" fontId="43" fillId="4" borderId="17" xfId="0" applyFont="1" applyFill="1" applyBorder="1" applyAlignment="1">
      <alignment vertical="top" wrapText="1"/>
    </xf>
    <xf numFmtId="173" fontId="43" fillId="4" borderId="17" xfId="0" applyNumberFormat="1" applyFont="1" applyFill="1" applyBorder="1" applyAlignment="1">
      <alignment horizontal="center" vertical="top"/>
    </xf>
    <xf numFmtId="173" fontId="43" fillId="4" borderId="17" xfId="0" applyNumberFormat="1" applyFont="1" applyFill="1" applyBorder="1" applyAlignment="1">
      <alignment vertical="top"/>
    </xf>
    <xf numFmtId="0" fontId="14" fillId="3" borderId="19" xfId="0" applyFont="1" applyFill="1" applyBorder="1" applyAlignment="1">
      <alignment vertical="top"/>
    </xf>
    <xf numFmtId="0" fontId="14" fillId="4" borderId="19" xfId="0" applyFont="1" applyFill="1" applyBorder="1" applyAlignment="1">
      <alignment horizontal="center" vertical="top"/>
    </xf>
    <xf numFmtId="0" fontId="14" fillId="4" borderId="19" xfId="0" applyFont="1" applyFill="1" applyBorder="1" applyAlignment="1">
      <alignment vertical="top"/>
    </xf>
    <xf numFmtId="0" fontId="14" fillId="4" borderId="19" xfId="0" applyFont="1" applyFill="1" applyBorder="1" applyAlignment="1">
      <alignment vertical="top" wrapText="1"/>
    </xf>
    <xf numFmtId="173" fontId="14" fillId="4" borderId="19" xfId="0" applyNumberFormat="1" applyFont="1" applyFill="1" applyBorder="1" applyAlignment="1">
      <alignment horizontal="center" vertical="top"/>
    </xf>
    <xf numFmtId="173" fontId="14" fillId="4" borderId="19" xfId="0" applyNumberFormat="1" applyFont="1" applyFill="1" applyBorder="1" applyAlignment="1">
      <alignment vertical="top"/>
    </xf>
    <xf numFmtId="0" fontId="23" fillId="3" borderId="18" xfId="0" applyFont="1" applyFill="1" applyBorder="1" applyAlignment="1">
      <alignment vertical="top"/>
    </xf>
    <xf numFmtId="0" fontId="23" fillId="4" borderId="18" xfId="0" applyFont="1" applyFill="1" applyBorder="1" applyAlignment="1">
      <alignment horizontal="center" vertical="top"/>
    </xf>
    <xf numFmtId="49" fontId="23" fillId="4" borderId="18" xfId="0" applyNumberFormat="1" applyFont="1" applyFill="1" applyBorder="1" applyAlignment="1">
      <alignment vertical="top"/>
    </xf>
    <xf numFmtId="0" fontId="23" fillId="4" borderId="18" xfId="0" applyFont="1" applyFill="1" applyBorder="1" applyAlignment="1">
      <alignment vertical="top" wrapText="1"/>
    </xf>
    <xf numFmtId="173" fontId="23" fillId="4" borderId="18" xfId="0" applyNumberFormat="1" applyFont="1" applyFill="1" applyBorder="1" applyAlignment="1">
      <alignment horizontal="center" vertical="top"/>
    </xf>
    <xf numFmtId="173" fontId="23" fillId="4" borderId="18" xfId="0" applyNumberFormat="1" applyFont="1" applyFill="1" applyBorder="1" applyAlignment="1">
      <alignment vertical="top"/>
    </xf>
    <xf numFmtId="0" fontId="14" fillId="3" borderId="18" xfId="0" applyFont="1" applyFill="1" applyBorder="1" applyAlignment="1">
      <alignment vertical="top"/>
    </xf>
    <xf numFmtId="0" fontId="14" fillId="4" borderId="18" xfId="0" applyFont="1" applyFill="1" applyBorder="1" applyAlignment="1">
      <alignment horizontal="center" vertical="top"/>
    </xf>
    <xf numFmtId="0" fontId="14" fillId="4" borderId="18" xfId="0" applyFont="1" applyFill="1" applyBorder="1" applyAlignment="1">
      <alignment vertical="top" wrapText="1"/>
    </xf>
    <xf numFmtId="173" fontId="14" fillId="4" borderId="18" xfId="0" applyNumberFormat="1" applyFont="1" applyFill="1" applyBorder="1" applyAlignment="1">
      <alignment horizontal="center" vertical="top"/>
    </xf>
    <xf numFmtId="173" fontId="14" fillId="4" borderId="18" xfId="0" applyNumberFormat="1" applyFont="1" applyFill="1" applyBorder="1" applyAlignment="1">
      <alignment vertical="top"/>
    </xf>
    <xf numFmtId="0" fontId="14" fillId="3" borderId="20" xfId="0" applyFont="1" applyFill="1" applyBorder="1" applyAlignment="1">
      <alignment vertical="top"/>
    </xf>
    <xf numFmtId="0" fontId="14" fillId="4" borderId="20" xfId="0" applyFont="1" applyFill="1" applyBorder="1" applyAlignment="1">
      <alignment horizontal="center" vertical="top"/>
    </xf>
    <xf numFmtId="0" fontId="14" fillId="4" borderId="20" xfId="0" applyFont="1" applyFill="1" applyBorder="1" applyAlignment="1">
      <alignment vertical="top" wrapText="1"/>
    </xf>
    <xf numFmtId="173" fontId="14" fillId="4" borderId="20" xfId="0" applyNumberFormat="1" applyFont="1" applyFill="1" applyBorder="1" applyAlignment="1">
      <alignment horizontal="center" vertical="top"/>
    </xf>
    <xf numFmtId="173" fontId="14" fillId="4" borderId="20" xfId="0" applyNumberFormat="1" applyFont="1" applyFill="1" applyBorder="1" applyAlignment="1">
      <alignment vertical="top"/>
    </xf>
    <xf numFmtId="0" fontId="14" fillId="3" borderId="19" xfId="0" applyFont="1" applyFill="1" applyBorder="1" applyAlignment="1">
      <alignment horizontal="center" vertical="top"/>
    </xf>
    <xf numFmtId="0" fontId="14" fillId="3" borderId="19" xfId="0" applyFont="1" applyFill="1" applyBorder="1" applyAlignment="1">
      <alignment vertical="top" wrapText="1"/>
    </xf>
    <xf numFmtId="173" fontId="14" fillId="3" borderId="19" xfId="0" applyNumberFormat="1" applyFont="1" applyFill="1" applyBorder="1" applyAlignment="1">
      <alignment horizontal="center" vertical="top"/>
    </xf>
    <xf numFmtId="173" fontId="14" fillId="3" borderId="19" xfId="0" applyNumberFormat="1" applyFont="1" applyFill="1" applyBorder="1" applyAlignment="1">
      <alignment vertical="top"/>
    </xf>
    <xf numFmtId="0" fontId="23" fillId="3" borderId="18" xfId="0" applyFont="1" applyFill="1" applyBorder="1" applyAlignment="1">
      <alignment horizontal="center" vertical="top"/>
    </xf>
    <xf numFmtId="49" fontId="23" fillId="3" borderId="18" xfId="0" applyNumberFormat="1" applyFont="1" applyFill="1" applyBorder="1" applyAlignment="1">
      <alignment vertical="top"/>
    </xf>
    <xf numFmtId="0" fontId="23" fillId="3" borderId="18" xfId="0" applyFont="1" applyFill="1" applyBorder="1" applyAlignment="1">
      <alignment vertical="top" wrapText="1"/>
    </xf>
    <xf numFmtId="173" fontId="23" fillId="3" borderId="18" xfId="0" applyNumberFormat="1" applyFont="1" applyFill="1" applyBorder="1" applyAlignment="1">
      <alignment horizontal="center" vertical="top"/>
    </xf>
    <xf numFmtId="173" fontId="23" fillId="3" borderId="18" xfId="0" applyNumberFormat="1" applyFont="1" applyFill="1" applyBorder="1" applyAlignment="1">
      <alignment vertical="top"/>
    </xf>
    <xf numFmtId="0" fontId="14" fillId="3" borderId="18" xfId="0" applyFont="1" applyFill="1" applyBorder="1" applyAlignment="1">
      <alignment horizontal="center" vertical="top"/>
    </xf>
    <xf numFmtId="0" fontId="14" fillId="3" borderId="18" xfId="0" applyFont="1" applyFill="1" applyBorder="1" applyAlignment="1">
      <alignment vertical="top" wrapText="1"/>
    </xf>
    <xf numFmtId="173" fontId="14" fillId="3" borderId="18" xfId="0" applyNumberFormat="1" applyFont="1" applyFill="1" applyBorder="1" applyAlignment="1">
      <alignment horizontal="center" vertical="top"/>
    </xf>
    <xf numFmtId="173" fontId="14" fillId="3" borderId="18" xfId="0" applyNumberFormat="1" applyFont="1" applyFill="1" applyBorder="1" applyAlignment="1">
      <alignment vertical="top"/>
    </xf>
    <xf numFmtId="0" fontId="14" fillId="3" borderId="20" xfId="0" applyFont="1" applyFill="1" applyBorder="1" applyAlignment="1">
      <alignment horizontal="center" vertical="top"/>
    </xf>
    <xf numFmtId="0" fontId="14" fillId="3" borderId="20" xfId="0" applyFont="1" applyFill="1" applyBorder="1" applyAlignment="1">
      <alignment vertical="top" wrapText="1"/>
    </xf>
    <xf numFmtId="173" fontId="14" fillId="3" borderId="20" xfId="0" applyNumberFormat="1" applyFont="1" applyFill="1" applyBorder="1" applyAlignment="1">
      <alignment horizontal="center" vertical="top"/>
    </xf>
    <xf numFmtId="173" fontId="14" fillId="3" borderId="20" xfId="0" applyNumberFormat="1" applyFont="1" applyFill="1" applyBorder="1" applyAlignment="1">
      <alignment vertical="top"/>
    </xf>
    <xf numFmtId="166" fontId="43" fillId="4" borderId="17" xfId="0" applyNumberFormat="1" applyFont="1" applyFill="1" applyBorder="1" applyAlignment="1">
      <alignment vertical="top"/>
    </xf>
    <xf numFmtId="166" fontId="14" fillId="4" borderId="0" xfId="0" applyNumberFormat="1" applyFont="1" applyFill="1" applyAlignment="1">
      <alignment vertical="top"/>
    </xf>
    <xf numFmtId="166" fontId="14" fillId="4" borderId="19" xfId="0" applyNumberFormat="1" applyFont="1" applyFill="1" applyBorder="1" applyAlignment="1">
      <alignment vertical="top"/>
    </xf>
    <xf numFmtId="166" fontId="23" fillId="4" borderId="18" xfId="0" applyNumberFormat="1" applyFont="1" applyFill="1" applyBorder="1" applyAlignment="1">
      <alignment vertical="top"/>
    </xf>
    <xf numFmtId="166" fontId="14" fillId="4" borderId="18" xfId="0" applyNumberFormat="1" applyFont="1" applyFill="1" applyBorder="1" applyAlignment="1">
      <alignment vertical="top"/>
    </xf>
    <xf numFmtId="166" fontId="14" fillId="4" borderId="20" xfId="0" applyNumberFormat="1" applyFont="1" applyFill="1" applyBorder="1" applyAlignment="1">
      <alignment vertical="top"/>
    </xf>
    <xf numFmtId="166" fontId="14" fillId="3" borderId="19" xfId="0" applyNumberFormat="1" applyFont="1" applyFill="1" applyBorder="1" applyAlignment="1">
      <alignment vertical="top"/>
    </xf>
    <xf numFmtId="166" fontId="14" fillId="3" borderId="19" xfId="0" applyNumberFormat="1" applyFont="1" applyFill="1" applyBorder="1"/>
    <xf numFmtId="166" fontId="23" fillId="3" borderId="18" xfId="0" applyNumberFormat="1" applyFont="1" applyFill="1" applyBorder="1" applyAlignment="1">
      <alignment vertical="top"/>
    </xf>
    <xf numFmtId="166" fontId="23" fillId="3" borderId="18" xfId="0" applyNumberFormat="1" applyFont="1" applyFill="1" applyBorder="1"/>
    <xf numFmtId="166" fontId="14" fillId="3" borderId="18" xfId="0" applyNumberFormat="1" applyFont="1" applyFill="1" applyBorder="1" applyAlignment="1">
      <alignment vertical="top"/>
    </xf>
    <xf numFmtId="166" fontId="14" fillId="3" borderId="18" xfId="0" applyNumberFormat="1" applyFont="1" applyFill="1" applyBorder="1"/>
    <xf numFmtId="166" fontId="14" fillId="3" borderId="20" xfId="0" applyNumberFormat="1" applyFont="1" applyFill="1" applyBorder="1" applyAlignment="1">
      <alignment vertical="top"/>
    </xf>
    <xf numFmtId="166" fontId="14" fillId="3" borderId="20" xfId="0" applyNumberFormat="1" applyFont="1" applyFill="1" applyBorder="1"/>
    <xf numFmtId="0" fontId="14" fillId="3" borderId="18" xfId="0" applyFont="1" applyFill="1" applyBorder="1"/>
    <xf numFmtId="0" fontId="14" fillId="3" borderId="20" xfId="0" applyFont="1" applyFill="1" applyBorder="1"/>
    <xf numFmtId="0" fontId="43" fillId="3" borderId="17" xfId="0" applyFont="1" applyFill="1" applyBorder="1" applyAlignment="1">
      <alignment horizontal="center" vertical="top"/>
    </xf>
    <xf numFmtId="0" fontId="43" fillId="3" borderId="17" xfId="0" applyFont="1" applyFill="1" applyBorder="1" applyAlignment="1">
      <alignment vertical="top" wrapText="1"/>
    </xf>
    <xf numFmtId="173" fontId="43" fillId="3" borderId="17" xfId="0" applyNumberFormat="1" applyFont="1" applyFill="1" applyBorder="1" applyAlignment="1">
      <alignment horizontal="center" vertical="top"/>
    </xf>
    <xf numFmtId="173" fontId="43" fillId="3" borderId="17" xfId="0" applyNumberFormat="1" applyFont="1" applyFill="1" applyBorder="1" applyAlignment="1">
      <alignment vertical="top"/>
    </xf>
    <xf numFmtId="166" fontId="43" fillId="3" borderId="17" xfId="0" applyNumberFormat="1" applyFont="1" applyFill="1" applyBorder="1" applyAlignment="1">
      <alignment vertical="top"/>
    </xf>
    <xf numFmtId="166" fontId="14" fillId="3" borderId="0" xfId="0" applyNumberFormat="1" applyFont="1" applyFill="1" applyAlignment="1">
      <alignment vertical="top"/>
    </xf>
    <xf numFmtId="166" fontId="14" fillId="3" borderId="0" xfId="0" applyNumberFormat="1" applyFont="1" applyFill="1"/>
    <xf numFmtId="49" fontId="16" fillId="0" borderId="0" xfId="42" applyNumberFormat="1" applyFont="1" applyAlignment="1">
      <alignment vertical="center"/>
    </xf>
    <xf numFmtId="0" fontId="38" fillId="0" borderId="0" xfId="42" applyFont="1" applyAlignment="1">
      <alignment vertical="center"/>
    </xf>
    <xf numFmtId="0" fontId="13" fillId="0" borderId="0" xfId="42" applyFont="1"/>
    <xf numFmtId="0" fontId="18" fillId="0" borderId="17" xfId="42" applyFont="1" applyBorder="1" applyAlignment="1">
      <alignment horizontal="center" vertical="center" wrapText="1"/>
    </xf>
    <xf numFmtId="0" fontId="44" fillId="0" borderId="17" xfId="42" applyFont="1" applyBorder="1" applyAlignment="1">
      <alignment horizontal="center" vertical="center" wrapText="1"/>
    </xf>
    <xf numFmtId="0" fontId="45" fillId="0" borderId="19" xfId="42" applyFont="1" applyBorder="1"/>
    <xf numFmtId="0" fontId="45" fillId="0" borderId="19" xfId="42" applyFont="1" applyBorder="1" applyAlignment="1">
      <alignment horizontal="center"/>
    </xf>
    <xf numFmtId="0" fontId="45" fillId="0" borderId="19" xfId="42" applyFont="1" applyBorder="1" applyAlignment="1">
      <alignment horizontal="left" vertical="top" wrapText="1"/>
    </xf>
    <xf numFmtId="166" fontId="45" fillId="0" borderId="19" xfId="42" applyNumberFormat="1" applyFont="1" applyBorder="1" applyAlignment="1">
      <alignment horizontal="right"/>
    </xf>
    <xf numFmtId="0" fontId="13" fillId="0" borderId="19" xfId="42" applyFont="1" applyBorder="1" applyAlignment="1">
      <alignment horizontal="center"/>
    </xf>
    <xf numFmtId="0" fontId="46" fillId="0" borderId="18" xfId="42" applyFont="1" applyBorder="1"/>
    <xf numFmtId="0" fontId="46" fillId="0" borderId="18" xfId="42" applyFont="1" applyBorder="1" applyAlignment="1">
      <alignment horizontal="center"/>
    </xf>
    <xf numFmtId="166" fontId="46" fillId="0" borderId="18" xfId="42" applyNumberFormat="1" applyFont="1" applyBorder="1" applyAlignment="1">
      <alignment horizontal="right"/>
    </xf>
    <xf numFmtId="0" fontId="45" fillId="0" borderId="18" xfId="42" applyFont="1" applyBorder="1"/>
    <xf numFmtId="0" fontId="45" fillId="0" borderId="18" xfId="42" applyFont="1" applyBorder="1" applyAlignment="1">
      <alignment horizontal="center"/>
    </xf>
    <xf numFmtId="0" fontId="45" fillId="0" borderId="18" xfId="42" applyFont="1" applyBorder="1" applyAlignment="1">
      <alignment horizontal="left" vertical="top" wrapText="1"/>
    </xf>
    <xf numFmtId="166" fontId="45" fillId="0" borderId="18" xfId="42" applyNumberFormat="1" applyFont="1" applyBorder="1" applyAlignment="1">
      <alignment horizontal="right"/>
    </xf>
    <xf numFmtId="0" fontId="13" fillId="0" borderId="18" xfId="42" applyFont="1" applyBorder="1" applyAlignment="1">
      <alignment horizontal="center"/>
    </xf>
    <xf numFmtId="0" fontId="13" fillId="0" borderId="18" xfId="42" applyFont="1" applyBorder="1"/>
    <xf numFmtId="0" fontId="13" fillId="0" borderId="18" xfId="42" applyFont="1" applyBorder="1" applyAlignment="1">
      <alignment horizontal="left" vertical="top" wrapText="1"/>
    </xf>
    <xf numFmtId="166" fontId="13" fillId="0" borderId="18" xfId="42" applyNumberFormat="1" applyFont="1" applyBorder="1" applyAlignment="1">
      <alignment horizontal="right"/>
    </xf>
    <xf numFmtId="0" fontId="13" fillId="0" borderId="20" xfId="42" applyFont="1" applyBorder="1"/>
    <xf numFmtId="0" fontId="13" fillId="0" borderId="20" xfId="42" applyFont="1" applyBorder="1" applyAlignment="1">
      <alignment horizontal="center"/>
    </xf>
    <xf numFmtId="0" fontId="13" fillId="0" borderId="20" xfId="42" applyFont="1" applyBorder="1" applyAlignment="1">
      <alignment horizontal="left" vertical="top" wrapText="1"/>
    </xf>
    <xf numFmtId="0" fontId="46" fillId="0" borderId="20" xfId="42" applyFont="1" applyBorder="1" applyAlignment="1">
      <alignment horizontal="center"/>
    </xf>
    <xf numFmtId="0" fontId="19" fillId="0" borderId="17" xfId="42" applyFont="1" applyBorder="1"/>
    <xf numFmtId="0" fontId="19" fillId="0" borderId="17" xfId="42" applyFont="1" applyBorder="1" applyAlignment="1">
      <alignment horizontal="center"/>
    </xf>
    <xf numFmtId="0" fontId="19" fillId="0" borderId="17" xfId="42" applyFont="1" applyBorder="1" applyAlignment="1">
      <alignment horizontal="left" vertical="top" wrapText="1"/>
    </xf>
    <xf numFmtId="166" fontId="19" fillId="0" borderId="17" xfId="42" applyNumberFormat="1" applyFont="1" applyBorder="1" applyAlignment="1">
      <alignment horizontal="right"/>
    </xf>
    <xf numFmtId="0" fontId="91" fillId="0" borderId="0" xfId="42"/>
    <xf numFmtId="0" fontId="13" fillId="0" borderId="19" xfId="42" applyFont="1" applyBorder="1"/>
    <xf numFmtId="174" fontId="46" fillId="5" borderId="18" xfId="2" applyNumberFormat="1" applyFont="1" applyFill="1" applyBorder="1"/>
    <xf numFmtId="0" fontId="46" fillId="0" borderId="0" xfId="0" applyFont="1"/>
    <xf numFmtId="175" fontId="13" fillId="6" borderId="18" xfId="2" applyNumberFormat="1" applyFont="1" applyFill="1" applyBorder="1"/>
    <xf numFmtId="0" fontId="14" fillId="0" borderId="0" xfId="0" applyFont="1" applyAlignment="1" applyProtection="1">
      <alignment vertical="top"/>
      <protection locked="0"/>
    </xf>
    <xf numFmtId="0" fontId="41" fillId="0" borderId="17" xfId="0" applyFont="1" applyBorder="1" applyAlignment="1" applyProtection="1">
      <alignment horizontal="center" vertical="center"/>
      <protection locked="0"/>
    </xf>
    <xf numFmtId="0" fontId="19" fillId="0" borderId="29" xfId="0" applyFont="1" applyBorder="1" applyAlignment="1" applyProtection="1">
      <alignment horizontal="center" vertical="top" wrapText="1"/>
      <protection locked="0"/>
    </xf>
    <xf numFmtId="0" fontId="19" fillId="0" borderId="30" xfId="0" applyFont="1" applyBorder="1" applyAlignment="1" applyProtection="1">
      <alignment horizontal="center" vertical="top" wrapText="1"/>
      <protection locked="0"/>
    </xf>
    <xf numFmtId="176" fontId="19" fillId="0" borderId="30" xfId="0" applyNumberFormat="1" applyFont="1" applyBorder="1" applyAlignment="1" applyProtection="1">
      <alignment horizontal="right" vertical="top" wrapText="1"/>
      <protection locked="0"/>
    </xf>
    <xf numFmtId="37" fontId="19" fillId="0" borderId="30" xfId="0" applyNumberFormat="1" applyFont="1" applyBorder="1" applyAlignment="1" applyProtection="1">
      <alignment horizontal="right" vertical="top" wrapText="1"/>
      <protection locked="0"/>
    </xf>
    <xf numFmtId="0" fontId="14" fillId="0" borderId="29" xfId="0" applyFont="1" applyBorder="1" applyAlignment="1" applyProtection="1">
      <alignment horizontal="center" vertical="top"/>
      <protection locked="0"/>
    </xf>
    <xf numFmtId="0" fontId="14" fillId="0" borderId="30" xfId="0" applyFont="1" applyBorder="1" applyAlignment="1" applyProtection="1">
      <alignment horizontal="center" vertical="top" wrapText="1"/>
      <protection locked="0"/>
    </xf>
    <xf numFmtId="0" fontId="14" fillId="0" borderId="30" xfId="0" applyFont="1" applyBorder="1" applyAlignment="1" applyProtection="1">
      <alignment vertical="top" wrapText="1"/>
      <protection locked="0"/>
    </xf>
    <xf numFmtId="173" fontId="14" fillId="0" borderId="30" xfId="0" applyNumberFormat="1" applyFont="1" applyBorder="1" applyAlignment="1" applyProtection="1">
      <alignment vertical="top" wrapText="1"/>
      <protection locked="0"/>
    </xf>
    <xf numFmtId="37" fontId="14" fillId="0" borderId="30" xfId="0" applyNumberFormat="1" applyFont="1" applyBorder="1" applyAlignment="1" applyProtection="1">
      <alignment vertical="top" wrapText="1"/>
      <protection locked="0"/>
    </xf>
    <xf numFmtId="0" fontId="14" fillId="0" borderId="31" xfId="0" applyFont="1" applyBorder="1" applyAlignment="1" applyProtection="1">
      <alignment horizontal="center" vertical="top"/>
      <protection locked="0"/>
    </xf>
    <xf numFmtId="0" fontId="14" fillId="0" borderId="32" xfId="0" applyFont="1" applyBorder="1" applyAlignment="1" applyProtection="1">
      <alignment horizontal="center" vertical="top" wrapText="1"/>
      <protection locked="0"/>
    </xf>
    <xf numFmtId="0" fontId="14" fillId="0" borderId="32" xfId="0" applyFont="1" applyBorder="1" applyAlignment="1" applyProtection="1">
      <alignment vertical="top" wrapText="1"/>
      <protection locked="0"/>
    </xf>
    <xf numFmtId="176" fontId="14" fillId="0" borderId="32" xfId="0" applyNumberFormat="1" applyFont="1" applyBorder="1" applyAlignment="1" applyProtection="1">
      <alignment vertical="top" wrapText="1"/>
      <protection locked="0"/>
    </xf>
    <xf numFmtId="37" fontId="14" fillId="0" borderId="32" xfId="0" applyNumberFormat="1" applyFont="1" applyBorder="1" applyAlignment="1" applyProtection="1">
      <alignment vertical="top" wrapText="1"/>
      <protection locked="0"/>
    </xf>
    <xf numFmtId="0" fontId="15" fillId="7" borderId="17" xfId="0" applyFont="1" applyFill="1" applyBorder="1" applyAlignment="1">
      <alignment horizontal="center" vertical="top"/>
    </xf>
    <xf numFmtId="0" fontId="15" fillId="7" borderId="17" xfId="0" applyFont="1" applyFill="1" applyBorder="1" applyAlignment="1">
      <alignment horizontal="center" vertical="top" wrapText="1"/>
    </xf>
    <xf numFmtId="167" fontId="15" fillId="7" borderId="17" xfId="0" applyNumberFormat="1" applyFont="1" applyFill="1" applyBorder="1" applyAlignment="1">
      <alignment horizontal="center" vertical="top"/>
    </xf>
    <xf numFmtId="166" fontId="15" fillId="7" borderId="17" xfId="0" applyNumberFormat="1" applyFont="1" applyFill="1" applyBorder="1" applyAlignment="1">
      <alignment horizontal="center" vertical="top"/>
    </xf>
    <xf numFmtId="0" fontId="43" fillId="8" borderId="17" xfId="0" applyFont="1" applyFill="1" applyBorder="1" applyAlignment="1">
      <alignment vertical="center"/>
    </xf>
    <xf numFmtId="0" fontId="43" fillId="8" borderId="17" xfId="0" applyFont="1" applyFill="1" applyBorder="1" applyAlignment="1">
      <alignment horizontal="center" vertical="center"/>
    </xf>
    <xf numFmtId="0" fontId="43" fillId="8" borderId="17" xfId="0" applyFont="1" applyFill="1" applyBorder="1" applyAlignment="1">
      <alignment vertical="center" wrapText="1"/>
    </xf>
    <xf numFmtId="167" fontId="43" fillId="8" borderId="17" xfId="0" applyNumberFormat="1" applyFont="1" applyFill="1" applyBorder="1" applyAlignment="1">
      <alignment vertical="center"/>
    </xf>
    <xf numFmtId="166" fontId="43" fillId="8" borderId="17" xfId="0" applyNumberFormat="1" applyFont="1" applyFill="1" applyBorder="1" applyAlignment="1">
      <alignment vertical="center"/>
    </xf>
    <xf numFmtId="167" fontId="47" fillId="9" borderId="18" xfId="0" applyNumberFormat="1" applyFont="1" applyFill="1" applyBorder="1" applyAlignment="1">
      <alignment vertical="top"/>
    </xf>
    <xf numFmtId="167" fontId="14" fillId="9" borderId="18" xfId="0" applyNumberFormat="1" applyFont="1" applyFill="1" applyBorder="1" applyAlignment="1">
      <alignment vertical="top"/>
    </xf>
    <xf numFmtId="167" fontId="14" fillId="3" borderId="18" xfId="0" applyNumberFormat="1" applyFont="1" applyFill="1" applyBorder="1" applyAlignment="1">
      <alignment vertical="top"/>
    </xf>
    <xf numFmtId="167" fontId="47" fillId="3" borderId="18" xfId="0" applyNumberFormat="1" applyFont="1" applyFill="1" applyBorder="1" applyAlignment="1">
      <alignment vertical="top"/>
    </xf>
    <xf numFmtId="167" fontId="14" fillId="10" borderId="18" xfId="0" applyNumberFormat="1" applyFont="1" applyFill="1" applyBorder="1" applyAlignment="1">
      <alignment vertical="top"/>
    </xf>
    <xf numFmtId="0" fontId="14" fillId="3" borderId="0" xfId="0" applyFont="1" applyFill="1" applyAlignment="1">
      <alignment vertical="top"/>
    </xf>
    <xf numFmtId="167" fontId="47" fillId="10" borderId="18" xfId="0" applyNumberFormat="1" applyFont="1" applyFill="1" applyBorder="1" applyAlignment="1">
      <alignment vertical="top"/>
    </xf>
    <xf numFmtId="167" fontId="14" fillId="3" borderId="20" xfId="0" applyNumberFormat="1" applyFont="1" applyFill="1" applyBorder="1" applyAlignment="1">
      <alignment vertical="top"/>
    </xf>
    <xf numFmtId="0" fontId="12" fillId="7" borderId="17" xfId="0" applyFont="1" applyFill="1" applyBorder="1" applyAlignment="1">
      <alignment vertical="top"/>
    </xf>
    <xf numFmtId="0" fontId="12" fillId="7" borderId="17" xfId="0" applyFont="1" applyFill="1" applyBorder="1" applyAlignment="1">
      <alignment horizontal="center" vertical="top"/>
    </xf>
    <xf numFmtId="0" fontId="12" fillId="7" borderId="17" xfId="0" applyFont="1" applyFill="1" applyBorder="1" applyAlignment="1">
      <alignment vertical="top" wrapText="1"/>
    </xf>
    <xf numFmtId="167" fontId="12" fillId="7" borderId="17" xfId="0" applyNumberFormat="1" applyFont="1" applyFill="1" applyBorder="1" applyAlignment="1">
      <alignment vertical="top"/>
    </xf>
    <xf numFmtId="166" fontId="12" fillId="7" borderId="17" xfId="0" applyNumberFormat="1" applyFont="1" applyFill="1" applyBorder="1" applyAlignment="1">
      <alignment vertical="top"/>
    </xf>
    <xf numFmtId="0" fontId="48" fillId="0" borderId="18" xfId="0" applyFont="1" applyBorder="1"/>
    <xf numFmtId="0" fontId="48" fillId="0" borderId="18" xfId="0" applyFont="1" applyBorder="1" applyAlignment="1">
      <alignment horizontal="center"/>
    </xf>
    <xf numFmtId="167" fontId="48" fillId="0" borderId="18" xfId="0" applyNumberFormat="1" applyFont="1" applyBorder="1" applyAlignment="1">
      <alignment horizontal="right"/>
    </xf>
    <xf numFmtId="0" fontId="48" fillId="0" borderId="20" xfId="0" applyFont="1" applyBorder="1"/>
    <xf numFmtId="0" fontId="48" fillId="0" borderId="20" xfId="0" applyFont="1" applyBorder="1" applyAlignment="1">
      <alignment horizontal="center"/>
    </xf>
    <xf numFmtId="167" fontId="48" fillId="0" borderId="20" xfId="0" applyNumberFormat="1" applyFont="1" applyBorder="1" applyAlignment="1">
      <alignment horizontal="right"/>
    </xf>
    <xf numFmtId="0" fontId="12" fillId="0" borderId="17" xfId="0" applyFont="1" applyBorder="1"/>
    <xf numFmtId="0" fontId="12" fillId="0" borderId="17" xfId="0" applyFont="1" applyBorder="1" applyAlignment="1">
      <alignment horizontal="center"/>
    </xf>
    <xf numFmtId="167" fontId="12" fillId="0" borderId="17" xfId="0" applyNumberFormat="1" applyFont="1" applyBorder="1" applyAlignment="1">
      <alignment horizontal="right"/>
    </xf>
    <xf numFmtId="166" fontId="13" fillId="0" borderId="19" xfId="0" applyNumberFormat="1" applyFont="1" applyBorder="1" applyAlignment="1">
      <alignment horizontal="right"/>
    </xf>
    <xf numFmtId="166" fontId="48" fillId="0" borderId="18" xfId="0" applyNumberFormat="1" applyFont="1" applyBorder="1" applyAlignment="1">
      <alignment horizontal="right"/>
    </xf>
    <xf numFmtId="166" fontId="13" fillId="0" borderId="18" xfId="0" applyNumberFormat="1" applyFont="1" applyBorder="1" applyAlignment="1">
      <alignment horizontal="right"/>
    </xf>
    <xf numFmtId="166" fontId="48" fillId="0" borderId="20" xfId="0" applyNumberFormat="1" applyFont="1" applyBorder="1" applyAlignment="1">
      <alignment horizontal="right"/>
    </xf>
    <xf numFmtId="166" fontId="12" fillId="0" borderId="17" xfId="0" applyNumberFormat="1" applyFont="1" applyBorder="1" applyAlignment="1">
      <alignment horizontal="right"/>
    </xf>
    <xf numFmtId="166" fontId="12" fillId="0" borderId="17" xfId="0" applyNumberFormat="1" applyFont="1" applyBorder="1"/>
    <xf numFmtId="0" fontId="15" fillId="3" borderId="19" xfId="0" applyFont="1" applyFill="1" applyBorder="1"/>
    <xf numFmtId="0" fontId="15" fillId="3" borderId="19" xfId="0" applyFont="1" applyFill="1" applyBorder="1" applyAlignment="1">
      <alignment horizontal="center"/>
    </xf>
    <xf numFmtId="166" fontId="15" fillId="5" borderId="19" xfId="0" applyNumberFormat="1" applyFont="1" applyFill="1" applyBorder="1"/>
    <xf numFmtId="0" fontId="15" fillId="5" borderId="19" xfId="0" applyFont="1" applyFill="1" applyBorder="1" applyAlignment="1">
      <alignment horizontal="center"/>
    </xf>
    <xf numFmtId="0" fontId="23" fillId="3" borderId="18" xfId="0" applyFont="1" applyFill="1" applyBorder="1"/>
    <xf numFmtId="0" fontId="23" fillId="3" borderId="18" xfId="0" applyFont="1" applyFill="1" applyBorder="1" applyAlignment="1">
      <alignment horizontal="center"/>
    </xf>
    <xf numFmtId="0" fontId="14" fillId="3" borderId="18" xfId="0" applyFont="1" applyFill="1" applyBorder="1" applyAlignment="1">
      <alignment horizontal="center"/>
    </xf>
    <xf numFmtId="0" fontId="14" fillId="5" borderId="18" xfId="0" applyFont="1" applyFill="1" applyBorder="1" applyAlignment="1">
      <alignment horizontal="center"/>
    </xf>
    <xf numFmtId="0" fontId="15" fillId="3" borderId="18" xfId="0" applyFont="1" applyFill="1" applyBorder="1"/>
    <xf numFmtId="0" fontId="15" fillId="3" borderId="18" xfId="0" applyFont="1" applyFill="1" applyBorder="1" applyAlignment="1">
      <alignment horizontal="center"/>
    </xf>
    <xf numFmtId="166" fontId="15" fillId="5" borderId="18" xfId="0" applyNumberFormat="1" applyFont="1" applyFill="1" applyBorder="1"/>
    <xf numFmtId="0" fontId="15" fillId="5" borderId="18" xfId="0" applyFont="1" applyFill="1" applyBorder="1" applyAlignment="1">
      <alignment horizontal="center"/>
    </xf>
    <xf numFmtId="166" fontId="14" fillId="5" borderId="18" xfId="0" applyNumberFormat="1" applyFont="1" applyFill="1" applyBorder="1"/>
    <xf numFmtId="166" fontId="47" fillId="5" borderId="18" xfId="0" applyNumberFormat="1" applyFont="1" applyFill="1" applyBorder="1"/>
    <xf numFmtId="166" fontId="49" fillId="5" borderId="18" xfId="0" applyNumberFormat="1" applyFont="1" applyFill="1" applyBorder="1"/>
    <xf numFmtId="166" fontId="50" fillId="5" borderId="18" xfId="0" applyNumberFormat="1" applyFont="1" applyFill="1" applyBorder="1"/>
    <xf numFmtId="167" fontId="15" fillId="3" borderId="19" xfId="0" applyNumberFormat="1" applyFont="1" applyFill="1" applyBorder="1"/>
    <xf numFmtId="166" fontId="15" fillId="3" borderId="19" xfId="0" applyNumberFormat="1" applyFont="1" applyFill="1" applyBorder="1"/>
    <xf numFmtId="167" fontId="23" fillId="3" borderId="18" xfId="0" applyNumberFormat="1" applyFont="1" applyFill="1" applyBorder="1"/>
    <xf numFmtId="167" fontId="14" fillId="5" borderId="18" xfId="0" applyNumberFormat="1" applyFont="1" applyFill="1" applyBorder="1"/>
    <xf numFmtId="167" fontId="14" fillId="3" borderId="18" xfId="0" applyNumberFormat="1" applyFont="1" applyFill="1" applyBorder="1"/>
    <xf numFmtId="167" fontId="15" fillId="3" borderId="18" xfId="0" applyNumberFormat="1" applyFont="1" applyFill="1" applyBorder="1"/>
    <xf numFmtId="166" fontId="15" fillId="3" borderId="18" xfId="0" applyNumberFormat="1" applyFont="1" applyFill="1" applyBorder="1"/>
    <xf numFmtId="166" fontId="6" fillId="3" borderId="17" xfId="0" applyNumberFormat="1" applyFont="1" applyFill="1" applyBorder="1" applyAlignment="1">
      <alignment horizontal="right" wrapText="1"/>
    </xf>
    <xf numFmtId="0" fontId="14" fillId="3" borderId="20" xfId="0" applyFont="1" applyFill="1" applyBorder="1" applyAlignment="1">
      <alignment horizontal="center"/>
    </xf>
    <xf numFmtId="0" fontId="14" fillId="5" borderId="20" xfId="0" applyFont="1" applyFill="1" applyBorder="1" applyAlignment="1">
      <alignment horizontal="center"/>
    </xf>
    <xf numFmtId="167" fontId="14" fillId="5" borderId="20" xfId="0" applyNumberFormat="1" applyFont="1" applyFill="1" applyBorder="1"/>
    <xf numFmtId="0" fontId="51" fillId="3" borderId="0" xfId="0" applyFont="1" applyFill="1"/>
    <xf numFmtId="0" fontId="14" fillId="3" borderId="17" xfId="0" applyFont="1" applyFill="1" applyBorder="1"/>
    <xf numFmtId="177" fontId="14" fillId="3" borderId="19" xfId="0" applyNumberFormat="1" applyFont="1" applyFill="1" applyBorder="1" applyAlignment="1">
      <alignment vertical="top"/>
    </xf>
    <xf numFmtId="0" fontId="51" fillId="3" borderId="18" xfId="0" applyFont="1" applyFill="1" applyBorder="1" applyAlignment="1">
      <alignment vertical="top"/>
    </xf>
    <xf numFmtId="0" fontId="51" fillId="3" borderId="18" xfId="0" applyFont="1" applyFill="1" applyBorder="1" applyAlignment="1">
      <alignment horizontal="center" vertical="top"/>
    </xf>
    <xf numFmtId="0" fontId="51" fillId="3" borderId="18" xfId="0" applyFont="1" applyFill="1" applyBorder="1" applyAlignment="1">
      <alignment vertical="top" wrapText="1"/>
    </xf>
    <xf numFmtId="177" fontId="51" fillId="3" borderId="18" xfId="0" applyNumberFormat="1" applyFont="1" applyFill="1" applyBorder="1" applyAlignment="1">
      <alignment vertical="top"/>
    </xf>
    <xf numFmtId="177" fontId="14" fillId="3" borderId="18" xfId="0" applyNumberFormat="1" applyFont="1" applyFill="1" applyBorder="1" applyAlignment="1">
      <alignment vertical="top"/>
    </xf>
    <xf numFmtId="178" fontId="14" fillId="3" borderId="19" xfId="0" applyNumberFormat="1" applyFont="1" applyFill="1" applyBorder="1" applyAlignment="1">
      <alignment vertical="top"/>
    </xf>
    <xf numFmtId="173" fontId="51" fillId="3" borderId="18" xfId="0" applyNumberFormat="1" applyFont="1" applyFill="1" applyBorder="1" applyAlignment="1">
      <alignment vertical="top"/>
    </xf>
    <xf numFmtId="178" fontId="51" fillId="3" borderId="18" xfId="0" applyNumberFormat="1" applyFont="1" applyFill="1" applyBorder="1" applyAlignment="1">
      <alignment vertical="top"/>
    </xf>
    <xf numFmtId="178" fontId="14" fillId="3" borderId="18" xfId="0" applyNumberFormat="1" applyFont="1" applyFill="1" applyBorder="1" applyAlignment="1">
      <alignment vertical="top"/>
    </xf>
    <xf numFmtId="178" fontId="47" fillId="3" borderId="18" xfId="0" applyNumberFormat="1" applyFont="1" applyFill="1" applyBorder="1" applyAlignment="1">
      <alignment vertical="top"/>
    </xf>
    <xf numFmtId="0" fontId="12" fillId="3" borderId="17" xfId="0" applyFont="1" applyFill="1" applyBorder="1" applyAlignment="1">
      <alignment vertical="top"/>
    </xf>
    <xf numFmtId="0" fontId="12" fillId="3" borderId="17" xfId="0" applyFont="1" applyFill="1" applyBorder="1" applyAlignment="1">
      <alignment horizontal="center" vertical="top"/>
    </xf>
    <xf numFmtId="0" fontId="12" fillId="3" borderId="17" xfId="0" applyFont="1" applyFill="1" applyBorder="1" applyAlignment="1">
      <alignment vertical="top" wrapText="1"/>
    </xf>
    <xf numFmtId="177" fontId="12" fillId="3" borderId="17" xfId="0" applyNumberFormat="1" applyFont="1" applyFill="1" applyBorder="1" applyAlignment="1">
      <alignment vertical="top"/>
    </xf>
    <xf numFmtId="173" fontId="12" fillId="3" borderId="17" xfId="0" applyNumberFormat="1" applyFont="1" applyFill="1" applyBorder="1" applyAlignment="1">
      <alignment vertical="top"/>
    </xf>
    <xf numFmtId="178" fontId="12" fillId="3" borderId="17" xfId="0" applyNumberFormat="1" applyFont="1" applyFill="1" applyBorder="1" applyAlignment="1">
      <alignment vertical="top"/>
    </xf>
    <xf numFmtId="0" fontId="15" fillId="0" borderId="17" xfId="0" applyFont="1" applyBorder="1" applyAlignment="1">
      <alignment horizontal="center" vertical="center"/>
    </xf>
    <xf numFmtId="166" fontId="14" fillId="5" borderId="19" xfId="0" applyNumberFormat="1" applyFont="1" applyFill="1" applyBorder="1"/>
    <xf numFmtId="166" fontId="23" fillId="5" borderId="19" xfId="0" applyNumberFormat="1" applyFont="1" applyFill="1" applyBorder="1"/>
    <xf numFmtId="166" fontId="23" fillId="5" borderId="18" xfId="0" applyNumberFormat="1" applyFont="1" applyFill="1" applyBorder="1"/>
    <xf numFmtId="166" fontId="52" fillId="5" borderId="18" xfId="0" applyNumberFormat="1" applyFont="1" applyFill="1" applyBorder="1"/>
    <xf numFmtId="166" fontId="14" fillId="5" borderId="20" xfId="0" applyNumberFormat="1" applyFont="1" applyFill="1" applyBorder="1"/>
    <xf numFmtId="166" fontId="23" fillId="5" borderId="20" xfId="0" applyNumberFormat="1" applyFont="1" applyFill="1" applyBorder="1"/>
    <xf numFmtId="179" fontId="14" fillId="5" borderId="19" xfId="0" applyNumberFormat="1" applyFont="1" applyFill="1" applyBorder="1"/>
    <xf numFmtId="179" fontId="14" fillId="5" borderId="18" xfId="0" applyNumberFormat="1" applyFont="1" applyFill="1" applyBorder="1"/>
    <xf numFmtId="179" fontId="14" fillId="5" borderId="20" xfId="0" applyNumberFormat="1" applyFont="1" applyFill="1" applyBorder="1"/>
    <xf numFmtId="0" fontId="53" fillId="4" borderId="0" xfId="0" applyFont="1" applyFill="1"/>
    <xf numFmtId="9" fontId="15" fillId="5" borderId="17" xfId="0" applyNumberFormat="1" applyFont="1" applyFill="1" applyBorder="1" applyAlignment="1">
      <alignment horizontal="center" vertical="center" wrapText="1"/>
    </xf>
    <xf numFmtId="49" fontId="14" fillId="3" borderId="19" xfId="0" applyNumberFormat="1" applyFont="1" applyFill="1" applyBorder="1"/>
    <xf numFmtId="167" fontId="14" fillId="5" borderId="19" xfId="0" applyNumberFormat="1" applyFont="1" applyFill="1" applyBorder="1"/>
    <xf numFmtId="49" fontId="14" fillId="3" borderId="18" xfId="0" applyNumberFormat="1" applyFont="1" applyFill="1" applyBorder="1"/>
    <xf numFmtId="49" fontId="14" fillId="3" borderId="20" xfId="0" applyNumberFormat="1" applyFont="1" applyFill="1" applyBorder="1"/>
    <xf numFmtId="0" fontId="14" fillId="4" borderId="0" xfId="0" applyFont="1" applyFill="1" applyAlignment="1">
      <alignment horizontal="right"/>
    </xf>
    <xf numFmtId="180" fontId="14" fillId="5" borderId="17" xfId="0" applyNumberFormat="1" applyFont="1" applyFill="1" applyBorder="1"/>
    <xf numFmtId="166" fontId="54" fillId="5" borderId="19" xfId="0" applyNumberFormat="1" applyFont="1" applyFill="1" applyBorder="1"/>
    <xf numFmtId="166" fontId="54" fillId="5" borderId="18" xfId="0" applyNumberFormat="1" applyFont="1" applyFill="1" applyBorder="1"/>
    <xf numFmtId="166" fontId="54" fillId="5" borderId="20" xfId="0" applyNumberFormat="1" applyFont="1" applyFill="1" applyBorder="1"/>
    <xf numFmtId="181" fontId="14" fillId="5" borderId="19" xfId="0" applyNumberFormat="1" applyFont="1" applyFill="1" applyBorder="1"/>
    <xf numFmtId="181" fontId="14" fillId="5" borderId="18" xfId="0" applyNumberFormat="1" applyFont="1" applyFill="1" applyBorder="1"/>
    <xf numFmtId="181" fontId="14" fillId="5" borderId="20" xfId="0" applyNumberFormat="1" applyFont="1" applyFill="1" applyBorder="1"/>
    <xf numFmtId="0" fontId="55" fillId="0" borderId="0" xfId="0" applyFont="1" applyAlignment="1">
      <alignment wrapText="1"/>
    </xf>
    <xf numFmtId="0" fontId="55" fillId="0" borderId="0" xfId="0" applyFont="1" applyAlignment="1">
      <alignment horizontal="center" wrapText="1"/>
    </xf>
    <xf numFmtId="0" fontId="15" fillId="11" borderId="17" xfId="0" applyFont="1" applyFill="1" applyBorder="1" applyAlignment="1">
      <alignment horizontal="center" vertical="center" wrapText="1"/>
    </xf>
    <xf numFmtId="0" fontId="14" fillId="0" borderId="18" xfId="0" applyFont="1" applyBorder="1" applyAlignment="1">
      <alignment horizontal="center"/>
    </xf>
    <xf numFmtId="0" fontId="14" fillId="0" borderId="18" xfId="0" applyFont="1" applyBorder="1"/>
    <xf numFmtId="0" fontId="14" fillId="12" borderId="18" xfId="0" applyFont="1" applyFill="1" applyBorder="1"/>
    <xf numFmtId="0" fontId="14" fillId="12" borderId="18" xfId="0" applyFont="1" applyFill="1" applyBorder="1" applyAlignment="1">
      <alignment horizontal="center"/>
    </xf>
    <xf numFmtId="0" fontId="14" fillId="13" borderId="18" xfId="0" applyFont="1" applyFill="1" applyBorder="1"/>
    <xf numFmtId="0" fontId="14" fillId="0" borderId="23" xfId="0" applyFont="1" applyBorder="1" applyAlignment="1">
      <alignment horizontal="center"/>
    </xf>
    <xf numFmtId="0" fontId="14" fillId="0" borderId="23" xfId="0" applyFont="1" applyBorder="1"/>
    <xf numFmtId="0" fontId="14" fillId="12" borderId="23" xfId="0" applyFont="1" applyFill="1" applyBorder="1"/>
    <xf numFmtId="0" fontId="14" fillId="12" borderId="23" xfId="0" applyFont="1" applyFill="1" applyBorder="1" applyAlignment="1">
      <alignment horizontal="center"/>
    </xf>
    <xf numFmtId="0" fontId="14" fillId="13" borderId="23" xfId="0" applyFont="1" applyFill="1" applyBorder="1"/>
    <xf numFmtId="0" fontId="14" fillId="0" borderId="34" xfId="0" applyFont="1" applyBorder="1" applyAlignment="1">
      <alignment horizontal="center"/>
    </xf>
    <xf numFmtId="0" fontId="14" fillId="0" borderId="34" xfId="0" applyFont="1" applyBorder="1"/>
    <xf numFmtId="0" fontId="14" fillId="12" borderId="34" xfId="0" applyFont="1" applyFill="1" applyBorder="1"/>
    <xf numFmtId="0" fontId="14" fillId="12" borderId="34" xfId="0" applyFont="1" applyFill="1" applyBorder="1" applyAlignment="1">
      <alignment horizontal="center"/>
    </xf>
    <xf numFmtId="0" fontId="14" fillId="13" borderId="34" xfId="0" applyFont="1" applyFill="1" applyBorder="1"/>
    <xf numFmtId="0" fontId="14" fillId="14" borderId="18" xfId="0" applyFont="1" applyFill="1" applyBorder="1"/>
    <xf numFmtId="0" fontId="14" fillId="14" borderId="23" xfId="0" applyFont="1" applyFill="1" applyBorder="1"/>
    <xf numFmtId="0" fontId="14" fillId="12" borderId="20" xfId="0" applyFont="1" applyFill="1" applyBorder="1"/>
    <xf numFmtId="0" fontId="14" fillId="14" borderId="20" xfId="0" applyFont="1" applyFill="1" applyBorder="1"/>
    <xf numFmtId="3" fontId="14" fillId="0" borderId="18" xfId="0" applyNumberFormat="1" applyFont="1" applyBorder="1" applyAlignment="1">
      <alignment horizontal="right"/>
    </xf>
    <xf numFmtId="3" fontId="14" fillId="0" borderId="23" xfId="0" applyNumberFormat="1" applyFont="1" applyBorder="1" applyAlignment="1">
      <alignment horizontal="right"/>
    </xf>
    <xf numFmtId="3" fontId="14" fillId="0" borderId="20" xfId="0" applyNumberFormat="1" applyFont="1" applyBorder="1" applyAlignment="1">
      <alignment horizontal="right"/>
    </xf>
    <xf numFmtId="0" fontId="55" fillId="0" borderId="0" xfId="0" applyFont="1"/>
    <xf numFmtId="49" fontId="13" fillId="0" borderId="19" xfId="0" applyNumberFormat="1" applyFont="1" applyBorder="1"/>
    <xf numFmtId="0" fontId="13" fillId="5" borderId="19" xfId="0" applyFont="1" applyFill="1" applyBorder="1" applyAlignment="1">
      <alignment horizontal="center"/>
    </xf>
    <xf numFmtId="49" fontId="13" fillId="0" borderId="18" xfId="0" applyNumberFormat="1" applyFont="1" applyBorder="1"/>
    <xf numFmtId="0" fontId="13" fillId="5" borderId="18" xfId="0" applyFont="1" applyFill="1" applyBorder="1" applyAlignment="1">
      <alignment horizontal="center"/>
    </xf>
    <xf numFmtId="0" fontId="13" fillId="0" borderId="18" xfId="0" applyFont="1" applyBorder="1" applyAlignment="1">
      <alignment wrapText="1"/>
    </xf>
    <xf numFmtId="49" fontId="13" fillId="0" borderId="20" xfId="0" applyNumberFormat="1" applyFont="1" applyBorder="1"/>
    <xf numFmtId="0" fontId="13" fillId="0" borderId="20" xfId="0" applyFont="1" applyBorder="1" applyAlignment="1">
      <alignment wrapText="1"/>
    </xf>
    <xf numFmtId="0" fontId="13" fillId="5" borderId="20" xfId="0" applyFont="1" applyFill="1" applyBorder="1" applyAlignment="1">
      <alignment horizontal="center"/>
    </xf>
    <xf numFmtId="0" fontId="13" fillId="0" borderId="0" xfId="0" applyFont="1" applyAlignment="1">
      <alignment wrapText="1"/>
    </xf>
    <xf numFmtId="166" fontId="13" fillId="5" borderId="19" xfId="0" applyNumberFormat="1" applyFont="1" applyFill="1" applyBorder="1"/>
    <xf numFmtId="166" fontId="13" fillId="5" borderId="18" xfId="0" applyNumberFormat="1" applyFont="1" applyFill="1" applyBorder="1"/>
    <xf numFmtId="166" fontId="13" fillId="5" borderId="20" xfId="0" applyNumberFormat="1" applyFont="1" applyFill="1" applyBorder="1"/>
    <xf numFmtId="0" fontId="41" fillId="0" borderId="17" xfId="0" applyFont="1" applyBorder="1" applyAlignment="1">
      <alignment horizontal="center" vertical="center" wrapText="1"/>
    </xf>
    <xf numFmtId="0" fontId="41" fillId="0" borderId="25" xfId="0" applyFont="1" applyBorder="1" applyAlignment="1">
      <alignment horizontal="center" vertical="center" wrapText="1"/>
    </xf>
    <xf numFmtId="0" fontId="14" fillId="0" borderId="35" xfId="0" applyFont="1" applyBorder="1" applyAlignment="1">
      <alignment horizontal="center"/>
    </xf>
    <xf numFmtId="0" fontId="14" fillId="0" borderId="35" xfId="0" applyFont="1" applyBorder="1" applyAlignment="1">
      <alignment vertical="center" wrapText="1"/>
    </xf>
    <xf numFmtId="0" fontId="14" fillId="0" borderId="35" xfId="0" applyFont="1" applyBorder="1"/>
    <xf numFmtId="3" fontId="14" fillId="0" borderId="35" xfId="0" applyNumberFormat="1" applyFont="1" applyBorder="1"/>
    <xf numFmtId="3" fontId="14" fillId="0" borderId="23" xfId="0" applyNumberFormat="1" applyFont="1" applyBorder="1"/>
    <xf numFmtId="0" fontId="14" fillId="0" borderId="3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8" xfId="0" applyFont="1" applyBorder="1" applyAlignment="1">
      <alignment horizontal="center" vertical="center" wrapText="1"/>
    </xf>
    <xf numFmtId="0" fontId="14" fillId="0" borderId="36" xfId="0" applyFont="1" applyBorder="1" applyAlignment="1">
      <alignment horizontal="center" vertical="top" wrapText="1"/>
    </xf>
    <xf numFmtId="0" fontId="14" fillId="0" borderId="33" xfId="0" applyFont="1" applyBorder="1" applyAlignment="1">
      <alignment horizontal="center" vertical="top" wrapText="1"/>
    </xf>
    <xf numFmtId="0" fontId="46" fillId="0" borderId="36" xfId="0" applyFont="1" applyBorder="1" applyAlignment="1">
      <alignment horizontal="center" vertical="top" wrapText="1"/>
    </xf>
    <xf numFmtId="182" fontId="46" fillId="0" borderId="36" xfId="0" applyNumberFormat="1" applyFont="1" applyBorder="1" applyAlignment="1">
      <alignment horizontal="center" vertical="top" wrapText="1"/>
    </xf>
    <xf numFmtId="0" fontId="46" fillId="0" borderId="33" xfId="0" applyFont="1" applyBorder="1" applyAlignment="1">
      <alignment horizontal="center" vertical="top" wrapText="1"/>
    </xf>
    <xf numFmtId="182" fontId="46" fillId="0" borderId="33" xfId="0" applyNumberFormat="1" applyFont="1" applyBorder="1" applyAlignment="1">
      <alignment horizontal="center" vertical="top" wrapText="1"/>
    </xf>
    <xf numFmtId="0" fontId="2" fillId="0" borderId="21" xfId="0" applyFont="1" applyBorder="1"/>
    <xf numFmtId="3" fontId="14" fillId="0" borderId="35" xfId="0" applyNumberFormat="1" applyFont="1" applyBorder="1" applyAlignment="1">
      <alignment horizontal="right"/>
    </xf>
    <xf numFmtId="3" fontId="14" fillId="0" borderId="18" xfId="0" applyNumberFormat="1" applyFont="1" applyBorder="1"/>
    <xf numFmtId="0" fontId="14" fillId="0" borderId="0" xfId="0" applyFont="1" applyAlignment="1">
      <alignment horizontal="center"/>
    </xf>
    <xf numFmtId="0" fontId="14" fillId="0" borderId="20" xfId="0" applyFont="1" applyBorder="1" applyAlignment="1">
      <alignment vertical="center" wrapText="1"/>
    </xf>
    <xf numFmtId="0" fontId="14" fillId="0" borderId="20" xfId="0" applyFont="1" applyBorder="1" applyAlignment="1">
      <alignment horizontal="center"/>
    </xf>
    <xf numFmtId="0" fontId="14" fillId="0" borderId="20" xfId="0" applyFont="1" applyBorder="1"/>
    <xf numFmtId="3" fontId="14" fillId="0" borderId="20" xfId="0" applyNumberFormat="1" applyFont="1" applyBorder="1"/>
    <xf numFmtId="0" fontId="57" fillId="0" borderId="0" xfId="0" applyFont="1"/>
    <xf numFmtId="0" fontId="14" fillId="0" borderId="25" xfId="0" applyFont="1" applyBorder="1" applyAlignment="1">
      <alignment horizontal="center" vertical="top" wrapText="1"/>
    </xf>
    <xf numFmtId="0" fontId="46" fillId="0" borderId="25" xfId="0" applyFont="1" applyBorder="1" applyAlignment="1">
      <alignment horizontal="center" vertical="top" wrapText="1"/>
    </xf>
    <xf numFmtId="182" fontId="46" fillId="0" borderId="25" xfId="0" applyNumberFormat="1" applyFont="1" applyBorder="1" applyAlignment="1">
      <alignment horizontal="center" vertical="top" wrapText="1"/>
    </xf>
    <xf numFmtId="3" fontId="55" fillId="0" borderId="0" xfId="0" applyNumberFormat="1" applyFont="1"/>
    <xf numFmtId="0" fontId="55" fillId="0" borderId="0" xfId="0" applyFont="1" applyAlignment="1">
      <alignment horizontal="center"/>
    </xf>
    <xf numFmtId="0" fontId="14" fillId="5" borderId="19" xfId="0" applyFont="1" applyFill="1" applyBorder="1" applyAlignment="1">
      <alignment horizontal="center"/>
    </xf>
    <xf numFmtId="0" fontId="14" fillId="5" borderId="19" xfId="0" applyFont="1" applyFill="1" applyBorder="1"/>
    <xf numFmtId="183" fontId="14" fillId="5" borderId="19" xfId="0" applyNumberFormat="1" applyFont="1" applyFill="1" applyBorder="1" applyAlignment="1">
      <alignment horizontal="center"/>
    </xf>
    <xf numFmtId="0" fontId="14" fillId="5" borderId="18" xfId="0" applyFont="1" applyFill="1" applyBorder="1"/>
    <xf numFmtId="183" fontId="14" fillId="5" borderId="18" xfId="0" applyNumberFormat="1" applyFont="1" applyFill="1" applyBorder="1" applyAlignment="1">
      <alignment horizontal="center"/>
    </xf>
    <xf numFmtId="0" fontId="14" fillId="5" borderId="20" xfId="0" applyFont="1" applyFill="1" applyBorder="1"/>
    <xf numFmtId="183" fontId="14" fillId="5" borderId="20" xfId="0" applyNumberFormat="1" applyFont="1" applyFill="1" applyBorder="1" applyAlignment="1">
      <alignment horizontal="center"/>
    </xf>
    <xf numFmtId="183" fontId="14" fillId="5" borderId="19" xfId="0" applyNumberFormat="1" applyFont="1" applyFill="1" applyBorder="1"/>
    <xf numFmtId="166" fontId="14" fillId="3" borderId="19" xfId="0" applyNumberFormat="1" applyFont="1" applyFill="1" applyBorder="1" applyAlignment="1">
      <alignment horizontal="center"/>
    </xf>
    <xf numFmtId="183" fontId="14" fillId="5" borderId="18" xfId="0" applyNumberFormat="1" applyFont="1" applyFill="1" applyBorder="1"/>
    <xf numFmtId="166" fontId="14" fillId="3" borderId="18" xfId="0" applyNumberFormat="1" applyFont="1" applyFill="1" applyBorder="1" applyAlignment="1">
      <alignment horizontal="center"/>
    </xf>
    <xf numFmtId="183" fontId="14" fillId="5" borderId="20" xfId="0" applyNumberFormat="1" applyFont="1" applyFill="1" applyBorder="1"/>
    <xf numFmtId="166" fontId="14" fillId="3" borderId="20" xfId="0" applyNumberFormat="1" applyFont="1" applyFill="1" applyBorder="1" applyAlignment="1">
      <alignment horizontal="center"/>
    </xf>
    <xf numFmtId="180" fontId="14" fillId="3" borderId="0" xfId="0" applyNumberFormat="1" applyFont="1" applyFill="1"/>
    <xf numFmtId="0" fontId="14" fillId="3" borderId="0" xfId="0" applyFont="1" applyFill="1" applyAlignment="1">
      <alignment horizontal="right"/>
    </xf>
    <xf numFmtId="0" fontId="14" fillId="5" borderId="17" xfId="0" applyFont="1" applyFill="1" applyBorder="1"/>
    <xf numFmtId="9" fontId="14" fillId="5" borderId="17" xfId="0" applyNumberFormat="1" applyFont="1" applyFill="1" applyBorder="1"/>
    <xf numFmtId="0" fontId="14" fillId="15" borderId="0" xfId="0" applyFont="1" applyFill="1"/>
    <xf numFmtId="184" fontId="14" fillId="3" borderId="19" xfId="0" applyNumberFormat="1" applyFont="1" applyFill="1" applyBorder="1" applyAlignment="1">
      <alignment vertical="top"/>
    </xf>
    <xf numFmtId="184" fontId="14" fillId="3" borderId="18" xfId="0" applyNumberFormat="1" applyFont="1" applyFill="1" applyBorder="1" applyAlignment="1">
      <alignment vertical="top"/>
    </xf>
    <xf numFmtId="0" fontId="43" fillId="15" borderId="17" xfId="0" applyFont="1" applyFill="1" applyBorder="1" applyAlignment="1">
      <alignment vertical="top"/>
    </xf>
    <xf numFmtId="0" fontId="43" fillId="15" borderId="17" xfId="0" applyFont="1" applyFill="1" applyBorder="1" applyAlignment="1">
      <alignment horizontal="center" vertical="top"/>
    </xf>
    <xf numFmtId="0" fontId="43" fillId="15" borderId="17" xfId="0" applyFont="1" applyFill="1" applyBorder="1" applyAlignment="1">
      <alignment vertical="top" wrapText="1"/>
    </xf>
    <xf numFmtId="173" fontId="43" fillId="15" borderId="17" xfId="0" applyNumberFormat="1" applyFont="1" applyFill="1" applyBorder="1" applyAlignment="1">
      <alignment vertical="top"/>
    </xf>
    <xf numFmtId="178" fontId="43" fillId="15" borderId="17" xfId="0" applyNumberFormat="1" applyFont="1" applyFill="1" applyBorder="1" applyAlignment="1">
      <alignment vertical="top"/>
    </xf>
    <xf numFmtId="0" fontId="14" fillId="0" borderId="19" xfId="0" applyFont="1" applyBorder="1"/>
    <xf numFmtId="0" fontId="14" fillId="0" borderId="19" xfId="0" applyFont="1" applyBorder="1" applyAlignment="1">
      <alignment horizontal="center"/>
    </xf>
    <xf numFmtId="49" fontId="14" fillId="0" borderId="19" xfId="0" applyNumberFormat="1" applyFont="1" applyBorder="1"/>
    <xf numFmtId="166" fontId="14" fillId="0" borderId="19" xfId="0" applyNumberFormat="1" applyFont="1" applyBorder="1"/>
    <xf numFmtId="49" fontId="14" fillId="0" borderId="18" xfId="0" applyNumberFormat="1" applyFont="1" applyBorder="1"/>
    <xf numFmtId="166" fontId="14" fillId="0" borderId="18" xfId="0" applyNumberFormat="1" applyFont="1" applyBorder="1"/>
    <xf numFmtId="0" fontId="14" fillId="0" borderId="18" xfId="0" applyFont="1" applyBorder="1" applyAlignment="1">
      <alignment horizontal="center" vertical="center"/>
    </xf>
    <xf numFmtId="49" fontId="14" fillId="0" borderId="18" xfId="0" applyNumberFormat="1" applyFont="1" applyBorder="1" applyAlignment="1">
      <alignment vertical="center"/>
    </xf>
    <xf numFmtId="0" fontId="14" fillId="0" borderId="18" xfId="0" applyFont="1" applyBorder="1" applyAlignment="1">
      <alignment vertical="center"/>
    </xf>
    <xf numFmtId="166" fontId="14" fillId="0" borderId="18" xfId="0" applyNumberFormat="1" applyFont="1" applyBorder="1" applyAlignment="1">
      <alignment vertical="center"/>
    </xf>
    <xf numFmtId="166" fontId="46" fillId="0" borderId="18" xfId="0" applyNumberFormat="1" applyFont="1" applyBorder="1"/>
    <xf numFmtId="49" fontId="14" fillId="0" borderId="20" xfId="0" applyNumberFormat="1" applyFont="1" applyBorder="1"/>
    <xf numFmtId="166" fontId="14" fillId="0" borderId="20" xfId="0" applyNumberFormat="1" applyFont="1" applyBorder="1"/>
    <xf numFmtId="166" fontId="46" fillId="0" borderId="19" xfId="0" applyNumberFormat="1" applyFont="1" applyBorder="1"/>
    <xf numFmtId="181" fontId="14" fillId="0" borderId="19" xfId="0" applyNumberFormat="1" applyFont="1" applyBorder="1"/>
    <xf numFmtId="181" fontId="14" fillId="0" borderId="18" xfId="0" applyNumberFormat="1" applyFont="1" applyBorder="1"/>
    <xf numFmtId="166" fontId="47" fillId="0" borderId="18" xfId="0" applyNumberFormat="1" applyFont="1" applyBorder="1"/>
    <xf numFmtId="166" fontId="47" fillId="0" borderId="18" xfId="0" applyNumberFormat="1" applyFont="1" applyBorder="1" applyAlignment="1">
      <alignment vertical="center"/>
    </xf>
    <xf numFmtId="181" fontId="14" fillId="0" borderId="18" xfId="0" applyNumberFormat="1" applyFont="1" applyBorder="1" applyAlignment="1">
      <alignment vertical="center"/>
    </xf>
    <xf numFmtId="166" fontId="46" fillId="9" borderId="18" xfId="0" applyNumberFormat="1" applyFont="1" applyFill="1" applyBorder="1"/>
    <xf numFmtId="166" fontId="46" fillId="0" borderId="20" xfId="0" applyNumberFormat="1" applyFont="1" applyBorder="1"/>
    <xf numFmtId="181" fontId="14" fillId="0" borderId="20" xfId="0" applyNumberFormat="1" applyFont="1" applyBorder="1"/>
    <xf numFmtId="0" fontId="14" fillId="0" borderId="18" xfId="0" applyFont="1" applyBorder="1" applyAlignment="1">
      <alignment vertical="center" wrapText="1"/>
    </xf>
    <xf numFmtId="49" fontId="14" fillId="0" borderId="0" xfId="0" applyNumberFormat="1" applyFont="1"/>
    <xf numFmtId="0" fontId="45" fillId="0" borderId="17" xfId="0" applyFont="1" applyBorder="1" applyAlignment="1">
      <alignment horizontal="center" vertical="center" wrapText="1"/>
    </xf>
    <xf numFmtId="49" fontId="45" fillId="0" borderId="17" xfId="0" applyNumberFormat="1" applyFont="1" applyBorder="1" applyAlignment="1">
      <alignment horizontal="center" vertical="center" wrapText="1"/>
    </xf>
    <xf numFmtId="0" fontId="59" fillId="0" borderId="17" xfId="0" applyFont="1" applyBorder="1"/>
    <xf numFmtId="0" fontId="59" fillId="0" borderId="17" xfId="0" applyFont="1" applyBorder="1" applyAlignment="1">
      <alignment horizontal="center"/>
    </xf>
    <xf numFmtId="49" fontId="59" fillId="0" borderId="17" xfId="0" applyNumberFormat="1" applyFont="1" applyBorder="1"/>
    <xf numFmtId="0" fontId="59" fillId="0" borderId="17" xfId="0" applyFont="1" applyBorder="1" applyAlignment="1">
      <alignment horizontal="left" wrapText="1"/>
    </xf>
    <xf numFmtId="0" fontId="59" fillId="0" borderId="17" xfId="0" applyFont="1" applyBorder="1" applyAlignment="1">
      <alignment horizontal="right"/>
    </xf>
    <xf numFmtId="168" fontId="59" fillId="0" borderId="17" xfId="0" applyNumberFormat="1" applyFont="1" applyBorder="1"/>
    <xf numFmtId="0" fontId="46" fillId="0" borderId="19" xfId="0" applyFont="1" applyBorder="1" applyAlignment="1">
      <alignment vertical="top"/>
    </xf>
    <xf numFmtId="0" fontId="46" fillId="0" borderId="19" xfId="0" applyFont="1" applyBorder="1" applyAlignment="1">
      <alignment horizontal="center" vertical="top"/>
    </xf>
    <xf numFmtId="0" fontId="46" fillId="0" borderId="19" xfId="0" applyFont="1" applyBorder="1" applyAlignment="1">
      <alignment horizontal="left" vertical="top" wrapText="1"/>
    </xf>
    <xf numFmtId="0" fontId="46" fillId="0" borderId="19" xfId="0" applyFont="1" applyBorder="1" applyAlignment="1">
      <alignment horizontal="right" vertical="top"/>
    </xf>
    <xf numFmtId="168" fontId="46" fillId="0" borderId="19" xfId="0" applyNumberFormat="1" applyFont="1" applyBorder="1" applyAlignment="1">
      <alignment vertical="top"/>
    </xf>
    <xf numFmtId="0" fontId="23" fillId="0" borderId="18" xfId="0" applyFont="1" applyBorder="1" applyAlignment="1">
      <alignment horizontal="left" vertical="top" wrapText="1"/>
    </xf>
    <xf numFmtId="0" fontId="46" fillId="0" borderId="18" xfId="0" applyFont="1" applyBorder="1" applyAlignment="1">
      <alignment vertical="top"/>
    </xf>
    <xf numFmtId="0" fontId="46" fillId="0" borderId="18" xfId="0" applyFont="1" applyBorder="1" applyAlignment="1">
      <alignment horizontal="center" vertical="top"/>
    </xf>
    <xf numFmtId="49" fontId="46" fillId="0" borderId="18" xfId="0" applyNumberFormat="1" applyFont="1" applyBorder="1" applyAlignment="1">
      <alignment vertical="top"/>
    </xf>
    <xf numFmtId="0" fontId="46" fillId="0" borderId="18" xfId="0" applyFont="1" applyBorder="1" applyAlignment="1">
      <alignment horizontal="left" vertical="top" wrapText="1"/>
    </xf>
    <xf numFmtId="169" fontId="46" fillId="0" borderId="18" xfId="0" applyNumberFormat="1" applyFont="1" applyBorder="1" applyAlignment="1">
      <alignment horizontal="right" vertical="top"/>
    </xf>
    <xf numFmtId="168" fontId="46" fillId="0" borderId="18" xfId="0" applyNumberFormat="1" applyFont="1" applyBorder="1" applyAlignment="1">
      <alignment vertical="top"/>
    </xf>
    <xf numFmtId="0" fontId="46" fillId="0" borderId="18" xfId="0" applyFont="1" applyBorder="1" applyAlignment="1">
      <alignment horizontal="right" vertical="top"/>
    </xf>
    <xf numFmtId="170" fontId="46" fillId="0" borderId="18" xfId="0" applyNumberFormat="1" applyFont="1" applyBorder="1" applyAlignment="1">
      <alignment horizontal="right" vertical="top"/>
    </xf>
    <xf numFmtId="0" fontId="45" fillId="0" borderId="18" xfId="0" applyFont="1" applyBorder="1" applyAlignment="1">
      <alignment horizontal="left" vertical="top" wrapText="1"/>
    </xf>
    <xf numFmtId="0" fontId="45" fillId="0" borderId="18" xfId="0" applyFont="1" applyBorder="1" applyAlignment="1">
      <alignment horizontal="center" vertical="top"/>
    </xf>
    <xf numFmtId="0" fontId="46" fillId="0" borderId="20" xfId="0" applyFont="1" applyBorder="1" applyAlignment="1">
      <alignment vertical="top"/>
    </xf>
    <xf numFmtId="0" fontId="46" fillId="0" borderId="20" xfId="0" applyFont="1" applyBorder="1" applyAlignment="1">
      <alignment horizontal="center" vertical="top"/>
    </xf>
    <xf numFmtId="49" fontId="46" fillId="0" borderId="20" xfId="0" applyNumberFormat="1" applyFont="1" applyBorder="1" applyAlignment="1">
      <alignment vertical="top"/>
    </xf>
    <xf numFmtId="0" fontId="45" fillId="0" borderId="20" xfId="0" applyFont="1" applyBorder="1" applyAlignment="1">
      <alignment horizontal="left" vertical="top" wrapText="1"/>
    </xf>
    <xf numFmtId="0" fontId="45" fillId="0" borderId="20" xfId="0" applyFont="1" applyBorder="1" applyAlignment="1">
      <alignment horizontal="center" vertical="top"/>
    </xf>
    <xf numFmtId="0" fontId="46" fillId="0" borderId="20" xfId="0" applyFont="1" applyBorder="1" applyAlignment="1">
      <alignment horizontal="right" vertical="top"/>
    </xf>
    <xf numFmtId="168" fontId="46" fillId="0" borderId="20" xfId="0" applyNumberFormat="1" applyFont="1" applyBorder="1" applyAlignment="1">
      <alignment vertical="top"/>
    </xf>
    <xf numFmtId="169" fontId="59" fillId="0" borderId="17" xfId="0" applyNumberFormat="1" applyFont="1" applyBorder="1"/>
    <xf numFmtId="169" fontId="46" fillId="0" borderId="19" xfId="0" applyNumberFormat="1" applyFont="1" applyBorder="1" applyAlignment="1">
      <alignment vertical="top"/>
    </xf>
    <xf numFmtId="169" fontId="46" fillId="0" borderId="18" xfId="0" applyNumberFormat="1" applyFont="1" applyBorder="1" applyAlignment="1">
      <alignment vertical="top"/>
    </xf>
    <xf numFmtId="168" fontId="45" fillId="0" borderId="18" xfId="0" applyNumberFormat="1" applyFont="1" applyBorder="1" applyAlignment="1">
      <alignment vertical="top"/>
    </xf>
    <xf numFmtId="169" fontId="46" fillId="0" borderId="20" xfId="0" applyNumberFormat="1" applyFont="1" applyBorder="1" applyAlignment="1">
      <alignment vertical="top"/>
    </xf>
    <xf numFmtId="168" fontId="60" fillId="0" borderId="20" xfId="0" applyNumberFormat="1" applyFont="1" applyBorder="1" applyAlignment="1">
      <alignment vertical="top"/>
    </xf>
    <xf numFmtId="0" fontId="61" fillId="0" borderId="18" xfId="0" applyFont="1" applyBorder="1" applyAlignment="1">
      <alignment horizontal="left" vertical="top" wrapText="1"/>
    </xf>
    <xf numFmtId="0" fontId="61" fillId="0" borderId="18" xfId="0" applyFont="1" applyBorder="1" applyAlignment="1">
      <alignment horizontal="center" vertical="top" wrapText="1"/>
    </xf>
    <xf numFmtId="167" fontId="61" fillId="0" borderId="18" xfId="0" applyNumberFormat="1" applyFont="1" applyBorder="1" applyAlignment="1">
      <alignment horizontal="right" vertical="top"/>
    </xf>
    <xf numFmtId="168" fontId="61" fillId="0" borderId="18" xfId="0" applyNumberFormat="1" applyFont="1" applyBorder="1" applyAlignment="1">
      <alignment vertical="top"/>
    </xf>
    <xf numFmtId="185" fontId="61" fillId="0" borderId="18" xfId="0" applyNumberFormat="1" applyFont="1" applyBorder="1" applyAlignment="1">
      <alignment vertical="top"/>
    </xf>
    <xf numFmtId="0" fontId="15" fillId="0" borderId="0" xfId="0" applyFont="1" applyAlignment="1">
      <alignment horizontal="center" vertical="center"/>
    </xf>
    <xf numFmtId="0" fontId="15" fillId="0" borderId="0" xfId="0" applyFont="1" applyAlignment="1">
      <alignment horizontal="center"/>
    </xf>
    <xf numFmtId="0" fontId="23" fillId="0" borderId="19" xfId="0" applyFont="1" applyBorder="1" applyAlignment="1">
      <alignment vertical="top"/>
    </xf>
    <xf numFmtId="0" fontId="23" fillId="0" borderId="19" xfId="0" applyFont="1" applyBorder="1" applyAlignment="1">
      <alignment horizontal="center" vertical="top"/>
    </xf>
    <xf numFmtId="0" fontId="23" fillId="0" borderId="19" xfId="0" applyFont="1" applyBorder="1" applyAlignment="1">
      <alignment vertical="top" wrapText="1"/>
    </xf>
    <xf numFmtId="169" fontId="23" fillId="0" borderId="19" xfId="0" applyNumberFormat="1" applyFont="1" applyBorder="1" applyAlignment="1">
      <alignment vertical="top"/>
    </xf>
    <xf numFmtId="0" fontId="62" fillId="0" borderId="17" xfId="0" applyFont="1" applyBorder="1" applyAlignment="1">
      <alignment vertical="top"/>
    </xf>
    <xf numFmtId="0" fontId="62" fillId="0" borderId="17" xfId="0" applyFont="1" applyBorder="1" applyAlignment="1">
      <alignment horizontal="center" vertical="top"/>
    </xf>
    <xf numFmtId="0" fontId="43" fillId="0" borderId="18" xfId="0" applyFont="1" applyBorder="1" applyAlignment="1">
      <alignment vertical="top"/>
    </xf>
    <xf numFmtId="0" fontId="43" fillId="0" borderId="18" xfId="0" applyFont="1" applyBorder="1" applyAlignment="1">
      <alignment horizontal="center" vertical="top"/>
    </xf>
    <xf numFmtId="169" fontId="43" fillId="0" borderId="18" xfId="0" applyNumberFormat="1" applyFont="1" applyBorder="1" applyAlignment="1">
      <alignment vertical="top"/>
    </xf>
    <xf numFmtId="0" fontId="19" fillId="0" borderId="18" xfId="0" applyFont="1" applyBorder="1" applyAlignment="1">
      <alignment vertical="top" wrapText="1"/>
    </xf>
    <xf numFmtId="0" fontId="46" fillId="0" borderId="18" xfId="0" applyFont="1" applyBorder="1" applyAlignment="1">
      <alignment vertical="top" wrapText="1"/>
    </xf>
    <xf numFmtId="0" fontId="61" fillId="0" borderId="18" xfId="0" applyFont="1" applyBorder="1" applyAlignment="1">
      <alignment vertical="top" wrapText="1"/>
    </xf>
    <xf numFmtId="166" fontId="23" fillId="0" borderId="19" xfId="0" applyNumberFormat="1" applyFont="1" applyBorder="1" applyAlignment="1">
      <alignment vertical="top"/>
    </xf>
    <xf numFmtId="169" fontId="14" fillId="0" borderId="18" xfId="0" applyNumberFormat="1" applyFont="1" applyBorder="1" applyAlignment="1">
      <alignment vertical="top"/>
    </xf>
    <xf numFmtId="166" fontId="14" fillId="0" borderId="18" xfId="0" applyNumberFormat="1" applyFont="1" applyBorder="1" applyAlignment="1">
      <alignment vertical="top"/>
    </xf>
    <xf numFmtId="166" fontId="23" fillId="0" borderId="18" xfId="0" applyNumberFormat="1" applyFont="1" applyBorder="1" applyAlignment="1">
      <alignment vertical="top"/>
    </xf>
    <xf numFmtId="166" fontId="46" fillId="0" borderId="18" xfId="0" applyNumberFormat="1" applyFont="1" applyBorder="1" applyAlignment="1">
      <alignment vertical="top"/>
    </xf>
    <xf numFmtId="166" fontId="63" fillId="0" borderId="17" xfId="0" applyNumberFormat="1" applyFont="1" applyBorder="1" applyAlignment="1">
      <alignment vertical="top"/>
    </xf>
    <xf numFmtId="166" fontId="15" fillId="0" borderId="0" xfId="0" applyNumberFormat="1" applyFont="1" applyAlignment="1">
      <alignment vertical="top"/>
    </xf>
    <xf numFmtId="0" fontId="14" fillId="0" borderId="18" xfId="0" applyFont="1" applyBorder="1" applyAlignment="1">
      <alignment vertical="top"/>
    </xf>
    <xf numFmtId="166" fontId="15" fillId="0" borderId="18" xfId="0" applyNumberFormat="1" applyFont="1" applyBorder="1" applyAlignment="1">
      <alignment vertical="top"/>
    </xf>
    <xf numFmtId="0" fontId="14" fillId="0" borderId="0" xfId="0" applyFont="1" applyAlignment="1">
      <alignment vertical="top"/>
    </xf>
    <xf numFmtId="166" fontId="14" fillId="0" borderId="0" xfId="0" applyNumberFormat="1" applyFont="1" applyAlignment="1">
      <alignment vertical="top"/>
    </xf>
    <xf numFmtId="0" fontId="64" fillId="0" borderId="0" xfId="0" applyFont="1"/>
    <xf numFmtId="0" fontId="65" fillId="0" borderId="18" xfId="0" applyFont="1" applyBorder="1" applyAlignment="1">
      <alignment vertical="top"/>
    </xf>
    <xf numFmtId="0" fontId="65" fillId="0" borderId="18" xfId="0" applyFont="1" applyBorder="1" applyAlignment="1">
      <alignment horizontal="center" vertical="top"/>
    </xf>
    <xf numFmtId="0" fontId="66" fillId="0" borderId="18" xfId="0" applyFont="1" applyBorder="1" applyAlignment="1">
      <alignment vertical="top" wrapText="1"/>
    </xf>
    <xf numFmtId="169" fontId="65" fillId="0" borderId="18" xfId="0" applyNumberFormat="1" applyFont="1" applyBorder="1" applyAlignment="1">
      <alignment vertical="top"/>
    </xf>
    <xf numFmtId="0" fontId="61" fillId="0" borderId="18" xfId="0" applyFont="1" applyBorder="1" applyAlignment="1">
      <alignment vertical="top"/>
    </xf>
    <xf numFmtId="0" fontId="61" fillId="0" borderId="18" xfId="0" applyFont="1" applyBorder="1" applyAlignment="1">
      <alignment horizontal="center" vertical="top"/>
    </xf>
    <xf numFmtId="169" fontId="61" fillId="0" borderId="18" xfId="0" applyNumberFormat="1" applyFont="1" applyBorder="1" applyAlignment="1">
      <alignment vertical="top"/>
    </xf>
    <xf numFmtId="166" fontId="65" fillId="0" borderId="18" xfId="0" applyNumberFormat="1" applyFont="1" applyBorder="1" applyAlignment="1">
      <alignment vertical="top"/>
    </xf>
    <xf numFmtId="166" fontId="61" fillId="0" borderId="18" xfId="0" applyNumberFormat="1" applyFont="1" applyBorder="1" applyAlignment="1">
      <alignment vertical="top"/>
    </xf>
    <xf numFmtId="0" fontId="46" fillId="0" borderId="18" xfId="0" applyFont="1" applyBorder="1" applyAlignment="1">
      <alignment horizontal="center" vertical="top" wrapText="1"/>
    </xf>
    <xf numFmtId="0" fontId="67" fillId="0" borderId="18" xfId="0" applyFont="1" applyBorder="1" applyAlignment="1">
      <alignment vertical="top"/>
    </xf>
    <xf numFmtId="0" fontId="67" fillId="0" borderId="18" xfId="0" applyFont="1" applyBorder="1" applyAlignment="1">
      <alignment horizontal="center" vertical="top"/>
    </xf>
    <xf numFmtId="0" fontId="67" fillId="0" borderId="18" xfId="0" applyFont="1" applyBorder="1" applyAlignment="1">
      <alignment vertical="top" wrapText="1"/>
    </xf>
    <xf numFmtId="169" fontId="67" fillId="0" borderId="18" xfId="0" applyNumberFormat="1" applyFont="1" applyBorder="1" applyAlignment="1">
      <alignment vertical="top"/>
    </xf>
    <xf numFmtId="166" fontId="67" fillId="0" borderId="18" xfId="0" applyNumberFormat="1" applyFont="1" applyBorder="1" applyAlignment="1">
      <alignment vertical="top"/>
    </xf>
    <xf numFmtId="166" fontId="14" fillId="0" borderId="0" xfId="0" applyNumberFormat="1" applyFont="1"/>
    <xf numFmtId="166" fontId="68" fillId="0" borderId="17" xfId="0" applyNumberFormat="1" applyFont="1" applyBorder="1" applyAlignment="1">
      <alignment vertical="top"/>
    </xf>
    <xf numFmtId="0" fontId="69" fillId="0" borderId="0" xfId="0" applyFont="1"/>
    <xf numFmtId="0" fontId="14" fillId="0" borderId="0" xfId="43" applyFont="1" applyAlignment="1" applyProtection="1">
      <alignment vertical="top"/>
      <protection locked="0"/>
    </xf>
    <xf numFmtId="0" fontId="70" fillId="0" borderId="17" xfId="43" applyFont="1" applyBorder="1" applyAlignment="1" applyProtection="1">
      <alignment horizontal="center" vertical="center" wrapText="1"/>
      <protection locked="0"/>
    </xf>
    <xf numFmtId="0" fontId="45" fillId="0" borderId="19" xfId="0" applyFont="1" applyBorder="1" applyAlignment="1">
      <alignment horizontal="center" vertical="top"/>
    </xf>
    <xf numFmtId="0" fontId="45" fillId="0" borderId="19" xfId="0" applyFont="1" applyBorder="1" applyAlignment="1">
      <alignment vertical="top" wrapText="1"/>
    </xf>
    <xf numFmtId="168" fontId="45" fillId="0" borderId="19" xfId="0" applyNumberFormat="1" applyFont="1" applyBorder="1" applyAlignment="1">
      <alignment vertical="top"/>
    </xf>
    <xf numFmtId="0" fontId="45" fillId="0" borderId="18" xfId="0" applyFont="1" applyBorder="1" applyAlignment="1">
      <alignment vertical="top" wrapText="1"/>
    </xf>
    <xf numFmtId="168" fontId="60" fillId="0" borderId="18" xfId="0" applyNumberFormat="1" applyFont="1" applyBorder="1" applyAlignment="1">
      <alignment vertical="top"/>
    </xf>
    <xf numFmtId="0" fontId="46" fillId="0" borderId="17" xfId="0" applyFont="1" applyBorder="1" applyAlignment="1">
      <alignment vertical="top"/>
    </xf>
    <xf numFmtId="0" fontId="72" fillId="0" borderId="0" xfId="0" applyFont="1"/>
    <xf numFmtId="0" fontId="73" fillId="0" borderId="0" xfId="3" applyFill="1" applyAlignment="1">
      <alignment vertical="top"/>
    </xf>
    <xf numFmtId="0" fontId="73" fillId="0" borderId="0" xfId="3" applyFill="1"/>
    <xf numFmtId="0" fontId="61" fillId="0" borderId="19" xfId="0" applyFont="1" applyBorder="1" applyAlignment="1">
      <alignment vertical="top"/>
    </xf>
    <xf numFmtId="0" fontId="61" fillId="0" borderId="17" xfId="0" applyFont="1" applyBorder="1" applyAlignment="1">
      <alignment vertical="top"/>
    </xf>
    <xf numFmtId="0" fontId="14" fillId="3" borderId="19" xfId="0" quotePrefix="1" applyFont="1" applyFill="1" applyBorder="1" applyAlignment="1">
      <alignment vertical="top"/>
    </xf>
    <xf numFmtId="0" fontId="14" fillId="3" borderId="18" xfId="0" quotePrefix="1" applyFont="1" applyFill="1" applyBorder="1" applyAlignment="1">
      <alignment vertical="top"/>
    </xf>
    <xf numFmtId="0" fontId="14" fillId="0" borderId="35" xfId="0" quotePrefix="1" applyFont="1" applyBorder="1" applyAlignment="1">
      <alignment horizontal="center"/>
    </xf>
    <xf numFmtId="0" fontId="14" fillId="0" borderId="23" xfId="0" quotePrefix="1" applyFont="1" applyBorder="1" applyAlignment="1">
      <alignment horizontal="center"/>
    </xf>
    <xf numFmtId="0" fontId="14" fillId="0" borderId="18" xfId="0" quotePrefix="1" applyFont="1" applyBorder="1" applyAlignment="1">
      <alignment horizontal="center"/>
    </xf>
    <xf numFmtId="0" fontId="14" fillId="0" borderId="34" xfId="0" quotePrefix="1" applyFont="1" applyBorder="1" applyAlignment="1">
      <alignment horizontal="center"/>
    </xf>
    <xf numFmtId="0" fontId="14" fillId="0" borderId="30" xfId="0" quotePrefix="1" applyFont="1" applyBorder="1" applyAlignment="1" applyProtection="1">
      <alignment horizontal="center" vertical="top" wrapText="1"/>
      <protection locked="0"/>
    </xf>
    <xf numFmtId="0" fontId="46" fillId="0" borderId="18" xfId="42" quotePrefix="1" applyFont="1" applyBorder="1" applyAlignment="1">
      <alignment horizontal="left" vertical="top" wrapText="1"/>
    </xf>
    <xf numFmtId="49" fontId="43" fillId="4" borderId="17" xfId="0" quotePrefix="1" applyNumberFormat="1" applyFont="1" applyFill="1" applyBorder="1" applyAlignment="1">
      <alignment vertical="top"/>
    </xf>
    <xf numFmtId="49" fontId="14" fillId="4" borderId="18" xfId="0" quotePrefix="1" applyNumberFormat="1" applyFont="1" applyFill="1" applyBorder="1" applyAlignment="1">
      <alignment vertical="top"/>
    </xf>
    <xf numFmtId="49" fontId="14" fillId="4" borderId="20" xfId="0" quotePrefix="1" applyNumberFormat="1" applyFont="1" applyFill="1" applyBorder="1" applyAlignment="1">
      <alignment vertical="top"/>
    </xf>
    <xf numFmtId="49" fontId="14" fillId="3" borderId="18" xfId="0" quotePrefix="1" applyNumberFormat="1" applyFont="1" applyFill="1" applyBorder="1" applyAlignment="1">
      <alignment vertical="top"/>
    </xf>
    <xf numFmtId="49" fontId="14" fillId="3" borderId="20" xfId="0" quotePrefix="1" applyNumberFormat="1" applyFont="1" applyFill="1" applyBorder="1" applyAlignment="1">
      <alignment vertical="top"/>
    </xf>
    <xf numFmtId="49" fontId="43" fillId="3" borderId="17" xfId="0" quotePrefix="1" applyNumberFormat="1" applyFont="1" applyFill="1" applyBorder="1" applyAlignment="1">
      <alignment vertical="top"/>
    </xf>
    <xf numFmtId="0" fontId="19" fillId="0" borderId="18" xfId="0" quotePrefix="1" applyFont="1" applyBorder="1"/>
    <xf numFmtId="0" fontId="20" fillId="0" borderId="18" xfId="0" quotePrefix="1" applyFont="1" applyBorder="1"/>
    <xf numFmtId="0" fontId="20" fillId="0" borderId="20" xfId="0" quotePrefix="1" applyFont="1" applyBorder="1"/>
    <xf numFmtId="186" fontId="14" fillId="0" borderId="0" xfId="1" applyNumberFormat="1" applyFont="1" applyFill="1" applyAlignment="1">
      <alignment horizontal="right" vertical="center"/>
    </xf>
    <xf numFmtId="186" fontId="14" fillId="0" borderId="0" xfId="1" applyNumberFormat="1" applyFont="1" applyFill="1" applyAlignment="1">
      <alignment vertical="center"/>
    </xf>
    <xf numFmtId="10" fontId="15" fillId="0" borderId="0" xfId="1" applyNumberFormat="1" applyFont="1" applyFill="1" applyAlignment="1">
      <alignment vertical="center"/>
    </xf>
    <xf numFmtId="186" fontId="14" fillId="0" borderId="0" xfId="1" applyNumberFormat="1" applyFont="1" applyFill="1"/>
    <xf numFmtId="190" fontId="14" fillId="0" borderId="0" xfId="1" applyNumberFormat="1" applyFont="1" applyFill="1"/>
    <xf numFmtId="168" fontId="14" fillId="0" borderId="0" xfId="0" applyNumberFormat="1" applyFont="1"/>
    <xf numFmtId="49" fontId="15" fillId="0" borderId="17" xfId="0" applyNumberFormat="1" applyFont="1" applyBorder="1" applyAlignment="1">
      <alignment horizontal="center" vertical="center" wrapText="1"/>
    </xf>
    <xf numFmtId="168" fontId="14" fillId="0" borderId="0" xfId="0" applyNumberFormat="1" applyFont="1" applyAlignment="1">
      <alignment vertical="center"/>
    </xf>
    <xf numFmtId="0" fontId="14" fillId="0" borderId="0" xfId="0" applyFont="1" applyAlignment="1">
      <alignment vertical="center"/>
    </xf>
    <xf numFmtId="168" fontId="15" fillId="0" borderId="17" xfId="0" applyNumberFormat="1" applyFont="1" applyBorder="1" applyAlignment="1">
      <alignment vertical="center"/>
    </xf>
    <xf numFmtId="0" fontId="14" fillId="0" borderId="19" xfId="0" applyFont="1" applyBorder="1" applyAlignment="1">
      <alignment horizontal="center" vertical="center" wrapText="1"/>
    </xf>
    <xf numFmtId="49" fontId="15" fillId="0" borderId="17" xfId="0" applyNumberFormat="1" applyFont="1" applyBorder="1" applyAlignment="1">
      <alignment horizontal="center" vertical="center"/>
    </xf>
    <xf numFmtId="0" fontId="15" fillId="0" borderId="17" xfId="0" applyFont="1" applyBorder="1" applyAlignment="1">
      <alignment vertical="center" wrapText="1"/>
    </xf>
    <xf numFmtId="0" fontId="14" fillId="0" borderId="0" xfId="0" applyFont="1" applyAlignment="1">
      <alignment horizontal="right" vertical="center"/>
    </xf>
    <xf numFmtId="49" fontId="14" fillId="0" borderId="33" xfId="0" applyNumberFormat="1" applyFont="1" applyBorder="1" applyAlignment="1">
      <alignment horizontal="center" vertical="center"/>
    </xf>
    <xf numFmtId="0" fontId="14" fillId="0" borderId="33" xfId="0" applyFont="1" applyBorder="1" applyAlignment="1">
      <alignment vertical="center" wrapText="1"/>
    </xf>
    <xf numFmtId="0" fontId="14" fillId="0" borderId="33" xfId="0" applyFont="1" applyBorder="1" applyAlignment="1">
      <alignment horizontal="center" vertical="center" wrapText="1"/>
    </xf>
    <xf numFmtId="0" fontId="14" fillId="0" borderId="33" xfId="0" applyFont="1" applyBorder="1" applyAlignment="1">
      <alignment horizontal="center" vertical="center"/>
    </xf>
    <xf numFmtId="168" fontId="14" fillId="0" borderId="22" xfId="0" applyNumberFormat="1" applyFont="1" applyBorder="1" applyAlignment="1">
      <alignment vertical="center"/>
    </xf>
    <xf numFmtId="168" fontId="14" fillId="0" borderId="33" xfId="0" applyNumberFormat="1" applyFont="1" applyBorder="1" applyAlignment="1">
      <alignment vertical="center"/>
    </xf>
    <xf numFmtId="43" fontId="14" fillId="0" borderId="0" xfId="0" applyNumberFormat="1" applyFont="1" applyAlignment="1">
      <alignment horizontal="right" vertical="center"/>
    </xf>
    <xf numFmtId="168" fontId="14" fillId="0" borderId="0" xfId="0" applyNumberFormat="1" applyFont="1" applyAlignment="1">
      <alignment horizontal="right" vertical="center"/>
    </xf>
    <xf numFmtId="49" fontId="14" fillId="0" borderId="22" xfId="0" applyNumberFormat="1" applyFont="1" applyBorder="1" applyAlignment="1">
      <alignment horizontal="center" vertical="center"/>
    </xf>
    <xf numFmtId="0" fontId="14" fillId="0" borderId="22" xfId="0" applyFont="1" applyBorder="1" applyAlignment="1">
      <alignment vertical="center" wrapText="1"/>
    </xf>
    <xf numFmtId="0" fontId="14" fillId="0" borderId="22" xfId="0" applyFont="1" applyBorder="1" applyAlignment="1">
      <alignment horizontal="center" vertical="center" wrapText="1"/>
    </xf>
    <xf numFmtId="49" fontId="14" fillId="0" borderId="18" xfId="0" applyNumberFormat="1" applyFont="1" applyBorder="1" applyAlignment="1">
      <alignment horizontal="center" vertical="top"/>
    </xf>
    <xf numFmtId="0" fontId="14" fillId="0" borderId="18" xfId="0" applyFont="1" applyBorder="1" applyAlignment="1">
      <alignment horizontal="justify" vertical="top" wrapText="1"/>
    </xf>
    <xf numFmtId="0" fontId="14" fillId="0" borderId="18" xfId="0" applyFont="1" applyBorder="1" applyAlignment="1">
      <alignment horizontal="center" vertical="center" wrapText="1"/>
    </xf>
    <xf numFmtId="0" fontId="14" fillId="0" borderId="18" xfId="41" applyFont="1" applyBorder="1" applyAlignment="1">
      <alignment horizontal="center" vertical="center"/>
    </xf>
    <xf numFmtId="168" fontId="14" fillId="0" borderId="18" xfId="0" applyNumberFormat="1" applyFont="1" applyBorder="1" applyAlignment="1">
      <alignment vertical="center"/>
    </xf>
    <xf numFmtId="49" fontId="14" fillId="0" borderId="18" xfId="0" applyNumberFormat="1" applyFont="1" applyBorder="1" applyAlignment="1">
      <alignment horizontal="center" vertical="center"/>
    </xf>
    <xf numFmtId="182" fontId="14" fillId="0" borderId="0" xfId="0" applyNumberFormat="1" applyFont="1" applyAlignment="1">
      <alignment vertical="center"/>
    </xf>
    <xf numFmtId="0" fontId="92" fillId="0" borderId="18" xfId="0" applyFont="1" applyBorder="1" applyAlignment="1">
      <alignment horizontal="center" vertical="center"/>
    </xf>
    <xf numFmtId="49" fontId="40" fillId="0" borderId="18" xfId="0" applyNumberFormat="1" applyFont="1" applyBorder="1" applyAlignment="1">
      <alignment horizontal="center" vertical="center"/>
    </xf>
    <xf numFmtId="0" fontId="40" fillId="0" borderId="18" xfId="0" applyFont="1" applyBorder="1" applyAlignment="1">
      <alignment vertical="center" wrapText="1"/>
    </xf>
    <xf numFmtId="0" fontId="40" fillId="0" borderId="18" xfId="0" applyFont="1" applyBorder="1" applyAlignment="1">
      <alignment horizontal="center" vertical="center" wrapText="1"/>
    </xf>
    <xf numFmtId="0" fontId="40" fillId="0" borderId="18" xfId="0" applyFont="1" applyBorder="1" applyAlignment="1">
      <alignment horizontal="center" vertical="center"/>
    </xf>
    <xf numFmtId="168" fontId="40" fillId="0" borderId="18" xfId="0" applyNumberFormat="1" applyFont="1" applyBorder="1" applyAlignment="1">
      <alignment vertical="center"/>
    </xf>
    <xf numFmtId="196" fontId="14" fillId="0" borderId="0" xfId="0" applyNumberFormat="1" applyFont="1" applyAlignment="1">
      <alignment vertical="center"/>
    </xf>
    <xf numFmtId="0" fontId="40" fillId="0" borderId="23" xfId="0" applyFont="1" applyBorder="1" applyAlignment="1">
      <alignment vertical="center" wrapText="1"/>
    </xf>
    <xf numFmtId="168" fontId="40" fillId="0" borderId="23" xfId="0" applyNumberFormat="1" applyFont="1" applyBorder="1" applyAlignment="1">
      <alignment vertical="center"/>
    </xf>
    <xf numFmtId="4" fontId="14" fillId="0" borderId="18" xfId="0" applyNumberFormat="1" applyFont="1" applyBorder="1" applyAlignment="1">
      <alignment horizontal="center" vertical="center"/>
    </xf>
    <xf numFmtId="186" fontId="14" fillId="0" borderId="0" xfId="0" applyNumberFormat="1" applyFont="1" applyAlignment="1">
      <alignment horizontal="right" vertical="center"/>
    </xf>
    <xf numFmtId="0" fontId="15" fillId="0" borderId="18" xfId="0" applyFont="1" applyBorder="1" applyAlignment="1">
      <alignment horizontal="center" vertical="center"/>
    </xf>
    <xf numFmtId="0" fontId="15" fillId="0" borderId="0" xfId="0" applyFont="1" applyAlignment="1">
      <alignment horizontal="right" vertical="center"/>
    </xf>
    <xf numFmtId="168" fontId="15" fillId="0" borderId="0" xfId="0" applyNumberFormat="1" applyFont="1" applyAlignment="1">
      <alignment vertical="center"/>
    </xf>
    <xf numFmtId="168" fontId="15" fillId="0" borderId="0" xfId="0" applyNumberFormat="1" applyFont="1" applyAlignment="1">
      <alignment horizontal="left" vertical="center"/>
    </xf>
    <xf numFmtId="0" fontId="15" fillId="0" borderId="0" xfId="0" applyFont="1" applyAlignment="1">
      <alignment vertical="center"/>
    </xf>
    <xf numFmtId="0" fontId="7" fillId="0" borderId="0" xfId="0" applyFont="1" applyAlignment="1">
      <alignment horizontal="center"/>
    </xf>
    <xf numFmtId="3" fontId="93" fillId="0" borderId="0" xfId="0" applyNumberFormat="1" applyFont="1" applyAlignment="1">
      <alignment horizontal="right" vertical="center" wrapText="1"/>
    </xf>
    <xf numFmtId="3" fontId="14" fillId="0" borderId="0" xfId="0" applyNumberFormat="1" applyFont="1"/>
    <xf numFmtId="168" fontId="15" fillId="0" borderId="0" xfId="0" applyNumberFormat="1" applyFont="1" applyAlignment="1">
      <alignment horizontal="center" vertical="center"/>
    </xf>
    <xf numFmtId="0" fontId="7" fillId="0" borderId="0" xfId="0" applyFont="1" applyAlignment="1">
      <alignment horizontal="center" vertical="center"/>
    </xf>
    <xf numFmtId="3" fontId="94" fillId="0" borderId="0" xfId="0" applyNumberFormat="1" applyFont="1" applyAlignment="1">
      <alignment horizontal="right" vertical="center" wrapText="1"/>
    </xf>
    <xf numFmtId="0" fontId="14" fillId="0" borderId="0" xfId="0" applyFont="1" applyAlignment="1">
      <alignment horizontal="left"/>
    </xf>
    <xf numFmtId="0" fontId="15" fillId="0" borderId="0" xfId="0" applyFont="1"/>
    <xf numFmtId="182" fontId="14" fillId="0" borderId="0" xfId="0" applyNumberFormat="1" applyFont="1"/>
    <xf numFmtId="0" fontId="41" fillId="0" borderId="17" xfId="0" applyFont="1" applyBorder="1" applyAlignment="1">
      <alignment horizontal="center"/>
    </xf>
    <xf numFmtId="0" fontId="7" fillId="0" borderId="17" xfId="0" applyFont="1" applyBorder="1"/>
    <xf numFmtId="0" fontId="14" fillId="0" borderId="17" xfId="0" applyFont="1" applyBorder="1"/>
    <xf numFmtId="0" fontId="15" fillId="0" borderId="17" xfId="0" applyFont="1" applyBorder="1"/>
    <xf numFmtId="0" fontId="15" fillId="0" borderId="17" xfId="0" applyFont="1" applyBorder="1" applyAlignment="1">
      <alignment horizontal="center"/>
    </xf>
    <xf numFmtId="0" fontId="14" fillId="0" borderId="17" xfId="0" applyFont="1" applyBorder="1" applyAlignment="1">
      <alignment horizontal="center"/>
    </xf>
    <xf numFmtId="182" fontId="14" fillId="0" borderId="17" xfId="0" applyNumberFormat="1" applyFont="1" applyBorder="1"/>
    <xf numFmtId="187" fontId="14" fillId="0" borderId="17" xfId="0" applyNumberFormat="1" applyFont="1" applyBorder="1"/>
    <xf numFmtId="0" fontId="14" fillId="0" borderId="25" xfId="0" applyFont="1" applyBorder="1" applyAlignment="1">
      <alignment horizontal="center" vertical="center"/>
    </xf>
    <xf numFmtId="0" fontId="14" fillId="0" borderId="25" xfId="0" applyFont="1" applyBorder="1" applyAlignment="1">
      <alignment horizontal="left" vertical="center" wrapText="1"/>
    </xf>
    <xf numFmtId="187" fontId="14" fillId="0" borderId="17" xfId="0" applyNumberFormat="1" applyFont="1" applyBorder="1" applyAlignment="1">
      <alignment horizontal="right"/>
    </xf>
    <xf numFmtId="195" fontId="14" fillId="0" borderId="17" xfId="0" applyNumberFormat="1" applyFont="1" applyBorder="1"/>
    <xf numFmtId="187" fontId="14" fillId="0" borderId="0" xfId="0" applyNumberFormat="1" applyFont="1"/>
    <xf numFmtId="0" fontId="41" fillId="0" borderId="0" xfId="0" applyFont="1"/>
    <xf numFmtId="0" fontId="55" fillId="0" borderId="21" xfId="40" applyFont="1" applyBorder="1" applyAlignment="1">
      <alignment horizontal="center" vertical="center"/>
    </xf>
    <xf numFmtId="0" fontId="41" fillId="0" borderId="17" xfId="0" applyFont="1" applyBorder="1" applyAlignment="1">
      <alignment vertical="center" wrapText="1"/>
    </xf>
    <xf numFmtId="0" fontId="55" fillId="0" borderId="17" xfId="0" applyFont="1" applyBorder="1" applyAlignment="1">
      <alignment vertical="center" wrapText="1"/>
    </xf>
    <xf numFmtId="0" fontId="55" fillId="0" borderId="0" xfId="0" applyFont="1" applyAlignment="1">
      <alignment horizontal="center" vertical="center"/>
    </xf>
    <xf numFmtId="187" fontId="41" fillId="0" borderId="0" xfId="0" applyNumberFormat="1" applyFont="1" applyAlignment="1">
      <alignment horizontal="center"/>
    </xf>
    <xf numFmtId="182" fontId="41" fillId="0" borderId="0" xfId="0" applyNumberFormat="1" applyFont="1" applyAlignment="1">
      <alignment horizontal="center" vertical="center"/>
    </xf>
    <xf numFmtId="0" fontId="55" fillId="0" borderId="17" xfId="0" applyFont="1" applyBorder="1" applyAlignment="1">
      <alignment horizontal="center" vertical="center" wrapText="1"/>
    </xf>
    <xf numFmtId="188" fontId="41" fillId="0" borderId="17" xfId="0" applyNumberFormat="1" applyFont="1" applyBorder="1" applyAlignment="1">
      <alignment horizontal="center" vertical="center" wrapText="1"/>
    </xf>
    <xf numFmtId="1" fontId="41" fillId="0" borderId="17" xfId="0" applyNumberFormat="1" applyFont="1" applyBorder="1" applyAlignment="1">
      <alignment horizontal="center" vertical="center"/>
    </xf>
    <xf numFmtId="1" fontId="41" fillId="0" borderId="17" xfId="0" applyNumberFormat="1" applyFont="1" applyBorder="1" applyAlignment="1">
      <alignment horizontal="center"/>
    </xf>
    <xf numFmtId="189" fontId="41" fillId="0" borderId="28" xfId="0" applyNumberFormat="1" applyFont="1" applyBorder="1" applyAlignment="1">
      <alignment horizontal="center" vertical="center"/>
    </xf>
    <xf numFmtId="0" fontId="41" fillId="0" borderId="17" xfId="0" quotePrefix="1" applyFont="1" applyBorder="1" applyAlignment="1">
      <alignment horizontal="center"/>
    </xf>
    <xf numFmtId="182" fontId="55" fillId="0" borderId="17" xfId="44" applyNumberFormat="1" applyFont="1" applyBorder="1" applyAlignment="1">
      <alignment horizontal="center" vertical="center"/>
    </xf>
    <xf numFmtId="182" fontId="41" fillId="0" borderId="17" xfId="0" applyNumberFormat="1" applyFont="1" applyBorder="1" applyAlignment="1">
      <alignment horizontal="center" vertical="center"/>
    </xf>
    <xf numFmtId="182" fontId="55" fillId="0" borderId="17" xfId="0" applyNumberFormat="1" applyFont="1" applyBorder="1" applyAlignment="1">
      <alignment horizontal="center" vertical="center"/>
    </xf>
    <xf numFmtId="182" fontId="55" fillId="0" borderId="17" xfId="0" applyNumberFormat="1" applyFont="1" applyBorder="1" applyAlignment="1">
      <alignment horizontal="center"/>
    </xf>
    <xf numFmtId="49" fontId="41" fillId="0" borderId="0" xfId="40" applyNumberFormat="1" applyFont="1" applyAlignment="1">
      <alignment vertical="center"/>
    </xf>
    <xf numFmtId="0" fontId="55" fillId="0" borderId="0" xfId="40" applyFont="1" applyAlignment="1">
      <alignment vertical="center"/>
    </xf>
    <xf numFmtId="0" fontId="55" fillId="0" borderId="0" xfId="40" applyFont="1" applyAlignment="1">
      <alignment horizontal="center" vertical="center"/>
    </xf>
    <xf numFmtId="49" fontId="55" fillId="0" borderId="0" xfId="40" applyNumberFormat="1" applyFont="1" applyAlignment="1">
      <alignment vertical="center"/>
    </xf>
    <xf numFmtId="49" fontId="55" fillId="0" borderId="24" xfId="40" applyNumberFormat="1" applyFont="1" applyBorder="1" applyAlignment="1">
      <alignment horizontal="center" vertical="center"/>
    </xf>
    <xf numFmtId="0" fontId="55" fillId="0" borderId="26" xfId="40" applyFont="1" applyBorder="1" applyAlignment="1">
      <alignment horizontal="left" vertical="center"/>
    </xf>
    <xf numFmtId="0" fontId="55" fillId="0" borderId="27" xfId="40" applyFont="1" applyBorder="1" applyAlignment="1">
      <alignment horizontal="center" vertical="center"/>
    </xf>
    <xf numFmtId="0" fontId="55" fillId="0" borderId="28" xfId="40" applyFont="1" applyBorder="1" applyAlignment="1">
      <alignment horizontal="center" vertical="center"/>
    </xf>
    <xf numFmtId="0" fontId="55" fillId="0" borderId="25" xfId="40" applyFont="1" applyBorder="1" applyAlignment="1">
      <alignment horizontal="center" vertical="center"/>
    </xf>
    <xf numFmtId="0" fontId="55" fillId="0" borderId="25" xfId="40" applyFont="1" applyBorder="1" applyAlignment="1">
      <alignment vertical="center"/>
    </xf>
    <xf numFmtId="189" fontId="55" fillId="0" borderId="17" xfId="40" applyNumberFormat="1" applyFont="1" applyBorder="1" applyAlignment="1">
      <alignment horizontal="center" vertical="center"/>
    </xf>
    <xf numFmtId="0" fontId="55" fillId="0" borderId="17" xfId="40" applyFont="1" applyBorder="1" applyAlignment="1">
      <alignment horizontal="center" vertical="center"/>
    </xf>
    <xf numFmtId="1" fontId="55" fillId="0" borderId="17" xfId="40" applyNumberFormat="1" applyFont="1" applyBorder="1" applyAlignment="1">
      <alignment horizontal="center" vertical="center"/>
    </xf>
    <xf numFmtId="49" fontId="55" fillId="0" borderId="17" xfId="40" applyNumberFormat="1" applyFont="1" applyBorder="1" applyAlignment="1">
      <alignment vertical="center"/>
    </xf>
    <xf numFmtId="182" fontId="55" fillId="0" borderId="17" xfId="40" applyNumberFormat="1" applyFont="1" applyBorder="1" applyAlignment="1">
      <alignment horizontal="center" vertical="center"/>
    </xf>
    <xf numFmtId="0" fontId="55" fillId="0" borderId="17" xfId="40" applyFont="1" applyBorder="1" applyAlignment="1">
      <alignment vertical="center"/>
    </xf>
    <xf numFmtId="0" fontId="41" fillId="0" borderId="0" xfId="40" applyFont="1" applyAlignment="1">
      <alignment vertical="center"/>
    </xf>
    <xf numFmtId="190" fontId="55" fillId="0" borderId="17" xfId="40" applyNumberFormat="1" applyFont="1" applyBorder="1" applyAlignment="1">
      <alignment vertical="center"/>
    </xf>
    <xf numFmtId="0" fontId="55" fillId="0" borderId="0" xfId="40" applyFont="1" applyAlignment="1">
      <alignment horizontal="right" vertical="center"/>
    </xf>
    <xf numFmtId="49" fontId="55" fillId="0" borderId="24" xfId="40" applyNumberFormat="1" applyFont="1" applyBorder="1" applyAlignment="1">
      <alignment vertical="center"/>
    </xf>
    <xf numFmtId="0" fontId="55" fillId="0" borderId="24" xfId="40" applyFont="1" applyBorder="1" applyAlignment="1">
      <alignment horizontal="center" vertical="center"/>
    </xf>
    <xf numFmtId="0" fontId="55" fillId="0" borderId="17" xfId="40" applyFont="1" applyBorder="1" applyAlignment="1">
      <alignment horizontal="left" vertical="center"/>
    </xf>
    <xf numFmtId="49" fontId="55" fillId="0" borderId="25" xfId="40" applyNumberFormat="1" applyFont="1" applyBorder="1" applyAlignment="1">
      <alignment horizontal="center" vertical="center"/>
    </xf>
    <xf numFmtId="0" fontId="55" fillId="0" borderId="17" xfId="40" applyFont="1" applyBorder="1" applyAlignment="1">
      <alignment horizontal="left" vertical="center" wrapText="1"/>
    </xf>
    <xf numFmtId="0" fontId="55" fillId="0" borderId="17" xfId="40" applyFont="1" applyBorder="1" applyAlignment="1">
      <alignment horizontal="center" vertical="center" wrapText="1"/>
    </xf>
    <xf numFmtId="0" fontId="55" fillId="0" borderId="0" xfId="40" applyFont="1" applyAlignment="1">
      <alignment horizontal="center" vertical="center" wrapText="1"/>
    </xf>
    <xf numFmtId="0" fontId="55" fillId="0" borderId="0" xfId="40" applyFont="1" applyAlignment="1">
      <alignment horizontal="left" vertical="center" wrapText="1"/>
    </xf>
    <xf numFmtId="0" fontId="55" fillId="0" borderId="0" xfId="0" applyFont="1" applyAlignment="1">
      <alignment vertical="center"/>
    </xf>
    <xf numFmtId="0" fontId="55" fillId="0" borderId="17" xfId="40" applyFont="1" applyBorder="1" applyAlignment="1">
      <alignment horizontal="justify" vertical="center" wrapText="1"/>
    </xf>
    <xf numFmtId="0" fontId="55" fillId="0" borderId="24" xfId="40" applyFont="1" applyBorder="1" applyAlignment="1">
      <alignment vertical="center" wrapText="1"/>
    </xf>
    <xf numFmtId="0" fontId="55" fillId="0" borderId="0" xfId="40" applyFont="1" applyAlignment="1" applyProtection="1">
      <alignment vertical="center"/>
      <protection hidden="1"/>
    </xf>
    <xf numFmtId="0" fontId="96" fillId="0" borderId="17" xfId="40" applyFont="1" applyBorder="1" applyAlignment="1">
      <alignment vertical="center" wrapText="1"/>
    </xf>
    <xf numFmtId="0" fontId="55" fillId="0" borderId="17" xfId="40" applyFont="1" applyBorder="1" applyAlignment="1">
      <alignment vertical="center" wrapText="1"/>
    </xf>
    <xf numFmtId="0" fontId="96" fillId="0" borderId="17" xfId="40" applyFont="1" applyBorder="1" applyAlignment="1">
      <alignment horizontal="center" vertical="center" wrapText="1"/>
    </xf>
    <xf numFmtId="0" fontId="8" fillId="0" borderId="0" xfId="40" applyFont="1" applyAlignment="1">
      <alignment horizontal="left" vertical="center"/>
    </xf>
    <xf numFmtId="1" fontId="55" fillId="0" borderId="17" xfId="40" applyNumberFormat="1" applyFont="1" applyBorder="1" applyAlignment="1">
      <alignment vertical="center"/>
    </xf>
    <xf numFmtId="49" fontId="41" fillId="0" borderId="0" xfId="0" applyNumberFormat="1" applyFont="1" applyAlignment="1">
      <alignment vertical="center"/>
    </xf>
    <xf numFmtId="0" fontId="55" fillId="0" borderId="0" xfId="0" applyFont="1" applyAlignment="1" applyProtection="1">
      <alignment vertical="center"/>
      <protection hidden="1"/>
    </xf>
    <xf numFmtId="49" fontId="55" fillId="0" borderId="0" xfId="0" applyNumberFormat="1" applyFont="1" applyAlignment="1">
      <alignment horizontal="left" vertical="center"/>
    </xf>
    <xf numFmtId="49" fontId="55" fillId="0" borderId="0" xfId="0" applyNumberFormat="1" applyFont="1" applyAlignment="1">
      <alignment horizontal="center" vertical="center"/>
    </xf>
    <xf numFmtId="49" fontId="55" fillId="0" borderId="0" xfId="0" applyNumberFormat="1" applyFont="1" applyAlignment="1">
      <alignment horizontal="right" vertical="center"/>
    </xf>
    <xf numFmtId="49" fontId="55" fillId="0" borderId="24" xfId="0" applyNumberFormat="1" applyFont="1" applyBorder="1" applyAlignment="1">
      <alignment horizontal="center" vertical="center"/>
    </xf>
    <xf numFmtId="49" fontId="55" fillId="0" borderId="37" xfId="0" applyNumberFormat="1" applyFont="1" applyBorder="1" applyAlignment="1">
      <alignment horizontal="center" vertical="center" wrapText="1"/>
    </xf>
    <xf numFmtId="191" fontId="55" fillId="0" borderId="17" xfId="0" applyNumberFormat="1" applyFont="1" applyBorder="1" applyAlignment="1">
      <alignment horizontal="right" vertical="center"/>
    </xf>
    <xf numFmtId="1" fontId="55" fillId="0" borderId="17" xfId="0" applyNumberFormat="1" applyFont="1" applyBorder="1" applyAlignment="1">
      <alignment horizontal="right" vertical="center"/>
    </xf>
    <xf numFmtId="49" fontId="55" fillId="0" borderId="25" xfId="0" applyNumberFormat="1" applyFont="1" applyBorder="1" applyAlignment="1">
      <alignment horizontal="center" vertical="center"/>
    </xf>
    <xf numFmtId="49" fontId="55" fillId="0" borderId="17" xfId="0" applyNumberFormat="1" applyFont="1" applyBorder="1" applyAlignment="1">
      <alignment horizontal="center" vertical="center"/>
    </xf>
    <xf numFmtId="182" fontId="55" fillId="0" borderId="17" xfId="0" applyNumberFormat="1" applyFont="1" applyBorder="1" applyAlignment="1">
      <alignment vertical="center"/>
    </xf>
    <xf numFmtId="49" fontId="55" fillId="0" borderId="17" xfId="0" applyNumberFormat="1" applyFont="1" applyBorder="1" applyAlignment="1">
      <alignment horizontal="left" vertical="center"/>
    </xf>
    <xf numFmtId="0" fontId="55" fillId="0" borderId="25" xfId="0" applyFont="1" applyBorder="1" applyAlignment="1">
      <alignment horizontal="center" vertical="center"/>
    </xf>
    <xf numFmtId="1" fontId="55" fillId="0" borderId="17" xfId="0" applyNumberFormat="1" applyFont="1" applyBorder="1" applyAlignment="1">
      <alignment vertical="center"/>
    </xf>
    <xf numFmtId="192" fontId="55" fillId="0" borderId="17" xfId="0" applyNumberFormat="1" applyFont="1" applyBorder="1" applyAlignment="1">
      <alignment vertical="center"/>
    </xf>
    <xf numFmtId="1" fontId="55" fillId="0" borderId="17" xfId="0" applyNumberFormat="1" applyFont="1" applyBorder="1" applyAlignment="1">
      <alignment horizontal="center" vertical="center"/>
    </xf>
    <xf numFmtId="0" fontId="55" fillId="0" borderId="17" xfId="0" applyFont="1" applyBorder="1" applyAlignment="1">
      <alignment vertical="center"/>
    </xf>
    <xf numFmtId="0" fontId="55" fillId="0" borderId="0" xfId="0" applyFont="1" applyAlignment="1">
      <alignment horizontal="left"/>
    </xf>
    <xf numFmtId="188" fontId="55" fillId="0" borderId="17" xfId="0" applyNumberFormat="1" applyFont="1" applyBorder="1" applyAlignment="1">
      <alignment horizontal="center" vertical="center" wrapText="1"/>
    </xf>
    <xf numFmtId="182" fontId="55" fillId="0" borderId="17" xfId="0" applyNumberFormat="1"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vertical="center" wrapText="1"/>
    </xf>
    <xf numFmtId="187" fontId="55" fillId="0" borderId="17" xfId="0" applyNumberFormat="1" applyFont="1" applyBorder="1" applyAlignment="1">
      <alignment horizontal="center" vertical="center" wrapText="1"/>
    </xf>
    <xf numFmtId="188" fontId="55" fillId="0" borderId="24" xfId="0" applyNumberFormat="1" applyFont="1" applyBorder="1" applyAlignment="1">
      <alignment horizontal="center" vertical="center" wrapText="1"/>
    </xf>
    <xf numFmtId="0" fontId="55" fillId="0" borderId="24" xfId="0" applyFont="1" applyBorder="1" applyAlignment="1">
      <alignment horizontal="center" vertical="center" wrapText="1"/>
    </xf>
    <xf numFmtId="0" fontId="55" fillId="0" borderId="26" xfId="0" applyFont="1" applyBorder="1" applyAlignment="1">
      <alignment vertical="center" wrapText="1"/>
    </xf>
    <xf numFmtId="0" fontId="14" fillId="0" borderId="28" xfId="0" applyFont="1" applyBorder="1"/>
    <xf numFmtId="187" fontId="41" fillId="0" borderId="17" xfId="0" applyNumberFormat="1" applyFont="1" applyBorder="1" applyAlignment="1">
      <alignment horizontal="center" vertical="center"/>
    </xf>
    <xf numFmtId="187" fontId="55" fillId="0" borderId="17" xfId="0" applyNumberFormat="1" applyFont="1" applyBorder="1" applyAlignment="1">
      <alignment horizontal="center" vertical="center"/>
    </xf>
    <xf numFmtId="187" fontId="55" fillId="0" borderId="17" xfId="0" applyNumberFormat="1" applyFont="1" applyBorder="1" applyAlignment="1">
      <alignment horizontal="center"/>
    </xf>
    <xf numFmtId="187" fontId="41" fillId="0" borderId="0" xfId="0" applyNumberFormat="1" applyFont="1" applyAlignment="1">
      <alignment horizontal="center" vertical="center"/>
    </xf>
    <xf numFmtId="0" fontId="55" fillId="0" borderId="17" xfId="0" applyFont="1" applyBorder="1" applyAlignment="1">
      <alignment horizontal="center"/>
    </xf>
    <xf numFmtId="193" fontId="41" fillId="0" borderId="17" xfId="0" applyNumberFormat="1" applyFont="1" applyBorder="1" applyAlignment="1">
      <alignment horizontal="center" vertical="center" wrapText="1"/>
    </xf>
    <xf numFmtId="0" fontId="41" fillId="0" borderId="0" xfId="0" applyFont="1" applyAlignment="1">
      <alignment horizontal="left"/>
    </xf>
    <xf numFmtId="194" fontId="41" fillId="0" borderId="17" xfId="0" applyNumberFormat="1" applyFont="1" applyBorder="1" applyAlignment="1">
      <alignment horizontal="center" vertical="center" wrapText="1"/>
    </xf>
    <xf numFmtId="0" fontId="55" fillId="0" borderId="28" xfId="0" applyFont="1" applyBorder="1" applyAlignment="1">
      <alignment vertical="center" wrapText="1"/>
    </xf>
    <xf numFmtId="187" fontId="41" fillId="0" borderId="28" xfId="0" applyNumberFormat="1" applyFont="1" applyBorder="1" applyAlignment="1">
      <alignment horizontal="center" vertical="center"/>
    </xf>
    <xf numFmtId="49" fontId="97" fillId="0" borderId="33" xfId="0" applyNumberFormat="1" applyFont="1" applyBorder="1" applyAlignment="1">
      <alignment horizontal="center" vertical="center"/>
    </xf>
    <xf numFmtId="0" fontId="97" fillId="0" borderId="33" xfId="0" applyFont="1" applyBorder="1" applyAlignment="1">
      <alignment vertical="center" wrapText="1"/>
    </xf>
    <xf numFmtId="0" fontId="97" fillId="0" borderId="33" xfId="0" applyFont="1" applyBorder="1" applyAlignment="1">
      <alignment horizontal="center" vertical="center" wrapText="1"/>
    </xf>
    <xf numFmtId="0" fontId="97" fillId="0" borderId="33" xfId="0" applyFont="1" applyBorder="1" applyAlignment="1">
      <alignment horizontal="center" vertical="center"/>
    </xf>
    <xf numFmtId="168" fontId="97" fillId="0" borderId="22" xfId="0" applyNumberFormat="1" applyFont="1" applyBorder="1" applyAlignment="1">
      <alignment vertical="center"/>
    </xf>
    <xf numFmtId="168" fontId="97" fillId="0" borderId="33" xfId="0" applyNumberFormat="1" applyFont="1" applyBorder="1" applyAlignment="1">
      <alignment vertical="center"/>
    </xf>
    <xf numFmtId="0" fontId="97" fillId="0" borderId="0" xfId="0" applyFont="1" applyAlignment="1">
      <alignment horizontal="right" vertical="center"/>
    </xf>
    <xf numFmtId="0" fontId="97" fillId="0" borderId="0" xfId="0" applyFont="1" applyAlignment="1">
      <alignment vertical="center"/>
    </xf>
    <xf numFmtId="49" fontId="97" fillId="0" borderId="20" xfId="0" applyNumberFormat="1" applyFont="1" applyBorder="1" applyAlignment="1">
      <alignment horizontal="center" vertical="center"/>
    </xf>
    <xf numFmtId="0" fontId="97" fillId="0" borderId="20" xfId="0" applyFont="1" applyBorder="1" applyAlignment="1">
      <alignment vertical="center" wrapText="1"/>
    </xf>
    <xf numFmtId="0" fontId="97" fillId="0" borderId="20" xfId="0" applyFont="1" applyBorder="1" applyAlignment="1">
      <alignment horizontal="center" vertical="center" wrapText="1"/>
    </xf>
    <xf numFmtId="0" fontId="97" fillId="0" borderId="20" xfId="0" applyFont="1" applyBorder="1" applyAlignment="1">
      <alignment horizontal="center" vertical="center"/>
    </xf>
    <xf numFmtId="168" fontId="97" fillId="0" borderId="20" xfId="0" applyNumberFormat="1" applyFont="1" applyBorder="1" applyAlignment="1">
      <alignment vertical="center"/>
    </xf>
    <xf numFmtId="0" fontId="11" fillId="0" borderId="0" xfId="0" applyFont="1" applyAlignment="1">
      <alignment horizontal="center" vertical="top" wrapText="1"/>
    </xf>
    <xf numFmtId="0" fontId="14" fillId="0" borderId="0" xfId="0" applyFont="1"/>
    <xf numFmtId="186" fontId="7" fillId="0" borderId="0" xfId="0" applyNumberFormat="1" applyFont="1" applyBorder="1"/>
    <xf numFmtId="0" fontId="7" fillId="0" borderId="0" xfId="0" applyFont="1" applyBorder="1"/>
    <xf numFmtId="168" fontId="15" fillId="0" borderId="0" xfId="0" applyNumberFormat="1" applyFont="1" applyBorder="1" applyAlignment="1">
      <alignment vertical="center"/>
    </xf>
    <xf numFmtId="168" fontId="15" fillId="0" borderId="0" xfId="0" applyNumberFormat="1" applyFont="1" applyBorder="1" applyAlignment="1">
      <alignment horizontal="center" vertical="center"/>
    </xf>
    <xf numFmtId="186" fontId="15" fillId="0" borderId="0" xfId="0" applyNumberFormat="1" applyFont="1" applyBorder="1" applyAlignment="1">
      <alignment horizontal="center" vertical="center"/>
    </xf>
    <xf numFmtId="0" fontId="7" fillId="0" borderId="0" xfId="0" applyFont="1" applyBorder="1" applyAlignment="1">
      <alignment horizontal="center"/>
    </xf>
    <xf numFmtId="0" fontId="15" fillId="0" borderId="47" xfId="0" applyFont="1" applyBorder="1" applyAlignment="1">
      <alignment horizontal="center" vertical="center" wrapText="1"/>
    </xf>
    <xf numFmtId="0" fontId="15" fillId="0" borderId="47" xfId="0" applyFont="1" applyBorder="1" applyAlignment="1">
      <alignment horizontal="center" vertical="center"/>
    </xf>
    <xf numFmtId="168" fontId="15" fillId="0" borderId="47" xfId="0" applyNumberFormat="1" applyFont="1" applyBorder="1" applyAlignment="1">
      <alignment vertical="center"/>
    </xf>
    <xf numFmtId="0" fontId="55" fillId="0" borderId="26" xfId="0" applyFont="1" applyBorder="1" applyAlignment="1">
      <alignment horizontal="left" vertical="center" wrapText="1"/>
    </xf>
    <xf numFmtId="0" fontId="55" fillId="0" borderId="27" xfId="0" applyFont="1" applyBorder="1" applyAlignment="1">
      <alignment horizontal="left" vertical="center" wrapText="1"/>
    </xf>
    <xf numFmtId="0" fontId="55" fillId="0" borderId="28" xfId="0" applyFont="1" applyBorder="1" applyAlignment="1">
      <alignment horizontal="left"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55" fillId="0" borderId="26" xfId="40" applyFont="1" applyBorder="1" applyAlignment="1">
      <alignment horizontal="left" vertical="center" wrapText="1"/>
    </xf>
    <xf numFmtId="0" fontId="55" fillId="0" borderId="27" xfId="40" applyFont="1" applyBorder="1" applyAlignment="1">
      <alignment horizontal="left" vertical="center" wrapText="1"/>
    </xf>
    <xf numFmtId="0" fontId="55" fillId="0" borderId="28" xfId="40" applyFont="1" applyBorder="1" applyAlignment="1">
      <alignment horizontal="left" vertical="center" wrapText="1"/>
    </xf>
    <xf numFmtId="0" fontId="14" fillId="0" borderId="17" xfId="0" applyFont="1" applyBorder="1" applyAlignment="1">
      <alignment horizontal="center"/>
    </xf>
    <xf numFmtId="0" fontId="14" fillId="0" borderId="26" xfId="0" applyFont="1" applyBorder="1" applyAlignment="1">
      <alignment horizontal="center"/>
    </xf>
    <xf numFmtId="0" fontId="14" fillId="0" borderId="28" xfId="0" applyFont="1" applyBorder="1" applyAlignment="1">
      <alignment horizontal="center"/>
    </xf>
    <xf numFmtId="0" fontId="15" fillId="0" borderId="26" xfId="0" applyFont="1" applyBorder="1" applyAlignment="1">
      <alignment horizontal="left"/>
    </xf>
    <xf numFmtId="0" fontId="15" fillId="0" borderId="28" xfId="0" applyFont="1" applyBorder="1" applyAlignment="1">
      <alignment horizontal="left"/>
    </xf>
    <xf numFmtId="0" fontId="14" fillId="0" borderId="0" xfId="0" applyFont="1" applyAlignment="1">
      <alignment horizontal="left" wrapText="1"/>
    </xf>
    <xf numFmtId="0" fontId="95" fillId="0" borderId="17" xfId="0" applyFont="1" applyBorder="1" applyAlignment="1">
      <alignment horizontal="center"/>
    </xf>
    <xf numFmtId="186"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center"/>
    </xf>
    <xf numFmtId="0" fontId="41" fillId="0" borderId="0" xfId="0" applyFont="1" applyAlignment="1">
      <alignment horizontal="center" wrapText="1"/>
    </xf>
    <xf numFmtId="0" fontId="40" fillId="0" borderId="21" xfId="0" applyFont="1" applyBorder="1" applyAlignment="1">
      <alignment horizontal="right"/>
    </xf>
    <xf numFmtId="0" fontId="7" fillId="0" borderId="0" xfId="0" applyFont="1" applyBorder="1" applyAlignment="1">
      <alignment horizontal="center"/>
    </xf>
    <xf numFmtId="0" fontId="98" fillId="0" borderId="0" xfId="0" applyFont="1" applyAlignment="1">
      <alignment horizontal="center" vertical="top" wrapText="1"/>
    </xf>
    <xf numFmtId="0" fontId="11" fillId="0" borderId="0" xfId="0" applyFont="1" applyAlignment="1">
      <alignment horizontal="center" vertical="top" wrapText="1"/>
    </xf>
    <xf numFmtId="0" fontId="18" fillId="0" borderId="0" xfId="0" applyFont="1" applyAlignment="1">
      <alignment horizontal="center"/>
    </xf>
    <xf numFmtId="0" fontId="13" fillId="0" borderId="0" xfId="0" applyFont="1" applyAlignment="1">
      <alignment horizontal="center"/>
    </xf>
    <xf numFmtId="0" fontId="17" fillId="0" borderId="0" xfId="0" applyFont="1" applyAlignment="1">
      <alignment horizontal="center"/>
    </xf>
    <xf numFmtId="0" fontId="2" fillId="0" borderId="0" xfId="43" applyFont="1" applyAlignment="1" applyProtection="1">
      <alignment horizontal="center"/>
      <protection locked="0"/>
    </xf>
    <xf numFmtId="0" fontId="15" fillId="0" borderId="0" xfId="43" applyFont="1" applyAlignment="1" applyProtection="1">
      <alignment horizontal="center" wrapText="1"/>
      <protection locked="0"/>
    </xf>
    <xf numFmtId="0" fontId="15" fillId="0" borderId="0" xfId="43" applyFont="1" applyAlignment="1" applyProtection="1">
      <alignment horizontal="center"/>
      <protection locked="0"/>
    </xf>
    <xf numFmtId="0" fontId="71" fillId="0" borderId="17" xfId="0" applyFont="1" applyBorder="1" applyAlignment="1">
      <alignment horizontal="center" vertical="top"/>
    </xf>
    <xf numFmtId="0" fontId="71" fillId="0" borderId="17" xfId="0" applyFont="1" applyBorder="1" applyAlignment="1">
      <alignment horizontal="center" vertical="top" wrapText="1"/>
    </xf>
    <xf numFmtId="168" fontId="71" fillId="0" borderId="17" xfId="0" applyNumberFormat="1" applyFont="1" applyBorder="1" applyAlignment="1">
      <alignment horizontal="center" vertical="top"/>
    </xf>
    <xf numFmtId="0" fontId="12" fillId="0" borderId="17" xfId="0" applyFont="1" applyBorder="1" applyAlignment="1">
      <alignment horizontal="right"/>
    </xf>
    <xf numFmtId="0" fontId="12" fillId="0" borderId="17" xfId="0" applyFont="1" applyBorder="1" applyAlignment="1">
      <alignment horizontal="center"/>
    </xf>
    <xf numFmtId="169" fontId="12" fillId="0" borderId="17" xfId="0" applyNumberFormat="1" applyFont="1" applyBorder="1" applyAlignment="1">
      <alignment horizontal="right"/>
    </xf>
    <xf numFmtId="166" fontId="12" fillId="0" borderId="17" xfId="0" applyNumberFormat="1" applyFont="1" applyBorder="1" applyAlignment="1">
      <alignment horizontal="right"/>
    </xf>
    <xf numFmtId="0" fontId="15" fillId="0" borderId="0" xfId="0" applyFont="1" applyAlignment="1">
      <alignment horizontal="center"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2" fillId="0" borderId="17" xfId="0" applyFont="1" applyBorder="1" applyAlignment="1">
      <alignment vertical="top"/>
    </xf>
    <xf numFmtId="0" fontId="63" fillId="0" borderId="17" xfId="0" applyFont="1" applyBorder="1" applyAlignment="1">
      <alignment vertical="top"/>
    </xf>
    <xf numFmtId="0" fontId="62" fillId="0" borderId="17" xfId="0" applyFont="1" applyBorder="1" applyAlignment="1">
      <alignment horizontal="center" vertical="top"/>
    </xf>
    <xf numFmtId="0" fontId="62" fillId="0" borderId="17" xfId="0" applyFont="1" applyBorder="1" applyAlignment="1">
      <alignment vertical="top"/>
    </xf>
    <xf numFmtId="169" fontId="62" fillId="0" borderId="17" xfId="0" applyNumberFormat="1" applyFont="1" applyBorder="1" applyAlignment="1">
      <alignment vertical="top"/>
    </xf>
    <xf numFmtId="169" fontId="23" fillId="0" borderId="17" xfId="0" applyNumberFormat="1" applyFont="1" applyBorder="1" applyAlignment="1">
      <alignment vertical="top"/>
    </xf>
    <xf numFmtId="166" fontId="62" fillId="0" borderId="17" xfId="0" applyNumberFormat="1" applyFont="1" applyBorder="1" applyAlignment="1">
      <alignment vertical="top"/>
    </xf>
    <xf numFmtId="0" fontId="68" fillId="0" borderId="17" xfId="0" applyFont="1" applyBorder="1" applyAlignment="1">
      <alignment vertical="top"/>
    </xf>
    <xf numFmtId="0" fontId="15" fillId="0" borderId="0" xfId="0" applyFont="1" applyAlignment="1">
      <alignment horizontal="center" wrapText="1"/>
    </xf>
    <xf numFmtId="0" fontId="15" fillId="0" borderId="0" xfId="0" applyFont="1" applyAlignment="1">
      <alignment horizontal="center"/>
    </xf>
    <xf numFmtId="0" fontId="58" fillId="0" borderId="0" xfId="0" applyFont="1" applyAlignment="1">
      <alignment horizontal="center"/>
    </xf>
    <xf numFmtId="0" fontId="45" fillId="0" borderId="0" xfId="0" applyFont="1" applyAlignment="1">
      <alignment horizontal="center" vertical="justify"/>
    </xf>
    <xf numFmtId="0" fontId="45" fillId="0" borderId="0" xfId="0" applyFont="1" applyAlignment="1">
      <alignment horizontal="center"/>
    </xf>
    <xf numFmtId="49" fontId="45" fillId="0" borderId="0" xfId="0" applyNumberFormat="1" applyFont="1" applyAlignment="1">
      <alignment horizontal="center"/>
    </xf>
    <xf numFmtId="0" fontId="40" fillId="0" borderId="0" xfId="0" applyFont="1" applyAlignment="1">
      <alignment horizontal="center"/>
    </xf>
    <xf numFmtId="0" fontId="39" fillId="0" borderId="0" xfId="0" applyFont="1" applyAlignment="1">
      <alignment horizontal="right"/>
    </xf>
    <xf numFmtId="0" fontId="15" fillId="4" borderId="17" xfId="0" applyFont="1" applyFill="1" applyBorder="1" applyAlignment="1">
      <alignment horizontal="center" vertical="center"/>
    </xf>
    <xf numFmtId="0" fontId="2" fillId="4" borderId="0" xfId="0" applyFont="1" applyFill="1" applyAlignment="1">
      <alignment horizontal="center"/>
    </xf>
    <xf numFmtId="0" fontId="15" fillId="4" borderId="0" xfId="0" applyFont="1" applyFill="1" applyAlignment="1">
      <alignment horizontal="center" wrapText="1"/>
    </xf>
    <xf numFmtId="0" fontId="15" fillId="4" borderId="0" xfId="0" applyFont="1" applyFill="1" applyAlignment="1">
      <alignment horizontal="center"/>
    </xf>
    <xf numFmtId="0" fontId="15" fillId="3" borderId="0" xfId="0" applyFont="1" applyFill="1" applyAlignment="1">
      <alignment horizontal="center"/>
    </xf>
    <xf numFmtId="0" fontId="15" fillId="3" borderId="17" xfId="0" applyFont="1" applyFill="1" applyBorder="1" applyAlignment="1">
      <alignment horizontal="center" vertical="center" wrapText="1"/>
    </xf>
    <xf numFmtId="0" fontId="16" fillId="0" borderId="0" xfId="0" applyFont="1" applyAlignment="1">
      <alignment horizontal="center"/>
    </xf>
    <xf numFmtId="49" fontId="15" fillId="3" borderId="17" xfId="0" applyNumberFormat="1" applyFont="1" applyFill="1" applyBorder="1" applyAlignment="1">
      <alignment horizontal="center" vertical="center" wrapText="1"/>
    </xf>
    <xf numFmtId="0" fontId="41" fillId="0" borderId="24" xfId="0" applyFont="1" applyBorder="1" applyAlignment="1">
      <alignment horizontal="center" vertical="center" wrapText="1"/>
    </xf>
    <xf numFmtId="0" fontId="41" fillId="0" borderId="25" xfId="0" applyFont="1" applyBorder="1" applyAlignment="1">
      <alignment horizontal="center" vertical="center" wrapText="1"/>
    </xf>
    <xf numFmtId="3" fontId="41" fillId="0" borderId="17" xfId="0" applyNumberFormat="1" applyFont="1" applyBorder="1" applyAlignment="1">
      <alignment horizontal="center" vertical="center" wrapText="1"/>
    </xf>
    <xf numFmtId="3" fontId="41" fillId="0" borderId="17" xfId="0" applyNumberFormat="1" applyFont="1" applyBorder="1" applyAlignment="1">
      <alignment horizontal="center" vertical="center"/>
    </xf>
    <xf numFmtId="3" fontId="41" fillId="0" borderId="24" xfId="0" applyNumberFormat="1" applyFont="1" applyBorder="1" applyAlignment="1">
      <alignment horizontal="center" vertical="center" wrapText="1"/>
    </xf>
    <xf numFmtId="3" fontId="41" fillId="0" borderId="25" xfId="0" applyNumberFormat="1" applyFont="1" applyBorder="1" applyAlignment="1">
      <alignment horizontal="center" vertical="center" wrapText="1"/>
    </xf>
    <xf numFmtId="0" fontId="41" fillId="0" borderId="17" xfId="0" applyFont="1" applyBorder="1" applyAlignment="1">
      <alignment horizontal="center" vertical="center" wrapText="1"/>
    </xf>
    <xf numFmtId="0" fontId="41" fillId="0" borderId="17" xfId="0" applyFont="1" applyBorder="1" applyAlignment="1">
      <alignment horizontal="center" vertical="center"/>
    </xf>
    <xf numFmtId="0" fontId="2" fillId="0" borderId="0" xfId="0" applyFont="1" applyAlignment="1">
      <alignment horizontal="center" wrapText="1"/>
    </xf>
    <xf numFmtId="0" fontId="2" fillId="0" borderId="21" xfId="0" applyFont="1" applyBorder="1" applyAlignment="1">
      <alignment horizontal="center"/>
    </xf>
    <xf numFmtId="0" fontId="14" fillId="0" borderId="21" xfId="0" applyFont="1" applyBorder="1" applyAlignment="1">
      <alignment horizont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18" fillId="0" borderId="17" xfId="0" applyFont="1" applyBorder="1" applyAlignment="1">
      <alignment horizontal="center" vertical="center" wrapText="1"/>
    </xf>
    <xf numFmtId="49" fontId="18" fillId="0" borderId="17" xfId="0" applyNumberFormat="1" applyFont="1" applyBorder="1" applyAlignment="1">
      <alignment horizontal="center" vertical="center" wrapText="1"/>
    </xf>
    <xf numFmtId="0" fontId="15" fillId="11" borderId="24" xfId="0" applyFont="1" applyFill="1" applyBorder="1" applyAlignment="1">
      <alignment horizontal="center" vertical="center" wrapText="1"/>
    </xf>
    <xf numFmtId="0" fontId="15" fillId="11" borderId="25" xfId="0"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15" fillId="11" borderId="17" xfId="0" applyFont="1" applyFill="1" applyBorder="1" applyAlignment="1">
      <alignment horizontal="center" vertical="center"/>
    </xf>
    <xf numFmtId="0" fontId="41" fillId="0" borderId="0" xfId="0" applyFont="1" applyAlignment="1">
      <alignment horizontal="center"/>
    </xf>
    <xf numFmtId="0" fontId="15" fillId="0" borderId="21" xfId="0" applyFont="1" applyBorder="1" applyAlignment="1">
      <alignment horizontal="right" vertical="center"/>
    </xf>
    <xf numFmtId="3" fontId="56" fillId="0" borderId="21" xfId="0" applyNumberFormat="1" applyFont="1" applyBorder="1" applyAlignment="1">
      <alignment horizontal="left" vertical="center"/>
    </xf>
    <xf numFmtId="0" fontId="40" fillId="4" borderId="0" xfId="0" applyFont="1" applyFill="1" applyAlignment="1">
      <alignment horizontal="center"/>
    </xf>
    <xf numFmtId="0" fontId="39" fillId="4" borderId="0" xfId="0" applyFont="1" applyFill="1" applyAlignment="1">
      <alignment horizontal="right"/>
    </xf>
    <xf numFmtId="0" fontId="15" fillId="4" borderId="2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5" xfId="0" applyFont="1" applyFill="1" applyBorder="1" applyAlignment="1">
      <alignment horizontal="center" vertical="center" wrapText="1"/>
    </xf>
    <xf numFmtId="49" fontId="15" fillId="4" borderId="24" xfId="0" applyNumberFormat="1" applyFont="1" applyFill="1" applyBorder="1" applyAlignment="1">
      <alignment horizontal="center" vertical="center" wrapText="1"/>
    </xf>
    <xf numFmtId="49" fontId="15" fillId="4" borderId="33" xfId="0" applyNumberFormat="1" applyFont="1" applyFill="1" applyBorder="1" applyAlignment="1">
      <alignment horizontal="center" vertical="center" wrapText="1"/>
    </xf>
    <xf numFmtId="49" fontId="15" fillId="4" borderId="25" xfId="0" applyNumberFormat="1" applyFont="1" applyFill="1" applyBorder="1" applyAlignment="1">
      <alignment horizontal="center" vertical="center" wrapText="1"/>
    </xf>
    <xf numFmtId="0" fontId="39" fillId="4" borderId="21" xfId="0" applyFont="1" applyFill="1" applyBorder="1" applyAlignment="1">
      <alignment horizontal="right"/>
    </xf>
    <xf numFmtId="0" fontId="2" fillId="3" borderId="0" xfId="0" applyFont="1" applyFill="1" applyAlignment="1">
      <alignment horizontal="center"/>
    </xf>
    <xf numFmtId="0" fontId="40" fillId="3" borderId="0" xfId="0" applyFont="1" applyFill="1" applyAlignment="1">
      <alignment horizontal="right"/>
    </xf>
    <xf numFmtId="0" fontId="38" fillId="0" borderId="0" xfId="0" applyFont="1" applyAlignment="1">
      <alignment horizontal="center"/>
    </xf>
    <xf numFmtId="0" fontId="2" fillId="3" borderId="0" xfId="0" applyFont="1" applyFill="1" applyAlignment="1">
      <alignment horizontal="center" vertical="top"/>
    </xf>
    <xf numFmtId="0" fontId="2" fillId="3" borderId="0" xfId="0" applyFont="1" applyFill="1" applyAlignment="1">
      <alignment horizontal="center" vertical="top" wrapText="1"/>
    </xf>
    <xf numFmtId="167" fontId="2" fillId="3" borderId="0" xfId="0" applyNumberFormat="1" applyFont="1" applyFill="1" applyAlignment="1">
      <alignment horizontal="center" vertical="top"/>
    </xf>
    <xf numFmtId="166" fontId="2" fillId="3" borderId="0" xfId="0" applyNumberFormat="1" applyFont="1" applyFill="1" applyAlignment="1">
      <alignment horizontal="center" vertical="top"/>
    </xf>
    <xf numFmtId="0" fontId="15" fillId="3" borderId="0" xfId="0" applyFont="1" applyFill="1" applyAlignment="1">
      <alignment horizontal="center" vertical="top"/>
    </xf>
    <xf numFmtId="0" fontId="15" fillId="3" borderId="0" xfId="0" applyFont="1" applyFill="1" applyAlignment="1">
      <alignment horizontal="center" vertical="top" wrapText="1"/>
    </xf>
    <xf numFmtId="167" fontId="15" fillId="3" borderId="0" xfId="0" applyNumberFormat="1" applyFont="1" applyFill="1" applyAlignment="1">
      <alignment horizontal="center" vertical="top"/>
    </xf>
    <xf numFmtId="166" fontId="15" fillId="3" borderId="0" xfId="0" applyNumberFormat="1" applyFont="1" applyFill="1" applyAlignment="1">
      <alignment horizontal="center" vertical="top"/>
    </xf>
    <xf numFmtId="0" fontId="2" fillId="0" borderId="0" xfId="0" applyFont="1" applyAlignment="1" applyProtection="1">
      <alignment horizontal="center" vertical="top"/>
      <protection locked="0"/>
    </xf>
    <xf numFmtId="0" fontId="8" fillId="0" borderId="0" xfId="0" applyFont="1" applyAlignment="1" applyProtection="1">
      <alignment vertical="top"/>
      <protection locked="0"/>
    </xf>
    <xf numFmtId="0" fontId="15" fillId="0" borderId="0" xfId="0" applyFont="1" applyAlignment="1" applyProtection="1">
      <alignment horizontal="center" vertical="top" wrapText="1"/>
      <protection locked="0"/>
    </xf>
    <xf numFmtId="0" fontId="14" fillId="0" borderId="0" xfId="0" applyFont="1" applyAlignment="1" applyProtection="1">
      <alignment vertical="top"/>
      <protection locked="0"/>
    </xf>
    <xf numFmtId="0" fontId="41" fillId="0" borderId="1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25" xfId="0" applyFont="1" applyBorder="1" applyAlignment="1" applyProtection="1">
      <alignment horizontal="center" vertical="center"/>
      <protection locked="0"/>
    </xf>
    <xf numFmtId="49" fontId="16" fillId="0" borderId="0" xfId="42" applyNumberFormat="1" applyFont="1" applyAlignment="1">
      <alignment horizontal="center" vertical="center"/>
    </xf>
    <xf numFmtId="0" fontId="38" fillId="0" borderId="0" xfId="42" applyFont="1" applyAlignment="1">
      <alignment horizontal="center" vertical="center"/>
    </xf>
    <xf numFmtId="0" fontId="38" fillId="0" borderId="0" xfId="42" applyFont="1" applyAlignment="1">
      <alignment horizontal="center" vertical="center" wrapText="1"/>
    </xf>
    <xf numFmtId="0" fontId="15" fillId="3" borderId="17" xfId="0" applyFont="1" applyFill="1" applyBorder="1" applyAlignment="1">
      <alignment horizontal="center" wrapText="1"/>
    </xf>
    <xf numFmtId="0" fontId="2" fillId="4" borderId="0" xfId="0" applyFont="1" applyFill="1" applyAlignment="1">
      <alignment horizontal="center" vertical="top"/>
    </xf>
    <xf numFmtId="0" fontId="15" fillId="4" borderId="0" xfId="0" applyFont="1" applyFill="1" applyAlignment="1">
      <alignment horizontal="center" vertical="top" wrapText="1"/>
    </xf>
    <xf numFmtId="0" fontId="15" fillId="4" borderId="0" xfId="0" applyFont="1" applyFill="1" applyAlignment="1">
      <alignment horizontal="center" vertical="top"/>
    </xf>
    <xf numFmtId="0" fontId="15" fillId="4" borderId="21" xfId="0" applyFont="1" applyFill="1" applyBorder="1" applyAlignment="1">
      <alignment horizontal="center" vertical="top"/>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5" xfId="0" applyFont="1" applyFill="1" applyBorder="1" applyAlignment="1">
      <alignment horizontal="center" vertical="center"/>
    </xf>
    <xf numFmtId="49" fontId="15" fillId="4" borderId="24" xfId="0" applyNumberFormat="1" applyFont="1" applyFill="1" applyBorder="1" applyAlignment="1">
      <alignment horizontal="center" vertical="center"/>
    </xf>
    <xf numFmtId="49" fontId="15" fillId="4" borderId="25" xfId="0" applyNumberFormat="1" applyFont="1" applyFill="1" applyBorder="1" applyAlignment="1">
      <alignment horizontal="center" vertical="center"/>
    </xf>
    <xf numFmtId="0" fontId="40" fillId="3" borderId="17" xfId="0" applyFont="1" applyFill="1" applyBorder="1" applyAlignment="1">
      <alignment horizontal="center"/>
    </xf>
    <xf numFmtId="0" fontId="14" fillId="3" borderId="19" xfId="0" applyFont="1" applyFill="1" applyBorder="1"/>
    <xf numFmtId="168" fontId="14" fillId="3" borderId="19" xfId="0" applyNumberFormat="1" applyFont="1" applyFill="1" applyBorder="1"/>
    <xf numFmtId="0" fontId="19" fillId="3" borderId="17" xfId="0" applyFont="1" applyFill="1" applyBorder="1"/>
    <xf numFmtId="168" fontId="19" fillId="3" borderId="17" xfId="0" applyNumberFormat="1" applyFont="1" applyFill="1" applyBorder="1"/>
    <xf numFmtId="0" fontId="41" fillId="4" borderId="0" xfId="0" applyFont="1" applyFill="1" applyAlignment="1">
      <alignment horizontal="center"/>
    </xf>
    <xf numFmtId="0" fontId="42" fillId="4" borderId="0" xfId="0" applyFont="1" applyFill="1" applyAlignment="1">
      <alignment horizontal="center"/>
    </xf>
    <xf numFmtId="0" fontId="7" fillId="4" borderId="0" xfId="0" quotePrefix="1" applyFont="1" applyFill="1" applyAlignment="1">
      <alignment horizontal="center"/>
    </xf>
    <xf numFmtId="0" fontId="7" fillId="4" borderId="0" xfId="0" applyFont="1" applyFill="1" applyAlignment="1">
      <alignment horizontal="center"/>
    </xf>
    <xf numFmtId="0" fontId="14" fillId="4" borderId="0" xfId="0" quotePrefix="1" applyFont="1" applyFill="1" applyAlignment="1">
      <alignment horizontal="center"/>
    </xf>
    <xf numFmtId="0" fontId="14" fillId="4" borderId="0" xfId="0" applyFont="1" applyFill="1" applyAlignment="1">
      <alignment horizontal="center"/>
    </xf>
    <xf numFmtId="0" fontId="17" fillId="0" borderId="17" xfId="0" applyFont="1" applyBorder="1" applyAlignment="1">
      <alignment horizontal="center" vertical="center"/>
    </xf>
    <xf numFmtId="0" fontId="12" fillId="0" borderId="17" xfId="0" applyFont="1" applyBorder="1" applyAlignment="1">
      <alignment horizontal="right" vertical="center"/>
    </xf>
    <xf numFmtId="0" fontId="12" fillId="0" borderId="17" xfId="0" applyFont="1" applyBorder="1" applyAlignment="1">
      <alignment horizontal="center" vertical="center"/>
    </xf>
    <xf numFmtId="167" fontId="12" fillId="0" borderId="17" xfId="0" applyNumberFormat="1" applyFont="1" applyBorder="1" applyAlignment="1">
      <alignment horizontal="right" vertical="center"/>
    </xf>
    <xf numFmtId="168" fontId="12" fillId="0" borderId="17" xfId="0" applyNumberFormat="1" applyFont="1" applyBorder="1" applyAlignment="1">
      <alignment horizontal="right" vertical="center"/>
    </xf>
    <xf numFmtId="0" fontId="38" fillId="0" borderId="0" xfId="0" applyFont="1" applyAlignment="1">
      <alignment horizontal="center" wrapText="1"/>
    </xf>
    <xf numFmtId="0" fontId="13" fillId="0" borderId="0" xfId="0" applyFont="1" applyAlignment="1">
      <alignment horizontal="right"/>
    </xf>
    <xf numFmtId="0" fontId="32" fillId="0" borderId="0" xfId="0" applyFont="1" applyAlignment="1">
      <alignment horizontal="left" vertical="top" wrapText="1"/>
    </xf>
    <xf numFmtId="0" fontId="32" fillId="0" borderId="0" xfId="0" applyFont="1" applyAlignment="1">
      <alignment horizontal="center" vertical="top" wrapText="1"/>
    </xf>
    <xf numFmtId="0" fontId="34" fillId="0" borderId="0" xfId="0" applyFont="1" applyAlignment="1">
      <alignment horizontal="center" vertical="top" wrapText="1"/>
    </xf>
    <xf numFmtId="0" fontId="33" fillId="0" borderId="0" xfId="0" applyFont="1" applyAlignment="1">
      <alignment horizontal="center" vertical="center" wrapText="1"/>
    </xf>
    <xf numFmtId="0" fontId="36" fillId="0" borderId="0" xfId="3" applyFont="1" applyAlignment="1">
      <alignment horizontal="center" vertical="top" wrapText="1"/>
    </xf>
    <xf numFmtId="0" fontId="37" fillId="0" borderId="0" xfId="0" applyFont="1" applyAlignment="1">
      <alignment horizontal="center" vertical="top" wrapText="1"/>
    </xf>
    <xf numFmtId="0" fontId="33" fillId="0" borderId="0" xfId="0" applyFont="1" applyAlignment="1">
      <alignment horizontal="center" vertical="top" wrapText="1"/>
    </xf>
    <xf numFmtId="171" fontId="35" fillId="0" borderId="0" xfId="0" applyNumberFormat="1"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left" vertical="top" wrapText="1"/>
    </xf>
    <xf numFmtId="171" fontId="32" fillId="0" borderId="0" xfId="0" applyNumberFormat="1" applyFont="1" applyAlignment="1">
      <alignment horizontal="right" vertical="top" wrapText="1"/>
    </xf>
    <xf numFmtId="0" fontId="33" fillId="0" borderId="0" xfId="0" quotePrefix="1" applyFont="1" applyAlignment="1">
      <alignment horizontal="left" vertical="top" wrapText="1"/>
    </xf>
    <xf numFmtId="0" fontId="25" fillId="4" borderId="0" xfId="0" applyFont="1" applyFill="1" applyAlignment="1">
      <alignment horizontal="left"/>
    </xf>
    <xf numFmtId="0" fontId="14" fillId="4" borderId="0" xfId="0" applyFont="1" applyFill="1" applyAlignment="1">
      <alignment horizontal="left"/>
    </xf>
    <xf numFmtId="0" fontId="15" fillId="4" borderId="21" xfId="0" applyFont="1" applyFill="1" applyBorder="1" applyAlignment="1">
      <alignment horizontal="left"/>
    </xf>
    <xf numFmtId="0" fontId="15" fillId="4" borderId="0" xfId="0" applyFont="1" applyFill="1" applyAlignment="1">
      <alignment horizontal="left"/>
    </xf>
    <xf numFmtId="0" fontId="18" fillId="0" borderId="0" xfId="0" applyFont="1" applyAlignment="1">
      <alignment horizontal="center" wrapText="1"/>
    </xf>
    <xf numFmtId="49" fontId="18" fillId="0" borderId="0" xfId="0" applyNumberFormat="1" applyFont="1" applyAlignment="1">
      <alignment horizontal="center"/>
    </xf>
    <xf numFmtId="0" fontId="16" fillId="0" borderId="0" xfId="0" applyFont="1" applyAlignment="1">
      <alignment horizontal="center" vertical="top"/>
    </xf>
    <xf numFmtId="0" fontId="16" fillId="0" borderId="0" xfId="0" applyFont="1" applyAlignment="1">
      <alignment horizontal="center" vertical="top" wrapText="1"/>
    </xf>
    <xf numFmtId="167" fontId="16" fillId="0" borderId="0" xfId="0" applyNumberFormat="1" applyFont="1" applyAlignment="1">
      <alignment horizontal="center" vertical="top"/>
    </xf>
    <xf numFmtId="166" fontId="16" fillId="0" borderId="0" xfId="0" applyNumberFormat="1" applyFont="1" applyAlignment="1">
      <alignment horizontal="center" vertical="top"/>
    </xf>
    <xf numFmtId="0" fontId="18" fillId="0" borderId="0" xfId="0" applyFont="1" applyAlignment="1">
      <alignment horizontal="center" vertical="top" wrapText="1"/>
    </xf>
    <xf numFmtId="167" fontId="18" fillId="0" borderId="0" xfId="0" applyNumberFormat="1" applyFont="1" applyAlignment="1">
      <alignment horizontal="center" vertical="top" wrapText="1"/>
    </xf>
    <xf numFmtId="166" fontId="18" fillId="0" borderId="0" xfId="0" applyNumberFormat="1" applyFont="1" applyAlignment="1">
      <alignment horizontal="center" vertical="top" wrapText="1"/>
    </xf>
    <xf numFmtId="0" fontId="18" fillId="0" borderId="0" xfId="0" applyFont="1" applyAlignment="1">
      <alignment horizontal="center" vertical="top"/>
    </xf>
    <xf numFmtId="167" fontId="18" fillId="0" borderId="0" xfId="0" applyNumberFormat="1" applyFont="1" applyAlignment="1">
      <alignment horizontal="center" vertical="top"/>
    </xf>
    <xf numFmtId="166" fontId="18" fillId="0" borderId="0" xfId="0" applyNumberFormat="1" applyFont="1" applyAlignment="1">
      <alignment horizontal="center" vertical="top"/>
    </xf>
    <xf numFmtId="166" fontId="18" fillId="0" borderId="17" xfId="0" applyNumberFormat="1" applyFont="1" applyBorder="1" applyAlignment="1">
      <alignment horizontal="center" vertical="center"/>
    </xf>
    <xf numFmtId="0" fontId="18" fillId="0" borderId="17" xfId="0" applyFont="1" applyBorder="1" applyAlignment="1">
      <alignment horizontal="center" vertical="center"/>
    </xf>
    <xf numFmtId="167" fontId="18" fillId="0" borderId="17" xfId="0" applyNumberFormat="1"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49" fontId="11" fillId="0" borderId="0" xfId="0" applyNumberFormat="1" applyFont="1" applyAlignment="1">
      <alignment horizontal="center"/>
    </xf>
    <xf numFmtId="0" fontId="14" fillId="0" borderId="0" xfId="0" applyFont="1"/>
    <xf numFmtId="0" fontId="11" fillId="0" borderId="0" xfId="0" applyFont="1" applyAlignment="1">
      <alignment horizontal="center"/>
    </xf>
    <xf numFmtId="0" fontId="5" fillId="0" borderId="0" xfId="0" applyFont="1" applyAlignment="1">
      <alignment horizontal="center"/>
    </xf>
    <xf numFmtId="49" fontId="6" fillId="0" borderId="17" xfId="0" applyNumberFormat="1" applyFont="1" applyBorder="1" applyAlignment="1">
      <alignment horizontal="center" vertical="center" wrapText="1"/>
    </xf>
    <xf numFmtId="0" fontId="14" fillId="0" borderId="17" xfId="0" applyFont="1" applyBorder="1"/>
    <xf numFmtId="49" fontId="2" fillId="0" borderId="0" xfId="0" applyNumberFormat="1" applyFont="1" applyAlignment="1">
      <alignment horizontal="center"/>
    </xf>
    <xf numFmtId="49" fontId="7" fillId="0" borderId="0" xfId="0" applyNumberFormat="1" applyFont="1" applyAlignment="1">
      <alignment horizontal="center" wrapText="1"/>
    </xf>
    <xf numFmtId="49" fontId="6" fillId="0" borderId="17" xfId="0" applyNumberFormat="1" applyFont="1" applyBorder="1" applyAlignment="1">
      <alignment horizontal="left" vertical="center" wrapText="1"/>
    </xf>
    <xf numFmtId="0" fontId="15" fillId="0" borderId="17" xfId="0" applyFont="1" applyBorder="1" applyAlignment="1">
      <alignment horizontal="center"/>
    </xf>
    <xf numFmtId="0" fontId="3" fillId="0" borderId="0" xfId="0" applyFont="1"/>
    <xf numFmtId="49" fontId="6" fillId="0" borderId="1" xfId="0" applyNumberFormat="1" applyFont="1" applyBorder="1" applyAlignment="1">
      <alignment horizontal="center" vertical="center" wrapText="1"/>
    </xf>
    <xf numFmtId="0" fontId="3" fillId="0" borderId="5" xfId="0" applyFont="1" applyBorder="1"/>
    <xf numFmtId="0" fontId="3" fillId="0" borderId="7" xfId="0" applyFont="1" applyBorder="1"/>
    <xf numFmtId="49" fontId="6" fillId="0" borderId="1"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0" fontId="3" fillId="0" borderId="4" xfId="0" applyFont="1" applyBorder="1"/>
    <xf numFmtId="0" fontId="3" fillId="0" borderId="3" xfId="0" applyFont="1" applyBorder="1"/>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49" fontId="9" fillId="0" borderId="0" xfId="0" applyNumberFormat="1" applyFont="1" applyAlignment="1">
      <alignment horizontal="center"/>
    </xf>
    <xf numFmtId="49" fontId="5" fillId="0" borderId="0" xfId="0" applyNumberFormat="1" applyFont="1" applyAlignment="1">
      <alignment horizontal="center"/>
    </xf>
    <xf numFmtId="49" fontId="6" fillId="0" borderId="11" xfId="0" applyNumberFormat="1"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49" fontId="2" fillId="0" borderId="0" xfId="0" applyNumberFormat="1" applyFont="1" applyAlignment="1">
      <alignment horizontal="center" vertical="center"/>
    </xf>
    <xf numFmtId="49" fontId="4" fillId="0" borderId="0" xfId="0" applyNumberFormat="1" applyFont="1" applyAlignment="1">
      <alignment horizont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0" xfId="0" applyNumberFormat="1" applyFont="1" applyAlignment="1">
      <alignment horizontal="center"/>
    </xf>
  </cellXfs>
  <cellStyles count="51">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xfId="1" builtinId="3"/>
    <cellStyle name="Explanatory Text 2" xfId="31" xr:uid="{00000000-0005-0000-0000-00001C000000}"/>
    <cellStyle name="Good 2" xfId="32" xr:uid="{00000000-0005-0000-0000-00001D000000}"/>
    <cellStyle name="Heading 1 2" xfId="33" xr:uid="{00000000-0005-0000-0000-00001E000000}"/>
    <cellStyle name="Heading 2 2" xfId="34" xr:uid="{00000000-0005-0000-0000-00001F000000}"/>
    <cellStyle name="Heading 3 2" xfId="35" xr:uid="{00000000-0005-0000-0000-000020000000}"/>
    <cellStyle name="Heading 4 2" xfId="36" xr:uid="{00000000-0005-0000-0000-000021000000}"/>
    <cellStyle name="Hyperlink" xfId="3" builtinId="8"/>
    <cellStyle name="Input 2" xfId="37" xr:uid="{00000000-0005-0000-0000-000023000000}"/>
    <cellStyle name="Linked Cell 2" xfId="38" xr:uid="{00000000-0005-0000-0000-000024000000}"/>
    <cellStyle name="Neutral 2" xfId="39" xr:uid="{00000000-0005-0000-0000-000025000000}"/>
    <cellStyle name="Normal" xfId="0" builtinId="0"/>
    <cellStyle name="Normal 2" xfId="40" xr:uid="{00000000-0005-0000-0000-000027000000}"/>
    <cellStyle name="Normal 2 2" xfId="41" xr:uid="{00000000-0005-0000-0000-000028000000}"/>
    <cellStyle name="Normal 2 2 2" xfId="50" xr:uid="{00000000-0005-0000-0000-000029000000}"/>
    <cellStyle name="Normal_Sheet1" xfId="42" xr:uid="{00000000-0005-0000-0000-00002A000000}"/>
    <cellStyle name="Normal_THKPHM" xfId="43" xr:uid="{00000000-0005-0000-0000-00002B000000}"/>
    <cellStyle name="Normal_TMDT" xfId="44" xr:uid="{00000000-0005-0000-0000-00002C000000}"/>
    <cellStyle name="Note 2" xfId="45" xr:uid="{00000000-0005-0000-0000-00002D000000}"/>
    <cellStyle name="Output 2" xfId="46" xr:uid="{00000000-0005-0000-0000-00002E000000}"/>
    <cellStyle name="Percent" xfId="2" builtinId="5"/>
    <cellStyle name="Title 2" xfId="47" xr:uid="{00000000-0005-0000-0000-000030000000}"/>
    <cellStyle name="Total 2" xfId="48" xr:uid="{00000000-0005-0000-0000-000031000000}"/>
    <cellStyle name="Warning Text 2" xfId="49" xr:uid="{00000000-0005-0000-0000-000032000000}"/>
  </cellStyles>
  <dxfs count="17">
    <dxf>
      <font>
        <color rgb="FFFFFFFF"/>
      </font>
    </dxf>
    <dxf>
      <font>
        <color rgb="FFFFFFFF"/>
      </font>
    </dxf>
    <dxf>
      <font>
        <color indexed="9"/>
      </font>
    </dxf>
    <dxf>
      <font>
        <color rgb="FFFFFFFF"/>
      </font>
    </dxf>
    <dxf>
      <fill>
        <patternFill patternType="solid">
          <bgColor indexed="29"/>
        </patternFill>
      </fill>
    </dxf>
    <dxf>
      <font>
        <color rgb="FFFFFFFF"/>
      </font>
    </dxf>
    <dxf>
      <fill>
        <patternFill patternType="solid">
          <bgColor indexed="29"/>
        </patternFill>
      </fill>
    </dxf>
    <dxf>
      <fill>
        <patternFill patternType="solid">
          <bgColor indexed="29"/>
        </patternFill>
      </fill>
    </dxf>
    <dxf>
      <fill>
        <patternFill patternType="solid">
          <bgColor indexed="29"/>
        </patternFill>
      </fill>
    </dxf>
    <dxf>
      <fill>
        <patternFill patternType="solid">
          <bgColor indexed="29"/>
        </patternFill>
      </fill>
    </dxf>
    <dxf>
      <font>
        <color rgb="FFFFFFFF"/>
      </font>
    </dxf>
    <dxf>
      <fill>
        <patternFill patternType="solid">
          <bgColor indexed="29"/>
        </patternFill>
      </fill>
    </dxf>
    <dxf>
      <fill>
        <patternFill patternType="solid">
          <bgColor indexed="29"/>
        </patternFill>
      </fill>
    </dxf>
    <dxf>
      <fill>
        <patternFill patternType="solid">
          <bgColor indexed="29"/>
        </patternFill>
      </fill>
    </dxf>
    <dxf>
      <font>
        <color rgb="FFFFFFFF"/>
      </font>
    </dxf>
    <dxf>
      <font>
        <color rgb="FFFFFFFF"/>
      </font>
    </dxf>
    <dxf>
      <font>
        <color indexed="9"/>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3528060</xdr:colOff>
      <xdr:row>4</xdr:row>
      <xdr:rowOff>91440</xdr:rowOff>
    </xdr:from>
    <xdr:to>
      <xdr:col>3</xdr:col>
      <xdr:colOff>1112520</xdr:colOff>
      <xdr:row>4</xdr:row>
      <xdr:rowOff>99060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flipV="1">
          <a:off x="3870960" y="746760"/>
          <a:ext cx="186690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OB\LS%202023\HUU%20LUNG\SC%20DH93\LAN%202\1.%20Du%20toan%20DH9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d.docs.live.net\b3f6b57d19646761\LamSachDonGia\Data\Projects\&#272;&#7883;nh%20M&#7913;c\2021\Nhan%20cong\MauTHKP\QD79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H-Server\D\Lang%20Son%202025\May%204%20chuyen%20sang\2025\X&#227;%20Thi&#234;n%20T&#226;n\du%20toan\1.TMDT%20tuy&#7871;n%20nha%20v&#259;n%20h&#243;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ên lượng"/>
      <sheetName val="Giá VL"/>
      <sheetName val="THVL"/>
      <sheetName val="Cước ô tô"/>
      <sheetName val="Cước ô tô mới"/>
      <sheetName val="Cước sông"/>
      <sheetName val="Cước TC"/>
      <sheetName val="Giá NC"/>
      <sheetName val="THNC"/>
      <sheetName val="Tính giá NC"/>
      <sheetName val="Giá Máy"/>
      <sheetName val="THM"/>
      <sheetName val="Bù giá CM"/>
      <sheetName val="Tính giá CM"/>
      <sheetName val="THNL"/>
      <sheetName val="THTL"/>
      <sheetName val="THKPHM"/>
      <sheetName val="THKP_TT11_2021"/>
      <sheetName val="Chiết tính"/>
      <sheetName val="ĐGTH"/>
      <sheetName val="TMĐT"/>
      <sheetName val="GGTXD"/>
      <sheetName val="PTVT"/>
      <sheetName val="THDGDT"/>
      <sheetName val="THCPXD"/>
      <sheetName val="THCPTB"/>
      <sheetName val="HM chung"/>
      <sheetName val="Bìa ngoài"/>
      <sheetName val="Bìa trong"/>
      <sheetName val="Thuyết minh"/>
      <sheetName val="Thông tin"/>
      <sheetName val="Nội suy"/>
      <sheetName val="Tổng hợp VT"/>
      <sheetName val="Chiết tính rút gọn"/>
      <sheetName val="ĐGTH rút gọn"/>
      <sheetName val="Giá vữa"/>
      <sheetName val="Tra định mức"/>
      <sheetName val="QT_PL08b"/>
      <sheetName val="QT_PL03a"/>
      <sheetName val="QT_PL03b"/>
      <sheetName val="QT_PL04"/>
      <sheetName val="QT_PL05"/>
      <sheetName val="QT_PL06"/>
      <sheetName val="CauHin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
          <cell r="Q6">
            <v>20055</v>
          </cell>
          <cell r="R6">
            <v>18773</v>
          </cell>
        </row>
        <row r="7">
          <cell r="Q7">
            <v>19791</v>
          </cell>
          <cell r="R7">
            <v>20782</v>
          </cell>
        </row>
        <row r="8">
          <cell r="Q8">
            <v>1864.44</v>
          </cell>
          <cell r="R8">
            <v>1864.44</v>
          </cell>
        </row>
      </sheetData>
      <sheetData sheetId="13" refreshError="1"/>
      <sheetData sheetId="14" refreshError="1"/>
      <sheetData sheetId="15" refreshError="1"/>
      <sheetData sheetId="16">
        <row r="18">
          <cell r="F18">
            <v>8420939016.8460875</v>
          </cell>
        </row>
      </sheetData>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MINH"/>
      <sheetName val="2. TMĐT"/>
      <sheetName val="Chi phi MT"/>
      <sheetName val="3. THKPHM"/>
      <sheetName val="4. Tiên lượng"/>
      <sheetName val="5. Chiết tính"/>
      <sheetName val="6. Giá VL"/>
      <sheetName val="THVL"/>
      <sheetName val="Cước ô tô"/>
      <sheetName val="7. Cước ô tô mới"/>
      <sheetName val="Cước sông"/>
      <sheetName val="Cước TC"/>
      <sheetName val="8. Giá NC"/>
      <sheetName val="THNC"/>
      <sheetName val="Tính giá NC"/>
      <sheetName val="9. Giá Máy"/>
      <sheetName val="THM"/>
      <sheetName val="10. Bù giá CM"/>
      <sheetName val="Tính giá CM"/>
      <sheetName val="THNL"/>
      <sheetName val="THTL"/>
      <sheetName val="THKP_TT11_2021"/>
      <sheetName val="ĐGTH"/>
      <sheetName val="Tổng hợp VT"/>
      <sheetName val="GGTXD"/>
      <sheetName val="PTVT"/>
      <sheetName val="THDGDT"/>
      <sheetName val="THCPXD"/>
      <sheetName val="THCPTB"/>
      <sheetName val="HM chung"/>
      <sheetName val="Bìa ngoài"/>
      <sheetName val="Bìa trong"/>
      <sheetName val="Thuyết minh"/>
      <sheetName val="Thông tin"/>
      <sheetName val="Nội suy"/>
      <sheetName val="Chiết tính rút gọn"/>
      <sheetName val="ĐGTH rút gọn"/>
      <sheetName val="Giá vữa"/>
      <sheetName val="Tra định mức"/>
      <sheetName val="QT_PL08b"/>
      <sheetName val="QT_PL03a"/>
      <sheetName val="QT_PL03b"/>
      <sheetName val="QT_PL04"/>
      <sheetName val="QT_PL05"/>
      <sheetName val="QT_PL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0">
          <cell r="E60">
            <v>2.1999999999999999E-2</v>
          </cell>
        </row>
        <row r="61">
          <cell r="E61">
            <v>0.1</v>
          </cell>
        </row>
        <row r="63">
          <cell r="E63">
            <v>0.06</v>
          </cell>
        </row>
        <row r="65">
          <cell r="E65">
            <v>0.02</v>
          </cell>
        </row>
        <row r="67">
          <cell r="E67">
            <v>6.2E-2</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KP79"/>
      <sheetName val="Trượt giá"/>
      <sheetName val="Tra Cứu"/>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SGV"/>
      <sheetName val="SGV_2"/>
      <sheetName val="SGV_3"/>
      <sheetName val="1. TMINH"/>
      <sheetName val="2. TMĐT"/>
      <sheetName val="3. THKPHM"/>
      <sheetName val="4.THKPHM"/>
      <sheetName val="5.Tiên lượng"/>
      <sheetName val="6.Chiết tính"/>
      <sheetName val="Giá VL"/>
      <sheetName val="THVL"/>
      <sheetName val="Cước ô tô"/>
      <sheetName val="Cước ô tô mới"/>
      <sheetName val="Cước sông"/>
      <sheetName val="Cước TC"/>
      <sheetName val="Giá NC"/>
      <sheetName val="THNC"/>
      <sheetName val="Tính giá NC"/>
      <sheetName val="Giá Máy"/>
      <sheetName val="THM"/>
      <sheetName val="Bù giá CM"/>
      <sheetName val="7.Tính giá CM"/>
      <sheetName val="THNL"/>
      <sheetName val="THTL"/>
      <sheetName val="8.ĐGTH"/>
      <sheetName val="Tổng hợp VT"/>
      <sheetName val="GGTXD"/>
      <sheetName val="PTVT"/>
      <sheetName val="THDGDT"/>
      <sheetName val="THCPXD"/>
      <sheetName val="THCPTB"/>
      <sheetName val="HM chung"/>
      <sheetName val="Bìa ngoài"/>
      <sheetName val="Bìa trong"/>
      <sheetName val="Thuyết minh"/>
      <sheetName val="Thông tin"/>
      <sheetName val="Nội suy"/>
      <sheetName val="Chiết tính rút gọn"/>
      <sheetName val="ĐGTH rút gọn"/>
      <sheetName val="Giá vữa"/>
      <sheetName val="Sheet1"/>
      <sheetName val="QT_PL08b"/>
      <sheetName val="QT_PL03a"/>
      <sheetName val="QT_PL03b"/>
      <sheetName val="QT_PL04"/>
      <sheetName val="QT_PL05"/>
      <sheetName val="QT_PL06"/>
    </sheetNames>
    <sheetDataSet>
      <sheetData sheetId="0" refreshError="1"/>
      <sheetData sheetId="1" refreshError="1"/>
      <sheetData sheetId="2" refreshError="1"/>
      <sheetData sheetId="3" refreshError="1"/>
      <sheetData sheetId="4" refreshError="1"/>
      <sheetData sheetId="5">
        <row r="36">
          <cell r="G36">
            <v>1182669000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in)"/>
      <sheetName val="tk(in) "/>
      <sheetName val="Ranh"/>
      <sheetName val="So tuyen"/>
      <sheetName val="KL tong"/>
      <sheetName val="tam ban"/>
      <sheetName val="Km19-20"/>
      <sheetName val="Km20-21"/>
      <sheetName val="Km21-22"/>
      <sheetName val="DC BTN"/>
      <sheetName val="Km0-2"/>
      <sheetName val="Km2-3+468"/>
      <sheetName val="Sheet2"/>
      <sheetName val="42-47"/>
      <sheetName val="P52-TC61"/>
      <sheetName val="74-D70"/>
      <sheetName val="Tong"/>
      <sheetName val="9-TC12"/>
      <sheetName val="48-TD52"/>
      <sheetName val="TD62-74"/>
      <sheetName val="Khe dan,co"/>
    </sheetNames>
    <sheetDataSet>
      <sheetData sheetId="0"/>
      <sheetData sheetId="1"/>
      <sheetData sheetId="2"/>
      <sheetData sheetId="3"/>
      <sheetData sheetId="4">
        <row r="8">
          <cell r="O8">
            <v>160.27335963877499</v>
          </cell>
        </row>
        <row r="9">
          <cell r="O9">
            <v>400.68339909693702</v>
          </cell>
        </row>
        <row r="10">
          <cell r="O10">
            <v>641.09343855509906</v>
          </cell>
        </row>
        <row r="14">
          <cell r="O14">
            <v>320.54671927754902</v>
          </cell>
        </row>
        <row r="15">
          <cell r="O15">
            <v>240.410039458162</v>
          </cell>
        </row>
        <row r="28">
          <cell r="O28">
            <v>360.61505918724299</v>
          </cell>
        </row>
        <row r="29">
          <cell r="O29">
            <v>480.82007891632401</v>
          </cell>
        </row>
        <row r="36">
          <cell r="O36">
            <v>6699.06100964081</v>
          </cell>
        </row>
        <row r="37">
          <cell r="O37">
            <v>2165.93899035919</v>
          </cell>
        </row>
        <row r="38">
          <cell r="O38">
            <v>8865</v>
          </cell>
        </row>
        <row r="39">
          <cell r="O39">
            <v>2165.93899035919</v>
          </cell>
        </row>
        <row r="40">
          <cell r="O40">
            <v>240.410039458162</v>
          </cell>
        </row>
        <row r="41">
          <cell r="O41">
            <v>725.06706260423903</v>
          </cell>
        </row>
        <row r="50">
          <cell r="O50">
            <v>2055.5689450026398</v>
          </cell>
        </row>
        <row r="54">
          <cell r="O54">
            <v>180.154268193467</v>
          </cell>
        </row>
        <row r="57">
          <cell r="O57">
            <v>1970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in)"/>
      <sheetName val="tk(in) "/>
      <sheetName val="Ranh"/>
      <sheetName val="So tuyen"/>
      <sheetName val="KL tong"/>
      <sheetName val="tam ban"/>
      <sheetName val="Km19-20"/>
      <sheetName val="Km20-21"/>
      <sheetName val="Km21-22"/>
      <sheetName val="DC BTN"/>
      <sheetName val="Km0-2"/>
      <sheetName val="Km2-3+468"/>
      <sheetName val="D1-TC6"/>
      <sheetName val="Sheet2"/>
      <sheetName val="15-42"/>
      <sheetName val="42-47"/>
      <sheetName val="P52-TC61"/>
      <sheetName val="74-D70"/>
      <sheetName val="Tong"/>
      <sheetName val="42-48"/>
      <sheetName val="TD52- TD62"/>
      <sheetName val="74- D70"/>
      <sheetName val="Sheet1"/>
    </sheetNames>
    <sheetDataSet>
      <sheetData sheetId="0"/>
      <sheetData sheetId="1"/>
      <sheetData sheetId="2"/>
      <sheetData sheetId="3"/>
      <sheetData sheetId="4">
        <row r="8">
          <cell r="V8">
            <v>367.990838</v>
          </cell>
        </row>
        <row r="9">
          <cell r="V9">
            <v>4781</v>
          </cell>
        </row>
        <row r="12">
          <cell r="V12">
            <v>204.9</v>
          </cell>
        </row>
        <row r="17">
          <cell r="V17">
            <v>280.6020125</v>
          </cell>
        </row>
        <row r="18">
          <cell r="V18">
            <v>277.34137049999998</v>
          </cell>
        </row>
        <row r="20">
          <cell r="V20">
            <v>3050.6765304999999</v>
          </cell>
        </row>
        <row r="23">
          <cell r="V23">
            <v>2667.6716449999999</v>
          </cell>
        </row>
        <row r="25">
          <cell r="V25">
            <v>656.80421799999999</v>
          </cell>
        </row>
        <row r="27">
          <cell r="V27">
            <v>1335.2360954400001</v>
          </cell>
        </row>
        <row r="30">
          <cell r="V30">
            <v>5566.0470299999997</v>
          </cell>
        </row>
        <row r="31">
          <cell r="V31">
            <v>30922.483499999998</v>
          </cell>
        </row>
        <row r="32">
          <cell r="V32">
            <v>30922.483499999998</v>
          </cell>
        </row>
        <row r="41">
          <cell r="V41">
            <v>47</v>
          </cell>
        </row>
        <row r="42">
          <cell r="V42">
            <v>47</v>
          </cell>
        </row>
        <row r="43">
          <cell r="V43">
            <v>66</v>
          </cell>
        </row>
        <row r="44">
          <cell r="V44">
            <v>300</v>
          </cell>
        </row>
        <row r="46">
          <cell r="V46">
            <v>37.4</v>
          </cell>
        </row>
        <row r="47">
          <cell r="V47">
            <v>1550</v>
          </cell>
        </row>
        <row r="48">
          <cell r="E48">
            <v>590</v>
          </cell>
        </row>
        <row r="55">
          <cell r="V55">
            <v>500</v>
          </cell>
        </row>
        <row r="56">
          <cell r="V56">
            <v>42</v>
          </cell>
        </row>
        <row r="57">
          <cell r="V57">
            <v>330</v>
          </cell>
        </row>
        <row r="58">
          <cell r="V58">
            <v>10490</v>
          </cell>
        </row>
        <row r="59">
          <cell r="V59">
            <v>224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3.xml.rels><?xml version="1.0" encoding="UTF-8" standalone="yes"?>
<Relationships xmlns="http://schemas.openxmlformats.org/package/2006/relationships"><Relationship Id="rId1" Type="http://schemas.openxmlformats.org/officeDocument/2006/relationships/hyperlink" Target="http://dutoaneta.vn/"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dutoaneta.v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utoaneta.vn/huong-dan-xu-ly-loi-name-khi-xuat-excel/" TargetMode="External"/><Relationship Id="rId1" Type="http://schemas.openxmlformats.org/officeDocument/2006/relationships/hyperlink" Target="https://dutoaneta.vn/huong-dan-xu-ly-loi-name-khi-xuat-exce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dutoaneta.vn/huong-dan-xu-ly-loi-name-khi-xuat-excel/" TargetMode="External"/><Relationship Id="rId1" Type="http://schemas.openxmlformats.org/officeDocument/2006/relationships/hyperlink" Target="https://dutoaneta.vn/huong-dan-xu-ly-loi-name-khi-xuat-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4.4"/>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W49"/>
  <sheetViews>
    <sheetView showZeros="0" topLeftCell="B25" zoomScale="130" zoomScaleNormal="130" workbookViewId="0">
      <selection activeCell="W39" sqref="W39"/>
    </sheetView>
  </sheetViews>
  <sheetFormatPr defaultColWidth="9.21875" defaultRowHeight="13.8"/>
  <cols>
    <col min="1" max="1" width="5.21875" style="72" hidden="1" customWidth="1"/>
    <col min="2" max="2" width="4.44140625" style="72" customWidth="1"/>
    <col min="3" max="3" width="8.44140625" style="72" customWidth="1"/>
    <col min="4" max="4" width="10.77734375" style="72" hidden="1" customWidth="1"/>
    <col min="5" max="5" width="32.21875" style="72" customWidth="1"/>
    <col min="6" max="6" width="9.44140625" style="72" customWidth="1"/>
    <col min="7" max="7" width="12" style="72" customWidth="1"/>
    <col min="8" max="9" width="9.21875" style="72" hidden="1" customWidth="1"/>
    <col min="10" max="10" width="9" style="72" customWidth="1"/>
    <col min="11" max="11" width="9.21875" style="72" hidden="1" customWidth="1"/>
    <col min="12" max="12" width="12.44140625" style="72" hidden="1" customWidth="1"/>
    <col min="13" max="13" width="2.44140625" style="72" hidden="1" customWidth="1"/>
    <col min="14" max="14" width="12.44140625" style="72" customWidth="1"/>
    <col min="15" max="15" width="7.44140625" style="72" hidden="1" customWidth="1"/>
    <col min="16" max="16" width="7.77734375" style="72" hidden="1" customWidth="1"/>
    <col min="17" max="20" width="12.44140625" style="72" hidden="1" customWidth="1"/>
    <col min="21" max="21" width="12.77734375" style="72" customWidth="1"/>
    <col min="22" max="22" width="11.44140625" style="72" customWidth="1"/>
    <col min="23" max="23" width="18.21875" style="72" customWidth="1"/>
    <col min="24" max="16384" width="9.21875" style="72"/>
  </cols>
  <sheetData>
    <row r="1" spans="1:23" ht="17.399999999999999">
      <c r="B1" s="895" t="s">
        <v>684</v>
      </c>
      <c r="C1" s="895"/>
      <c r="D1" s="895"/>
      <c r="E1" s="895"/>
      <c r="F1" s="895"/>
      <c r="G1" s="895"/>
      <c r="H1" s="895"/>
      <c r="I1" s="895"/>
      <c r="J1" s="895"/>
      <c r="K1" s="895"/>
      <c r="L1" s="895"/>
      <c r="M1" s="895"/>
      <c r="N1" s="895"/>
      <c r="O1" s="895"/>
      <c r="P1" s="895"/>
      <c r="Q1" s="895"/>
      <c r="R1" s="895"/>
      <c r="S1" s="895"/>
      <c r="T1" s="895"/>
      <c r="U1" s="895"/>
      <c r="V1" s="895"/>
    </row>
    <row r="2" spans="1:23" hidden="1">
      <c r="B2" s="932"/>
      <c r="C2" s="932"/>
      <c r="D2" s="932"/>
      <c r="E2" s="932"/>
      <c r="F2" s="932"/>
      <c r="G2" s="932"/>
      <c r="H2" s="932"/>
      <c r="I2" s="932"/>
      <c r="J2" s="932"/>
      <c r="K2" s="932"/>
      <c r="L2" s="932"/>
      <c r="M2" s="932"/>
      <c r="N2" s="932"/>
      <c r="O2" s="932"/>
      <c r="P2" s="932"/>
      <c r="Q2" s="932"/>
      <c r="R2" s="932"/>
      <c r="S2" s="932"/>
      <c r="T2" s="932"/>
      <c r="U2" s="932"/>
      <c r="V2" s="932"/>
    </row>
    <row r="3" spans="1:23">
      <c r="B3" s="933" t="s">
        <v>685</v>
      </c>
      <c r="C3" s="933"/>
      <c r="D3" s="933"/>
      <c r="E3" s="933"/>
      <c r="F3" s="933"/>
      <c r="G3" s="933"/>
      <c r="H3" s="933"/>
      <c r="I3" s="933"/>
      <c r="J3" s="933"/>
      <c r="K3" s="933"/>
      <c r="L3" s="933"/>
      <c r="M3" s="933"/>
      <c r="N3" s="933"/>
      <c r="O3" s="933"/>
      <c r="P3" s="933"/>
      <c r="Q3" s="933"/>
      <c r="R3" s="933"/>
      <c r="S3" s="933"/>
      <c r="T3" s="933"/>
      <c r="U3" s="933"/>
      <c r="V3" s="933"/>
    </row>
    <row r="4" spans="1:23" ht="28.5" customHeight="1">
      <c r="B4" s="429" t="s">
        <v>5</v>
      </c>
      <c r="C4" s="429" t="s">
        <v>592</v>
      </c>
      <c r="D4" s="429"/>
      <c r="E4" s="429" t="s">
        <v>686</v>
      </c>
      <c r="F4" s="429" t="s">
        <v>594</v>
      </c>
      <c r="G4" s="429" t="s">
        <v>687</v>
      </c>
      <c r="H4" s="429"/>
      <c r="I4" s="429"/>
      <c r="J4" s="429" t="s">
        <v>688</v>
      </c>
      <c r="K4" s="429" t="s">
        <v>596</v>
      </c>
      <c r="L4" s="429" t="s">
        <v>689</v>
      </c>
      <c r="M4" s="74" t="s">
        <v>690</v>
      </c>
      <c r="N4" s="74" t="s">
        <v>691</v>
      </c>
      <c r="O4" s="74" t="s">
        <v>692</v>
      </c>
      <c r="P4" s="74" t="s">
        <v>693</v>
      </c>
      <c r="Q4" s="429" t="s">
        <v>694</v>
      </c>
      <c r="R4" s="429"/>
      <c r="S4" s="429" t="s">
        <v>695</v>
      </c>
      <c r="T4" s="429"/>
      <c r="U4" s="429" t="s">
        <v>696</v>
      </c>
      <c r="V4" s="429" t="s">
        <v>697</v>
      </c>
      <c r="W4" s="429" t="s">
        <v>698</v>
      </c>
    </row>
    <row r="5" spans="1:23">
      <c r="A5" s="546"/>
      <c r="B5" s="547">
        <v>1</v>
      </c>
      <c r="C5" s="548" t="s">
        <v>667</v>
      </c>
      <c r="D5" s="546"/>
      <c r="E5" s="546" t="s">
        <v>699</v>
      </c>
      <c r="F5" s="547" t="s">
        <v>700</v>
      </c>
      <c r="G5" s="549">
        <v>330750</v>
      </c>
      <c r="H5" s="549"/>
      <c r="I5" s="549"/>
      <c r="J5" s="559">
        <v>330750</v>
      </c>
      <c r="K5" s="560">
        <v>1</v>
      </c>
      <c r="L5" s="549">
        <f t="shared" ref="L5:L49" si="0">J5*K5</f>
        <v>330750</v>
      </c>
      <c r="M5" s="549">
        <f>'Cước ô tô'!Y9</f>
        <v>0</v>
      </c>
      <c r="N5" s="549">
        <f>'Cước ô tô mới'!AO6</f>
        <v>10873.554053202794</v>
      </c>
      <c r="O5" s="549">
        <f>'Cước sông'!P6</f>
        <v>0</v>
      </c>
      <c r="P5" s="549">
        <v>0</v>
      </c>
      <c r="Q5" s="549"/>
      <c r="R5" s="549"/>
      <c r="S5" s="549">
        <v>0</v>
      </c>
      <c r="T5" s="549"/>
      <c r="U5" s="549">
        <f t="shared" ref="U5:U49" si="1">SUM(M5:T5)</f>
        <v>10873.554053202794</v>
      </c>
      <c r="V5" s="549">
        <f t="shared" ref="V5:V49" si="2">J5+U5</f>
        <v>341623.5540532028</v>
      </c>
      <c r="W5" s="546"/>
    </row>
    <row r="6" spans="1:23">
      <c r="A6" s="457"/>
      <c r="B6" s="456">
        <v>2</v>
      </c>
      <c r="C6" s="550" t="s">
        <v>669</v>
      </c>
      <c r="D6" s="457"/>
      <c r="E6" s="457" t="s">
        <v>701</v>
      </c>
      <c r="F6" s="456" t="s">
        <v>700</v>
      </c>
      <c r="G6" s="551">
        <v>661500</v>
      </c>
      <c r="H6" s="551"/>
      <c r="I6" s="551"/>
      <c r="J6" s="556">
        <v>661500</v>
      </c>
      <c r="K6" s="561">
        <v>1</v>
      </c>
      <c r="L6" s="551">
        <f t="shared" si="0"/>
        <v>661500</v>
      </c>
      <c r="M6" s="551">
        <f>'Cước ô tô'!Y10</f>
        <v>0</v>
      </c>
      <c r="N6" s="551">
        <f>'Cước ô tô mới'!AO10</f>
        <v>21747.108106405587</v>
      </c>
      <c r="O6" s="551">
        <f>'Cước sông'!P7</f>
        <v>0</v>
      </c>
      <c r="P6" s="551">
        <v>0</v>
      </c>
      <c r="Q6" s="551"/>
      <c r="R6" s="551"/>
      <c r="S6" s="551">
        <v>0</v>
      </c>
      <c r="T6" s="551"/>
      <c r="U6" s="551">
        <f t="shared" si="1"/>
        <v>21747.108106405587</v>
      </c>
      <c r="V6" s="551">
        <f t="shared" si="2"/>
        <v>683247.10810640559</v>
      </c>
      <c r="W6" s="457"/>
    </row>
    <row r="7" spans="1:23">
      <c r="A7" s="457"/>
      <c r="B7" s="456">
        <v>3</v>
      </c>
      <c r="C7" s="550" t="s">
        <v>679</v>
      </c>
      <c r="D7" s="457"/>
      <c r="E7" s="457" t="s">
        <v>702</v>
      </c>
      <c r="F7" s="456" t="s">
        <v>700</v>
      </c>
      <c r="G7" s="551">
        <v>1854206</v>
      </c>
      <c r="H7" s="551"/>
      <c r="I7" s="551"/>
      <c r="J7" s="556">
        <v>1854206</v>
      </c>
      <c r="K7" s="561">
        <v>1</v>
      </c>
      <c r="L7" s="551">
        <f t="shared" si="0"/>
        <v>1854206</v>
      </c>
      <c r="M7" s="551">
        <f>'Cước ô tô'!Y11</f>
        <v>0</v>
      </c>
      <c r="N7" s="551">
        <f>'Cước ô tô mới'!AO14</f>
        <v>86988.432425622348</v>
      </c>
      <c r="O7" s="551">
        <f>'Cước sông'!P8</f>
        <v>0</v>
      </c>
      <c r="P7" s="551">
        <v>0</v>
      </c>
      <c r="Q7" s="551"/>
      <c r="R7" s="551"/>
      <c r="S7" s="551">
        <v>0</v>
      </c>
      <c r="T7" s="551"/>
      <c r="U7" s="551">
        <f t="shared" si="1"/>
        <v>86988.432425622348</v>
      </c>
      <c r="V7" s="551">
        <f t="shared" si="2"/>
        <v>1941194.4324256224</v>
      </c>
      <c r="W7" s="457"/>
    </row>
    <row r="8" spans="1:23">
      <c r="A8" s="457"/>
      <c r="B8" s="456">
        <v>4</v>
      </c>
      <c r="C8" s="550" t="s">
        <v>677</v>
      </c>
      <c r="D8" s="457"/>
      <c r="E8" s="457" t="s">
        <v>703</v>
      </c>
      <c r="F8" s="456" t="s">
        <v>700</v>
      </c>
      <c r="G8" s="551">
        <v>546238</v>
      </c>
      <c r="H8" s="551"/>
      <c r="I8" s="551"/>
      <c r="J8" s="556">
        <v>546238</v>
      </c>
      <c r="K8" s="561">
        <v>1</v>
      </c>
      <c r="L8" s="551">
        <f t="shared" si="0"/>
        <v>546238</v>
      </c>
      <c r="M8" s="551">
        <f>'Cước ô tô'!Y13</f>
        <v>0</v>
      </c>
      <c r="N8" s="551">
        <f>'Cước ô tô mới'!AO18</f>
        <v>19934.849097538452</v>
      </c>
      <c r="O8" s="551">
        <f>'Cước sông'!P10</f>
        <v>0</v>
      </c>
      <c r="P8" s="551">
        <v>0</v>
      </c>
      <c r="Q8" s="551"/>
      <c r="R8" s="551"/>
      <c r="S8" s="551">
        <v>0</v>
      </c>
      <c r="T8" s="551"/>
      <c r="U8" s="551">
        <f t="shared" si="1"/>
        <v>19934.849097538452</v>
      </c>
      <c r="V8" s="551">
        <f t="shared" si="2"/>
        <v>566172.84909753851</v>
      </c>
      <c r="W8" s="457"/>
    </row>
    <row r="9" spans="1:23">
      <c r="A9" s="457"/>
      <c r="B9" s="456">
        <v>5</v>
      </c>
      <c r="C9" s="550" t="s">
        <v>677</v>
      </c>
      <c r="D9" s="457"/>
      <c r="E9" s="457" t="s">
        <v>704</v>
      </c>
      <c r="F9" s="456" t="s">
        <v>700</v>
      </c>
      <c r="G9" s="551">
        <v>390887</v>
      </c>
      <c r="H9" s="551"/>
      <c r="I9" s="551"/>
      <c r="J9" s="556">
        <v>390887</v>
      </c>
      <c r="K9" s="561">
        <v>1</v>
      </c>
      <c r="L9" s="551">
        <f t="shared" si="0"/>
        <v>390887</v>
      </c>
      <c r="M9" s="551">
        <f>'Cước ô tô'!Y12</f>
        <v>0</v>
      </c>
      <c r="N9" s="551">
        <f>'Cước ô tô mới'!AO22</f>
        <v>11126.427403277276</v>
      </c>
      <c r="O9" s="551">
        <f>'Cước sông'!P9</f>
        <v>0</v>
      </c>
      <c r="P9" s="551">
        <v>0</v>
      </c>
      <c r="Q9" s="551"/>
      <c r="R9" s="551"/>
      <c r="S9" s="551">
        <v>0</v>
      </c>
      <c r="T9" s="551"/>
      <c r="U9" s="551">
        <f t="shared" si="1"/>
        <v>11126.427403277276</v>
      </c>
      <c r="V9" s="551">
        <f t="shared" si="2"/>
        <v>402013.42740327725</v>
      </c>
      <c r="W9" s="457"/>
    </row>
    <row r="10" spans="1:23">
      <c r="A10" s="457"/>
      <c r="B10" s="456">
        <v>6</v>
      </c>
      <c r="C10" s="550" t="s">
        <v>678</v>
      </c>
      <c r="D10" s="457"/>
      <c r="E10" s="457" t="s">
        <v>705</v>
      </c>
      <c r="F10" s="456" t="s">
        <v>700</v>
      </c>
      <c r="G10" s="551">
        <v>1092476</v>
      </c>
      <c r="H10" s="551"/>
      <c r="I10" s="551"/>
      <c r="J10" s="556">
        <v>1092476</v>
      </c>
      <c r="K10" s="561">
        <v>1</v>
      </c>
      <c r="L10" s="551">
        <f t="shared" si="0"/>
        <v>1092476</v>
      </c>
      <c r="M10" s="551">
        <f>'Cước ô tô'!Y15</f>
        <v>0</v>
      </c>
      <c r="N10" s="551">
        <f>'Cước ô tô mới'!AO26</f>
        <v>37769.706531072101</v>
      </c>
      <c r="O10" s="551">
        <f>'Cước sông'!P12</f>
        <v>0</v>
      </c>
      <c r="P10" s="551">
        <v>0</v>
      </c>
      <c r="Q10" s="551"/>
      <c r="R10" s="551"/>
      <c r="S10" s="551">
        <v>0</v>
      </c>
      <c r="T10" s="551"/>
      <c r="U10" s="551">
        <f t="shared" si="1"/>
        <v>37769.706531072101</v>
      </c>
      <c r="V10" s="551">
        <f t="shared" si="2"/>
        <v>1130245.706531072</v>
      </c>
      <c r="W10" s="457"/>
    </row>
    <row r="11" spans="1:23">
      <c r="A11" s="457"/>
      <c r="B11" s="456">
        <v>7</v>
      </c>
      <c r="C11" s="550" t="s">
        <v>678</v>
      </c>
      <c r="D11" s="457"/>
      <c r="E11" s="457" t="s">
        <v>706</v>
      </c>
      <c r="F11" s="456" t="s">
        <v>700</v>
      </c>
      <c r="G11" s="551">
        <v>781774</v>
      </c>
      <c r="H11" s="551"/>
      <c r="I11" s="551"/>
      <c r="J11" s="556">
        <v>781774</v>
      </c>
      <c r="K11" s="561">
        <v>1</v>
      </c>
      <c r="L11" s="551">
        <f t="shared" si="0"/>
        <v>781774</v>
      </c>
      <c r="M11" s="551">
        <f>'Cước ô tô'!Y14</f>
        <v>0</v>
      </c>
      <c r="N11" s="551">
        <f>'Cước ô tô mới'!AO30</f>
        <v>22252.854806554551</v>
      </c>
      <c r="O11" s="551">
        <f>'Cước sông'!P11</f>
        <v>0</v>
      </c>
      <c r="P11" s="551">
        <v>0</v>
      </c>
      <c r="Q11" s="551"/>
      <c r="R11" s="551"/>
      <c r="S11" s="551">
        <v>0</v>
      </c>
      <c r="T11" s="551"/>
      <c r="U11" s="551">
        <f t="shared" si="1"/>
        <v>22252.854806554551</v>
      </c>
      <c r="V11" s="551">
        <f t="shared" si="2"/>
        <v>804026.8548065545</v>
      </c>
      <c r="W11" s="457"/>
    </row>
    <row r="12" spans="1:23">
      <c r="A12" s="457"/>
      <c r="B12" s="456">
        <v>8</v>
      </c>
      <c r="C12" s="550" t="s">
        <v>707</v>
      </c>
      <c r="D12" s="457"/>
      <c r="E12" s="457" t="s">
        <v>708</v>
      </c>
      <c r="F12" s="456" t="s">
        <v>414</v>
      </c>
      <c r="G12" s="551">
        <v>35000</v>
      </c>
      <c r="H12" s="551"/>
      <c r="I12" s="551"/>
      <c r="J12" s="556">
        <v>35000</v>
      </c>
      <c r="K12" s="561">
        <v>1</v>
      </c>
      <c r="L12" s="551">
        <f t="shared" si="0"/>
        <v>35000</v>
      </c>
      <c r="M12" s="551">
        <f>'Cước ô tô'!Y16</f>
        <v>0</v>
      </c>
      <c r="N12" s="551">
        <f>'Cước ô tô mới'!AO34</f>
        <v>0</v>
      </c>
      <c r="O12" s="551">
        <f>'Cước sông'!P13</f>
        <v>0</v>
      </c>
      <c r="P12" s="551">
        <v>0</v>
      </c>
      <c r="Q12" s="551"/>
      <c r="R12" s="551"/>
      <c r="S12" s="551">
        <v>0</v>
      </c>
      <c r="T12" s="551"/>
      <c r="U12" s="551">
        <f t="shared" si="1"/>
        <v>0</v>
      </c>
      <c r="V12" s="551">
        <f t="shared" si="2"/>
        <v>35000</v>
      </c>
      <c r="W12" s="457"/>
    </row>
    <row r="13" spans="1:23">
      <c r="A13" s="457"/>
      <c r="B13" s="456">
        <v>9</v>
      </c>
      <c r="C13" s="550" t="s">
        <v>604</v>
      </c>
      <c r="D13" s="457"/>
      <c r="E13" s="457" t="s">
        <v>709</v>
      </c>
      <c r="F13" s="456" t="s">
        <v>356</v>
      </c>
      <c r="G13" s="551">
        <v>90000</v>
      </c>
      <c r="H13" s="551"/>
      <c r="I13" s="551"/>
      <c r="J13" s="562">
        <v>170000</v>
      </c>
      <c r="K13" s="561">
        <v>1</v>
      </c>
      <c r="L13" s="551">
        <f t="shared" si="0"/>
        <v>170000</v>
      </c>
      <c r="M13" s="551">
        <f>'Cước ô tô'!Y17</f>
        <v>0</v>
      </c>
      <c r="N13" s="551">
        <f>'Cước ô tô mới'!AO35</f>
        <v>70458.054755871271</v>
      </c>
      <c r="O13" s="551">
        <f>'Cước sông'!P14</f>
        <v>0</v>
      </c>
      <c r="P13" s="551">
        <v>0</v>
      </c>
      <c r="Q13" s="551"/>
      <c r="R13" s="551"/>
      <c r="S13" s="551">
        <v>0</v>
      </c>
      <c r="T13" s="551"/>
      <c r="U13" s="551">
        <f t="shared" si="1"/>
        <v>70458.054755871271</v>
      </c>
      <c r="V13" s="551">
        <f t="shared" si="2"/>
        <v>240458.05475587127</v>
      </c>
      <c r="W13" s="457"/>
    </row>
    <row r="14" spans="1:23">
      <c r="A14" s="457"/>
      <c r="B14" s="456">
        <v>10</v>
      </c>
      <c r="C14" s="550" t="s">
        <v>654</v>
      </c>
      <c r="D14" s="457"/>
      <c r="E14" s="457" t="s">
        <v>710</v>
      </c>
      <c r="F14" s="456" t="s">
        <v>356</v>
      </c>
      <c r="G14" s="551">
        <v>250000</v>
      </c>
      <c r="H14" s="551"/>
      <c r="I14" s="551"/>
      <c r="J14" s="556">
        <v>250000</v>
      </c>
      <c r="K14" s="561">
        <v>1</v>
      </c>
      <c r="L14" s="551">
        <f t="shared" si="0"/>
        <v>250000</v>
      </c>
      <c r="M14" s="551">
        <f>'Cước ô tô'!Y18</f>
        <v>0</v>
      </c>
      <c r="N14" s="551">
        <f>'Cước ô tô mới'!AO37</f>
        <v>79026.495268499828</v>
      </c>
      <c r="O14" s="551">
        <f>'Cước sông'!P15</f>
        <v>0</v>
      </c>
      <c r="P14" s="551">
        <v>0</v>
      </c>
      <c r="Q14" s="551"/>
      <c r="R14" s="551"/>
      <c r="S14" s="551">
        <v>0</v>
      </c>
      <c r="T14" s="551"/>
      <c r="U14" s="551">
        <f t="shared" si="1"/>
        <v>79026.495268499828</v>
      </c>
      <c r="V14" s="551">
        <f t="shared" si="2"/>
        <v>329026.49526849983</v>
      </c>
      <c r="W14" s="457"/>
    </row>
    <row r="15" spans="1:23">
      <c r="A15" s="457"/>
      <c r="B15" s="456">
        <v>11</v>
      </c>
      <c r="C15" s="550" t="s">
        <v>658</v>
      </c>
      <c r="D15" s="457"/>
      <c r="E15" s="457" t="s">
        <v>711</v>
      </c>
      <c r="F15" s="456" t="s">
        <v>356</v>
      </c>
      <c r="G15" s="551">
        <v>300000</v>
      </c>
      <c r="H15" s="551"/>
      <c r="I15" s="551"/>
      <c r="J15" s="556">
        <v>300000</v>
      </c>
      <c r="K15" s="561">
        <v>1</v>
      </c>
      <c r="L15" s="551">
        <f t="shared" si="0"/>
        <v>300000</v>
      </c>
      <c r="M15" s="551">
        <f>'Cước ô tô'!Y19</f>
        <v>0</v>
      </c>
      <c r="N15" s="551">
        <f>'Cước ô tô mới'!AO40</f>
        <v>79026.495268499828</v>
      </c>
      <c r="O15" s="551">
        <f>'Cước sông'!P16</f>
        <v>0</v>
      </c>
      <c r="P15" s="551">
        <v>0</v>
      </c>
      <c r="Q15" s="551"/>
      <c r="R15" s="551"/>
      <c r="S15" s="551">
        <v>0</v>
      </c>
      <c r="T15" s="551"/>
      <c r="U15" s="551">
        <f t="shared" si="1"/>
        <v>79026.495268499828</v>
      </c>
      <c r="V15" s="551">
        <f t="shared" si="2"/>
        <v>379026.49526849983</v>
      </c>
      <c r="W15" s="457"/>
    </row>
    <row r="16" spans="1:23">
      <c r="A16" s="457"/>
      <c r="B16" s="456">
        <v>12</v>
      </c>
      <c r="C16" s="550" t="s">
        <v>656</v>
      </c>
      <c r="D16" s="457"/>
      <c r="E16" s="457" t="s">
        <v>712</v>
      </c>
      <c r="F16" s="456" t="s">
        <v>356</v>
      </c>
      <c r="G16" s="551">
        <v>300000</v>
      </c>
      <c r="H16" s="551"/>
      <c r="I16" s="551"/>
      <c r="J16" s="556">
        <v>300000</v>
      </c>
      <c r="K16" s="561">
        <v>1</v>
      </c>
      <c r="L16" s="551">
        <f t="shared" si="0"/>
        <v>300000</v>
      </c>
      <c r="M16" s="551">
        <f>'Cước ô tô'!Y20</f>
        <v>0</v>
      </c>
      <c r="N16" s="551">
        <f>'Cước ô tô mới'!AO43</f>
        <v>79026.495268499828</v>
      </c>
      <c r="O16" s="551">
        <f>'Cước sông'!P17</f>
        <v>0</v>
      </c>
      <c r="P16" s="551">
        <v>0</v>
      </c>
      <c r="Q16" s="551"/>
      <c r="R16" s="551"/>
      <c r="S16" s="551">
        <v>0</v>
      </c>
      <c r="T16" s="551"/>
      <c r="U16" s="551">
        <f t="shared" si="1"/>
        <v>79026.495268499828</v>
      </c>
      <c r="V16" s="551">
        <f t="shared" si="2"/>
        <v>379026.49526849983</v>
      </c>
      <c r="W16" s="457"/>
    </row>
    <row r="17" spans="1:23">
      <c r="A17" s="457"/>
      <c r="B17" s="456">
        <v>13</v>
      </c>
      <c r="C17" s="550" t="s">
        <v>615</v>
      </c>
      <c r="D17" s="457"/>
      <c r="E17" s="457" t="s">
        <v>713</v>
      </c>
      <c r="F17" s="456" t="s">
        <v>356</v>
      </c>
      <c r="G17" s="551">
        <v>580000</v>
      </c>
      <c r="H17" s="551"/>
      <c r="I17" s="551"/>
      <c r="J17" s="562">
        <v>580000</v>
      </c>
      <c r="K17" s="561">
        <v>1</v>
      </c>
      <c r="L17" s="551">
        <f t="shared" si="0"/>
        <v>580000</v>
      </c>
      <c r="M17" s="551">
        <f>'Cước ô tô'!Y21</f>
        <v>0</v>
      </c>
      <c r="N17" s="551">
        <f>'Cước ô tô mới'!AO46</f>
        <v>79026.495268499828</v>
      </c>
      <c r="O17" s="551">
        <f>'Cước sông'!P18</f>
        <v>0</v>
      </c>
      <c r="P17" s="551">
        <v>0</v>
      </c>
      <c r="Q17" s="551"/>
      <c r="R17" s="551"/>
      <c r="S17" s="551">
        <v>0</v>
      </c>
      <c r="T17" s="551"/>
      <c r="U17" s="551">
        <f t="shared" si="1"/>
        <v>79026.495268499828</v>
      </c>
      <c r="V17" s="551">
        <f t="shared" si="2"/>
        <v>659026.49526849983</v>
      </c>
      <c r="W17" s="457"/>
    </row>
    <row r="18" spans="1:23">
      <c r="A18" s="457"/>
      <c r="B18" s="456">
        <v>14</v>
      </c>
      <c r="C18" s="550" t="s">
        <v>659</v>
      </c>
      <c r="D18" s="457"/>
      <c r="E18" s="457" t="s">
        <v>714</v>
      </c>
      <c r="F18" s="456" t="s">
        <v>356</v>
      </c>
      <c r="G18" s="551">
        <v>160000</v>
      </c>
      <c r="H18" s="551"/>
      <c r="I18" s="551"/>
      <c r="J18" s="562">
        <v>260000</v>
      </c>
      <c r="K18" s="561">
        <v>1</v>
      </c>
      <c r="L18" s="551">
        <f t="shared" si="0"/>
        <v>260000</v>
      </c>
      <c r="M18" s="551">
        <f>'Cước ô tô'!Y22</f>
        <v>0</v>
      </c>
      <c r="N18" s="551">
        <f>'Cước ô tô mới'!AO49</f>
        <v>70458.054755871271</v>
      </c>
      <c r="O18" s="551">
        <f>'Cước sông'!P19</f>
        <v>0</v>
      </c>
      <c r="P18" s="551">
        <v>0</v>
      </c>
      <c r="Q18" s="551"/>
      <c r="R18" s="551"/>
      <c r="S18" s="551">
        <v>0</v>
      </c>
      <c r="T18" s="551"/>
      <c r="U18" s="551">
        <f t="shared" si="1"/>
        <v>70458.054755871271</v>
      </c>
      <c r="V18" s="551">
        <f t="shared" si="2"/>
        <v>330458.0547558713</v>
      </c>
      <c r="W18" s="457"/>
    </row>
    <row r="19" spans="1:23">
      <c r="A19" s="457"/>
      <c r="B19" s="456">
        <v>15</v>
      </c>
      <c r="C19" s="550" t="s">
        <v>616</v>
      </c>
      <c r="D19" s="457"/>
      <c r="E19" s="457" t="s">
        <v>715</v>
      </c>
      <c r="F19" s="456" t="s">
        <v>356</v>
      </c>
      <c r="G19" s="551">
        <v>150000</v>
      </c>
      <c r="H19" s="551"/>
      <c r="I19" s="551"/>
      <c r="J19" s="562">
        <v>240000</v>
      </c>
      <c r="K19" s="561">
        <v>1</v>
      </c>
      <c r="L19" s="551">
        <f t="shared" si="0"/>
        <v>240000</v>
      </c>
      <c r="M19" s="551">
        <f>'Cước ô tô'!Y23</f>
        <v>0</v>
      </c>
      <c r="N19" s="551">
        <f>'Cước ô tô mới'!AO51</f>
        <v>70458.054755871271</v>
      </c>
      <c r="O19" s="551">
        <f>'Cước sông'!P20</f>
        <v>0</v>
      </c>
      <c r="P19" s="551">
        <v>0</v>
      </c>
      <c r="Q19" s="551"/>
      <c r="R19" s="551"/>
      <c r="S19" s="551">
        <v>0</v>
      </c>
      <c r="T19" s="551"/>
      <c r="U19" s="551">
        <f t="shared" si="1"/>
        <v>70458.054755871271</v>
      </c>
      <c r="V19" s="551">
        <f t="shared" si="2"/>
        <v>310458.0547558713</v>
      </c>
      <c r="W19" s="457"/>
    </row>
    <row r="20" spans="1:23">
      <c r="A20" s="457"/>
      <c r="B20" s="456">
        <v>16</v>
      </c>
      <c r="C20" s="550" t="s">
        <v>653</v>
      </c>
      <c r="D20" s="457"/>
      <c r="E20" s="457" t="s">
        <v>716</v>
      </c>
      <c r="F20" s="456" t="s">
        <v>356</v>
      </c>
      <c r="G20" s="551">
        <v>160000</v>
      </c>
      <c r="H20" s="551">
        <v>160000</v>
      </c>
      <c r="I20" s="551">
        <v>160000</v>
      </c>
      <c r="J20" s="562">
        <v>260000</v>
      </c>
      <c r="K20" s="561">
        <v>1</v>
      </c>
      <c r="L20" s="551">
        <f t="shared" si="0"/>
        <v>260000</v>
      </c>
      <c r="M20" s="551">
        <f>'Cước ô tô'!Y24</f>
        <v>0</v>
      </c>
      <c r="N20" s="551">
        <f>'Cước ô tô mới'!AO53</f>
        <v>70458.054755871271</v>
      </c>
      <c r="O20" s="551">
        <f>'Cước sông'!P21</f>
        <v>0</v>
      </c>
      <c r="P20" s="551">
        <v>0</v>
      </c>
      <c r="Q20" s="551"/>
      <c r="R20" s="551"/>
      <c r="S20" s="551">
        <v>0</v>
      </c>
      <c r="T20" s="551"/>
      <c r="U20" s="551">
        <f t="shared" si="1"/>
        <v>70458.054755871271</v>
      </c>
      <c r="V20" s="551">
        <f t="shared" si="2"/>
        <v>330458.0547558713</v>
      </c>
      <c r="W20" s="457"/>
    </row>
    <row r="21" spans="1:23">
      <c r="A21" s="457"/>
      <c r="B21" s="456">
        <v>17</v>
      </c>
      <c r="C21" s="550" t="s">
        <v>672</v>
      </c>
      <c r="D21" s="457"/>
      <c r="E21" s="457" t="s">
        <v>717</v>
      </c>
      <c r="F21" s="456" t="s">
        <v>356</v>
      </c>
      <c r="G21" s="551">
        <v>150000</v>
      </c>
      <c r="H21" s="551"/>
      <c r="I21" s="551"/>
      <c r="J21" s="562">
        <v>260000</v>
      </c>
      <c r="K21" s="561">
        <v>1</v>
      </c>
      <c r="L21" s="551">
        <f t="shared" si="0"/>
        <v>260000</v>
      </c>
      <c r="M21" s="551">
        <f>'Cước ô tô'!Y25</f>
        <v>0</v>
      </c>
      <c r="N21" s="551">
        <f>'Cước ô tô mới'!AO55</f>
        <v>70458.054755871271</v>
      </c>
      <c r="O21" s="551">
        <f>'Cước sông'!P22</f>
        <v>0</v>
      </c>
      <c r="P21" s="551">
        <v>0</v>
      </c>
      <c r="Q21" s="551"/>
      <c r="R21" s="551"/>
      <c r="S21" s="551">
        <v>0</v>
      </c>
      <c r="T21" s="551"/>
      <c r="U21" s="551">
        <f t="shared" si="1"/>
        <v>70458.054755871271</v>
      </c>
      <c r="V21" s="551">
        <f t="shared" si="2"/>
        <v>330458.0547558713</v>
      </c>
      <c r="W21" s="457"/>
    </row>
    <row r="22" spans="1:23">
      <c r="A22" s="457"/>
      <c r="B22" s="456">
        <v>18</v>
      </c>
      <c r="C22" s="550" t="s">
        <v>671</v>
      </c>
      <c r="D22" s="457"/>
      <c r="E22" s="457" t="s">
        <v>718</v>
      </c>
      <c r="F22" s="456" t="s">
        <v>356</v>
      </c>
      <c r="G22" s="551">
        <v>130000</v>
      </c>
      <c r="H22" s="551"/>
      <c r="I22" s="551"/>
      <c r="J22" s="562">
        <v>240000</v>
      </c>
      <c r="K22" s="561">
        <v>1</v>
      </c>
      <c r="L22" s="551">
        <f t="shared" si="0"/>
        <v>240000</v>
      </c>
      <c r="M22" s="551">
        <f>'Cước ô tô'!Y26</f>
        <v>0</v>
      </c>
      <c r="N22" s="551">
        <f>'Cước ô tô mới'!AO57</f>
        <v>66636.993446185574</v>
      </c>
      <c r="O22" s="551">
        <f>'Cước sông'!P23</f>
        <v>0</v>
      </c>
      <c r="P22" s="551">
        <v>0</v>
      </c>
      <c r="Q22" s="551"/>
      <c r="R22" s="551"/>
      <c r="S22" s="551">
        <v>0</v>
      </c>
      <c r="T22" s="551"/>
      <c r="U22" s="551">
        <f t="shared" si="1"/>
        <v>66636.993446185574</v>
      </c>
      <c r="V22" s="551">
        <f t="shared" si="2"/>
        <v>306636.9934461856</v>
      </c>
      <c r="W22" s="457"/>
    </row>
    <row r="23" spans="1:23">
      <c r="A23" s="457"/>
      <c r="B23" s="456">
        <v>19</v>
      </c>
      <c r="C23" s="550" t="s">
        <v>662</v>
      </c>
      <c r="D23" s="457"/>
      <c r="E23" s="457" t="s">
        <v>719</v>
      </c>
      <c r="F23" s="456" t="s">
        <v>720</v>
      </c>
      <c r="G23" s="551">
        <v>20000</v>
      </c>
      <c r="H23" s="551"/>
      <c r="I23" s="551"/>
      <c r="J23" s="556">
        <v>20000</v>
      </c>
      <c r="K23" s="561">
        <v>1</v>
      </c>
      <c r="L23" s="551">
        <f t="shared" si="0"/>
        <v>20000</v>
      </c>
      <c r="M23" s="551">
        <f>'Cước ô tô'!Y27</f>
        <v>0</v>
      </c>
      <c r="N23" s="551">
        <f>'Cước ô tô mới'!AO59</f>
        <v>0</v>
      </c>
      <c r="O23" s="551">
        <f>'Cước sông'!P24</f>
        <v>0</v>
      </c>
      <c r="P23" s="551">
        <v>0</v>
      </c>
      <c r="Q23" s="551"/>
      <c r="R23" s="551"/>
      <c r="S23" s="551">
        <v>0</v>
      </c>
      <c r="T23" s="551"/>
      <c r="U23" s="551">
        <f t="shared" si="1"/>
        <v>0</v>
      </c>
      <c r="V23" s="551">
        <f t="shared" si="2"/>
        <v>20000</v>
      </c>
      <c r="W23" s="457"/>
    </row>
    <row r="24" spans="1:23">
      <c r="A24" s="457"/>
      <c r="B24" s="456">
        <v>20</v>
      </c>
      <c r="C24" s="550" t="s">
        <v>626</v>
      </c>
      <c r="D24" s="457"/>
      <c r="E24" s="457" t="s">
        <v>721</v>
      </c>
      <c r="F24" s="456" t="s">
        <v>468</v>
      </c>
      <c r="G24" s="551">
        <v>2000</v>
      </c>
      <c r="H24" s="551"/>
      <c r="I24" s="551"/>
      <c r="J24" s="556">
        <v>2000</v>
      </c>
      <c r="K24" s="561">
        <v>1</v>
      </c>
      <c r="L24" s="551">
        <f t="shared" si="0"/>
        <v>2000</v>
      </c>
      <c r="M24" s="551">
        <f>'Cước ô tô'!Y28</f>
        <v>0</v>
      </c>
      <c r="N24" s="551">
        <f>'Cước ô tô mới'!AO60</f>
        <v>0</v>
      </c>
      <c r="O24" s="551">
        <f>'Cước sông'!P25</f>
        <v>0</v>
      </c>
      <c r="P24" s="551">
        <v>0</v>
      </c>
      <c r="Q24" s="551"/>
      <c r="R24" s="551"/>
      <c r="S24" s="551">
        <v>0</v>
      </c>
      <c r="T24" s="551"/>
      <c r="U24" s="551">
        <f t="shared" si="1"/>
        <v>0</v>
      </c>
      <c r="V24" s="551">
        <f t="shared" si="2"/>
        <v>2000</v>
      </c>
      <c r="W24" s="457"/>
    </row>
    <row r="25" spans="1:23">
      <c r="A25" s="457"/>
      <c r="B25" s="456">
        <v>21</v>
      </c>
      <c r="C25" s="550" t="s">
        <v>618</v>
      </c>
      <c r="D25" s="457"/>
      <c r="E25" s="457" t="s">
        <v>722</v>
      </c>
      <c r="F25" s="456" t="s">
        <v>356</v>
      </c>
      <c r="G25" s="551">
        <v>2500000</v>
      </c>
      <c r="H25" s="551"/>
      <c r="I25" s="551"/>
      <c r="J25" s="562">
        <v>2800000</v>
      </c>
      <c r="K25" s="561">
        <v>1</v>
      </c>
      <c r="L25" s="551">
        <f t="shared" si="0"/>
        <v>2800000</v>
      </c>
      <c r="M25" s="551">
        <f>'Cước ô tô'!Y29</f>
        <v>0</v>
      </c>
      <c r="N25" s="551">
        <f>'Cước ô tô mới'!AO61</f>
        <v>44105.853628303827</v>
      </c>
      <c r="O25" s="551">
        <f>'Cước sông'!P26</f>
        <v>0</v>
      </c>
      <c r="P25" s="551">
        <v>0</v>
      </c>
      <c r="Q25" s="551"/>
      <c r="R25" s="551"/>
      <c r="S25" s="551">
        <v>0</v>
      </c>
      <c r="T25" s="551"/>
      <c r="U25" s="551">
        <f t="shared" si="1"/>
        <v>44105.853628303827</v>
      </c>
      <c r="V25" s="551">
        <f t="shared" si="2"/>
        <v>2844105.8536283039</v>
      </c>
      <c r="W25" s="457"/>
    </row>
    <row r="26" spans="1:23" ht="27.6">
      <c r="A26" s="457"/>
      <c r="B26" s="552">
        <v>22</v>
      </c>
      <c r="C26" s="553" t="s">
        <v>682</v>
      </c>
      <c r="D26" s="554"/>
      <c r="E26" s="554" t="s">
        <v>723</v>
      </c>
      <c r="F26" s="552" t="s">
        <v>356</v>
      </c>
      <c r="G26" s="555">
        <v>2500000</v>
      </c>
      <c r="H26" s="555"/>
      <c r="I26" s="555"/>
      <c r="J26" s="563">
        <v>2800000</v>
      </c>
      <c r="K26" s="564">
        <v>1</v>
      </c>
      <c r="L26" s="555">
        <f t="shared" si="0"/>
        <v>2800000</v>
      </c>
      <c r="M26" s="555">
        <f>'Cước ô tô'!Y30</f>
        <v>0</v>
      </c>
      <c r="N26" s="555">
        <f>'Cước ô tô mới'!AO64</f>
        <v>44105.853628303827</v>
      </c>
      <c r="O26" s="555">
        <f>'Cước sông'!P27</f>
        <v>0</v>
      </c>
      <c r="P26" s="555">
        <v>0</v>
      </c>
      <c r="Q26" s="555"/>
      <c r="R26" s="555"/>
      <c r="S26" s="555">
        <v>0</v>
      </c>
      <c r="T26" s="555"/>
      <c r="U26" s="555">
        <f t="shared" si="1"/>
        <v>44105.853628303827</v>
      </c>
      <c r="V26" s="555">
        <f t="shared" si="2"/>
        <v>2844105.8536283039</v>
      </c>
      <c r="W26" s="568" t="s">
        <v>724</v>
      </c>
    </row>
    <row r="27" spans="1:23">
      <c r="A27" s="457"/>
      <c r="B27" s="456">
        <v>23</v>
      </c>
      <c r="C27" s="550" t="s">
        <v>636</v>
      </c>
      <c r="D27" s="457"/>
      <c r="E27" s="457" t="s">
        <v>725</v>
      </c>
      <c r="F27" s="456" t="s">
        <v>726</v>
      </c>
      <c r="G27" s="551">
        <v>45000</v>
      </c>
      <c r="H27" s="551"/>
      <c r="I27" s="551"/>
      <c r="J27" s="556">
        <v>45000</v>
      </c>
      <c r="K27" s="561">
        <v>1</v>
      </c>
      <c r="L27" s="551">
        <f t="shared" si="0"/>
        <v>45000</v>
      </c>
      <c r="M27" s="551">
        <f>'Cước ô tô'!Y31</f>
        <v>0</v>
      </c>
      <c r="N27" s="551">
        <f>'Cước ô tô mới'!AO67</f>
        <v>0</v>
      </c>
      <c r="O27" s="551">
        <f>'Cước sông'!P28</f>
        <v>0</v>
      </c>
      <c r="P27" s="551">
        <v>0</v>
      </c>
      <c r="Q27" s="551"/>
      <c r="R27" s="551"/>
      <c r="S27" s="551">
        <v>0</v>
      </c>
      <c r="T27" s="551"/>
      <c r="U27" s="551">
        <f t="shared" si="1"/>
        <v>0</v>
      </c>
      <c r="V27" s="551">
        <f t="shared" si="2"/>
        <v>45000</v>
      </c>
      <c r="W27" s="457"/>
    </row>
    <row r="28" spans="1:23">
      <c r="A28" s="457"/>
      <c r="B28" s="456">
        <v>24</v>
      </c>
      <c r="C28" s="550" t="s">
        <v>631</v>
      </c>
      <c r="D28" s="457"/>
      <c r="E28" s="457" t="s">
        <v>727</v>
      </c>
      <c r="F28" s="456" t="s">
        <v>720</v>
      </c>
      <c r="G28" s="551">
        <v>4000</v>
      </c>
      <c r="H28" s="551"/>
      <c r="I28" s="551"/>
      <c r="J28" s="556">
        <v>4000</v>
      </c>
      <c r="K28" s="561">
        <v>1</v>
      </c>
      <c r="L28" s="551">
        <f t="shared" si="0"/>
        <v>4000</v>
      </c>
      <c r="M28" s="551">
        <f>'Cước ô tô'!Y32</f>
        <v>0</v>
      </c>
      <c r="N28" s="551">
        <f>'Cước ô tô mới'!AO68</f>
        <v>0</v>
      </c>
      <c r="O28" s="551">
        <f>'Cước sông'!P29</f>
        <v>0</v>
      </c>
      <c r="P28" s="551">
        <v>0</v>
      </c>
      <c r="Q28" s="551"/>
      <c r="R28" s="551"/>
      <c r="S28" s="551">
        <v>0</v>
      </c>
      <c r="T28" s="551"/>
      <c r="U28" s="551">
        <f t="shared" si="1"/>
        <v>0</v>
      </c>
      <c r="V28" s="551">
        <f t="shared" si="2"/>
        <v>4000</v>
      </c>
      <c r="W28" s="457"/>
    </row>
    <row r="29" spans="1:23">
      <c r="A29" s="457"/>
      <c r="B29" s="456">
        <v>25</v>
      </c>
      <c r="C29" s="550" t="s">
        <v>681</v>
      </c>
      <c r="D29" s="457"/>
      <c r="E29" s="457" t="s">
        <v>728</v>
      </c>
      <c r="F29" s="456" t="s">
        <v>726</v>
      </c>
      <c r="G29" s="551">
        <v>266200</v>
      </c>
      <c r="H29" s="551"/>
      <c r="I29" s="551"/>
      <c r="J29" s="556">
        <v>266200</v>
      </c>
      <c r="K29" s="561">
        <v>1</v>
      </c>
      <c r="L29" s="551">
        <f t="shared" si="0"/>
        <v>266200</v>
      </c>
      <c r="M29" s="551">
        <f>'Cước ô tô'!Y33</f>
        <v>0</v>
      </c>
      <c r="N29" s="551">
        <f>'Cước ô tô mới'!AO69</f>
        <v>0</v>
      </c>
      <c r="O29" s="551">
        <f>'Cước sông'!P30</f>
        <v>0</v>
      </c>
      <c r="P29" s="551">
        <v>0</v>
      </c>
      <c r="Q29" s="551"/>
      <c r="R29" s="551"/>
      <c r="S29" s="551">
        <v>0</v>
      </c>
      <c r="T29" s="551"/>
      <c r="U29" s="551">
        <f t="shared" si="1"/>
        <v>0</v>
      </c>
      <c r="V29" s="551">
        <f t="shared" si="2"/>
        <v>266200</v>
      </c>
      <c r="W29" s="457"/>
    </row>
    <row r="30" spans="1:23">
      <c r="A30" s="457"/>
      <c r="B30" s="456">
        <v>26</v>
      </c>
      <c r="C30" s="550" t="s">
        <v>729</v>
      </c>
      <c r="D30" s="457"/>
      <c r="E30" s="457" t="s">
        <v>730</v>
      </c>
      <c r="F30" s="456" t="s">
        <v>720</v>
      </c>
      <c r="G30" s="551">
        <v>200</v>
      </c>
      <c r="H30" s="551"/>
      <c r="I30" s="551"/>
      <c r="J30" s="556">
        <v>200</v>
      </c>
      <c r="K30" s="561">
        <v>1</v>
      </c>
      <c r="L30" s="551">
        <f t="shared" si="0"/>
        <v>200</v>
      </c>
      <c r="M30" s="551">
        <f>'Cước ô tô'!Y34</f>
        <v>0</v>
      </c>
      <c r="N30" s="551">
        <f>'Cước ô tô mới'!AO70</f>
        <v>0</v>
      </c>
      <c r="O30" s="551">
        <f>'Cước sông'!P31</f>
        <v>0</v>
      </c>
      <c r="P30" s="551">
        <v>0</v>
      </c>
      <c r="Q30" s="551"/>
      <c r="R30" s="551"/>
      <c r="S30" s="551">
        <v>0</v>
      </c>
      <c r="T30" s="551"/>
      <c r="U30" s="551">
        <f t="shared" si="1"/>
        <v>0</v>
      </c>
      <c r="V30" s="551">
        <f t="shared" si="2"/>
        <v>200</v>
      </c>
      <c r="W30" s="457"/>
    </row>
    <row r="31" spans="1:23">
      <c r="A31" s="457"/>
      <c r="B31" s="456">
        <v>27</v>
      </c>
      <c r="C31" s="550" t="s">
        <v>619</v>
      </c>
      <c r="D31" s="457"/>
      <c r="E31" s="457" t="s">
        <v>731</v>
      </c>
      <c r="F31" s="456" t="s">
        <v>720</v>
      </c>
      <c r="G31" s="551">
        <v>11901.316415683899</v>
      </c>
      <c r="H31" s="551"/>
      <c r="I31" s="551"/>
      <c r="J31" s="562">
        <v>13600</v>
      </c>
      <c r="K31" s="561">
        <v>1</v>
      </c>
      <c r="L31" s="551">
        <f t="shared" si="0"/>
        <v>13600</v>
      </c>
      <c r="M31" s="551">
        <f>'Cước ô tô'!Y35</f>
        <v>0</v>
      </c>
      <c r="N31" s="551">
        <f>'Cước ô tô mới'!AO71</f>
        <v>117.50087286393843</v>
      </c>
      <c r="O31" s="551">
        <f>'Cước sông'!P32</f>
        <v>0</v>
      </c>
      <c r="P31" s="551">
        <v>0</v>
      </c>
      <c r="Q31" s="551"/>
      <c r="R31" s="551"/>
      <c r="S31" s="551">
        <v>0</v>
      </c>
      <c r="T31" s="551"/>
      <c r="U31" s="551">
        <f t="shared" si="1"/>
        <v>117.50087286393843</v>
      </c>
      <c r="V31" s="551">
        <f t="shared" si="2"/>
        <v>13717.500872863939</v>
      </c>
      <c r="W31" s="457"/>
    </row>
    <row r="32" spans="1:23">
      <c r="A32" s="457"/>
      <c r="B32" s="456">
        <v>28</v>
      </c>
      <c r="C32" s="550" t="s">
        <v>646</v>
      </c>
      <c r="D32" s="457"/>
      <c r="E32" s="457" t="s">
        <v>732</v>
      </c>
      <c r="F32" s="456" t="s">
        <v>720</v>
      </c>
      <c r="G32" s="551">
        <v>13600</v>
      </c>
      <c r="H32" s="551"/>
      <c r="I32" s="551"/>
      <c r="J32" s="562">
        <v>13600</v>
      </c>
      <c r="K32" s="561">
        <v>1</v>
      </c>
      <c r="L32" s="551">
        <f t="shared" si="0"/>
        <v>13600</v>
      </c>
      <c r="M32" s="551">
        <f>'Cước ô tô'!Y36</f>
        <v>0</v>
      </c>
      <c r="N32" s="551">
        <f>'Cước ô tô mới'!AO75</f>
        <v>117.50087286393843</v>
      </c>
      <c r="O32" s="551">
        <f>'Cước sông'!P33</f>
        <v>0</v>
      </c>
      <c r="P32" s="551">
        <v>0</v>
      </c>
      <c r="Q32" s="551"/>
      <c r="R32" s="551"/>
      <c r="S32" s="551">
        <v>0</v>
      </c>
      <c r="T32" s="551"/>
      <c r="U32" s="551">
        <f t="shared" si="1"/>
        <v>117.50087286393843</v>
      </c>
      <c r="V32" s="551">
        <f t="shared" si="2"/>
        <v>13717.500872863939</v>
      </c>
      <c r="W32" s="457"/>
    </row>
    <row r="33" spans="1:23">
      <c r="A33" s="457"/>
      <c r="B33" s="456">
        <v>29</v>
      </c>
      <c r="C33" s="550" t="s">
        <v>617</v>
      </c>
      <c r="D33" s="457"/>
      <c r="E33" s="457" t="s">
        <v>733</v>
      </c>
      <c r="F33" s="456" t="s">
        <v>734</v>
      </c>
      <c r="G33" s="551">
        <v>15</v>
      </c>
      <c r="H33" s="551"/>
      <c r="I33" s="551"/>
      <c r="J33" s="556">
        <v>15</v>
      </c>
      <c r="K33" s="561">
        <v>1</v>
      </c>
      <c r="L33" s="551">
        <f t="shared" si="0"/>
        <v>15</v>
      </c>
      <c r="M33" s="551">
        <f>'Cước ô tô'!Y37</f>
        <v>0</v>
      </c>
      <c r="N33" s="551">
        <f>'Cước ô tô mới'!AO79</f>
        <v>0</v>
      </c>
      <c r="O33" s="551">
        <f>'Cước sông'!P34</f>
        <v>0</v>
      </c>
      <c r="P33" s="551">
        <v>0</v>
      </c>
      <c r="Q33" s="551"/>
      <c r="R33" s="551"/>
      <c r="S33" s="551">
        <v>0</v>
      </c>
      <c r="T33" s="551"/>
      <c r="U33" s="551">
        <f t="shared" si="1"/>
        <v>0</v>
      </c>
      <c r="V33" s="551">
        <f t="shared" si="2"/>
        <v>15</v>
      </c>
      <c r="W33" s="457"/>
    </row>
    <row r="34" spans="1:23">
      <c r="A34" s="457"/>
      <c r="B34" s="456">
        <v>30</v>
      </c>
      <c r="C34" s="550" t="s">
        <v>735</v>
      </c>
      <c r="D34" s="457"/>
      <c r="E34" s="457" t="s">
        <v>736</v>
      </c>
      <c r="F34" s="456" t="s">
        <v>414</v>
      </c>
      <c r="G34" s="551">
        <v>12000</v>
      </c>
      <c r="H34" s="551"/>
      <c r="I34" s="551"/>
      <c r="J34" s="556">
        <v>12000</v>
      </c>
      <c r="K34" s="561">
        <v>1</v>
      </c>
      <c r="L34" s="551">
        <f t="shared" si="0"/>
        <v>12000</v>
      </c>
      <c r="M34" s="551">
        <f>'Cước ô tô'!Y38</f>
        <v>0</v>
      </c>
      <c r="N34" s="551">
        <f>'Cước ô tô mới'!AO80</f>
        <v>0</v>
      </c>
      <c r="O34" s="551">
        <f>'Cước sông'!P35</f>
        <v>0</v>
      </c>
      <c r="P34" s="551">
        <v>0</v>
      </c>
      <c r="Q34" s="551"/>
      <c r="R34" s="551"/>
      <c r="S34" s="551">
        <v>0</v>
      </c>
      <c r="T34" s="551"/>
      <c r="U34" s="551">
        <f t="shared" si="1"/>
        <v>0</v>
      </c>
      <c r="V34" s="551">
        <f t="shared" si="2"/>
        <v>12000</v>
      </c>
      <c r="W34" s="457"/>
    </row>
    <row r="35" spans="1:23">
      <c r="A35" s="457"/>
      <c r="B35" s="456">
        <v>31</v>
      </c>
      <c r="C35" s="550" t="s">
        <v>680</v>
      </c>
      <c r="D35" s="457"/>
      <c r="E35" s="457" t="s">
        <v>737</v>
      </c>
      <c r="F35" s="456" t="s">
        <v>414</v>
      </c>
      <c r="G35" s="551">
        <v>391025</v>
      </c>
      <c r="H35" s="551"/>
      <c r="I35" s="551"/>
      <c r="J35" s="556">
        <v>391025</v>
      </c>
      <c r="K35" s="561">
        <v>1</v>
      </c>
      <c r="L35" s="551">
        <f t="shared" si="0"/>
        <v>391025</v>
      </c>
      <c r="M35" s="551">
        <f>'Cước ô tô'!Y39</f>
        <v>0</v>
      </c>
      <c r="N35" s="551">
        <f>'Cước ô tô mới'!AO81</f>
        <v>0</v>
      </c>
      <c r="O35" s="551">
        <f>'Cước sông'!P36</f>
        <v>0</v>
      </c>
      <c r="P35" s="551">
        <v>0</v>
      </c>
      <c r="Q35" s="551"/>
      <c r="R35" s="551"/>
      <c r="S35" s="551">
        <v>0</v>
      </c>
      <c r="T35" s="551"/>
      <c r="U35" s="551">
        <f t="shared" si="1"/>
        <v>0</v>
      </c>
      <c r="V35" s="551">
        <f t="shared" si="2"/>
        <v>391025</v>
      </c>
      <c r="W35" s="457"/>
    </row>
    <row r="36" spans="1:23">
      <c r="A36" s="457"/>
      <c r="B36" s="456">
        <v>32</v>
      </c>
      <c r="C36" s="550" t="s">
        <v>639</v>
      </c>
      <c r="D36" s="457"/>
      <c r="E36" s="457" t="s">
        <v>738</v>
      </c>
      <c r="F36" s="456" t="s">
        <v>720</v>
      </c>
      <c r="G36" s="551">
        <v>23569</v>
      </c>
      <c r="H36" s="551"/>
      <c r="I36" s="551"/>
      <c r="J36" s="556">
        <v>23569</v>
      </c>
      <c r="K36" s="561">
        <v>1</v>
      </c>
      <c r="L36" s="551">
        <f t="shared" si="0"/>
        <v>23569</v>
      </c>
      <c r="M36" s="551">
        <f>'Cước ô tô'!Y40</f>
        <v>0</v>
      </c>
      <c r="N36" s="551">
        <f>'Cước ô tô mới'!AO82</f>
        <v>176.71798516782471</v>
      </c>
      <c r="O36" s="551">
        <f>'Cước sông'!P37</f>
        <v>0</v>
      </c>
      <c r="P36" s="551">
        <v>0</v>
      </c>
      <c r="Q36" s="551"/>
      <c r="R36" s="551"/>
      <c r="S36" s="551">
        <v>0</v>
      </c>
      <c r="T36" s="551"/>
      <c r="U36" s="551">
        <f t="shared" si="1"/>
        <v>176.71798516782471</v>
      </c>
      <c r="V36" s="551">
        <f t="shared" si="2"/>
        <v>23745.717985167823</v>
      </c>
      <c r="W36" s="457"/>
    </row>
    <row r="37" spans="1:23">
      <c r="A37" s="457"/>
      <c r="B37" s="456">
        <v>33</v>
      </c>
      <c r="C37" s="550" t="s">
        <v>628</v>
      </c>
      <c r="D37" s="457"/>
      <c r="E37" s="457" t="s">
        <v>739</v>
      </c>
      <c r="F37" s="456" t="s">
        <v>720</v>
      </c>
      <c r="G37" s="551">
        <v>22000</v>
      </c>
      <c r="H37" s="551"/>
      <c r="I37" s="551"/>
      <c r="J37" s="556">
        <v>22000</v>
      </c>
      <c r="K37" s="561">
        <v>1</v>
      </c>
      <c r="L37" s="551">
        <f t="shared" si="0"/>
        <v>22000</v>
      </c>
      <c r="M37" s="551">
        <f>'Cước ô tô'!Y41</f>
        <v>0</v>
      </c>
      <c r="N37" s="551">
        <f>'Cước ô tô mới'!AO86</f>
        <v>0</v>
      </c>
      <c r="O37" s="551">
        <f>'Cước sông'!P38</f>
        <v>0</v>
      </c>
      <c r="P37" s="551">
        <v>0</v>
      </c>
      <c r="Q37" s="551"/>
      <c r="R37" s="551"/>
      <c r="S37" s="551">
        <v>0</v>
      </c>
      <c r="T37" s="551"/>
      <c r="U37" s="551">
        <f t="shared" si="1"/>
        <v>0</v>
      </c>
      <c r="V37" s="551">
        <f t="shared" si="2"/>
        <v>22000</v>
      </c>
      <c r="W37" s="457"/>
    </row>
    <row r="38" spans="1:23">
      <c r="A38" s="457"/>
      <c r="B38" s="456">
        <v>34</v>
      </c>
      <c r="C38" s="550" t="s">
        <v>632</v>
      </c>
      <c r="D38" s="457"/>
      <c r="E38" s="457" t="s">
        <v>740</v>
      </c>
      <c r="F38" s="456" t="s">
        <v>720</v>
      </c>
      <c r="G38" s="551">
        <v>17500</v>
      </c>
      <c r="H38" s="551"/>
      <c r="I38" s="551"/>
      <c r="J38" s="565">
        <v>17500</v>
      </c>
      <c r="K38" s="561">
        <v>1</v>
      </c>
      <c r="L38" s="551">
        <f t="shared" si="0"/>
        <v>17500</v>
      </c>
      <c r="M38" s="551">
        <f>'Cước ô tô'!Y42</f>
        <v>0</v>
      </c>
      <c r="N38" s="551">
        <f>'Cước ô tô mới'!AO87</f>
        <v>87.694379947149983</v>
      </c>
      <c r="O38" s="551">
        <f>'Cước sông'!P39</f>
        <v>0</v>
      </c>
      <c r="P38" s="551">
        <v>0</v>
      </c>
      <c r="Q38" s="551"/>
      <c r="R38" s="551"/>
      <c r="S38" s="551">
        <v>0</v>
      </c>
      <c r="T38" s="551"/>
      <c r="U38" s="551">
        <f t="shared" si="1"/>
        <v>87.694379947149983</v>
      </c>
      <c r="V38" s="551">
        <f t="shared" si="2"/>
        <v>17587.694379947148</v>
      </c>
      <c r="W38" s="457"/>
    </row>
    <row r="39" spans="1:23">
      <c r="A39" s="457"/>
      <c r="B39" s="456">
        <v>35</v>
      </c>
      <c r="C39" s="550" t="s">
        <v>664</v>
      </c>
      <c r="D39" s="457"/>
      <c r="E39" s="457" t="s">
        <v>741</v>
      </c>
      <c r="F39" s="456" t="s">
        <v>720</v>
      </c>
      <c r="G39" s="551">
        <v>17500</v>
      </c>
      <c r="H39" s="551"/>
      <c r="I39" s="551"/>
      <c r="J39" s="565">
        <v>17500</v>
      </c>
      <c r="K39" s="561">
        <v>1</v>
      </c>
      <c r="L39" s="551">
        <f t="shared" si="0"/>
        <v>17500</v>
      </c>
      <c r="M39" s="551">
        <f>'Cước ô tô'!Y43</f>
        <v>0</v>
      </c>
      <c r="N39" s="551">
        <f>'Cước ô tô mới'!AO90</f>
        <v>87.694379947149983</v>
      </c>
      <c r="O39" s="551">
        <f>'Cước sông'!P40</f>
        <v>0</v>
      </c>
      <c r="P39" s="551">
        <v>0</v>
      </c>
      <c r="Q39" s="551"/>
      <c r="R39" s="551"/>
      <c r="S39" s="551">
        <v>0</v>
      </c>
      <c r="T39" s="551"/>
      <c r="U39" s="551">
        <f t="shared" si="1"/>
        <v>87.694379947149983</v>
      </c>
      <c r="V39" s="551">
        <f t="shared" si="2"/>
        <v>17587.694379947148</v>
      </c>
      <c r="W39" s="457"/>
    </row>
    <row r="40" spans="1:23">
      <c r="A40" s="457"/>
      <c r="B40" s="456">
        <v>36</v>
      </c>
      <c r="C40" s="550" t="s">
        <v>627</v>
      </c>
      <c r="D40" s="457"/>
      <c r="E40" s="457" t="s">
        <v>742</v>
      </c>
      <c r="F40" s="456" t="s">
        <v>720</v>
      </c>
      <c r="G40" s="551">
        <v>17500</v>
      </c>
      <c r="H40" s="551"/>
      <c r="I40" s="551"/>
      <c r="J40" s="565">
        <v>17500</v>
      </c>
      <c r="K40" s="561">
        <v>1</v>
      </c>
      <c r="L40" s="551">
        <f t="shared" si="0"/>
        <v>17500</v>
      </c>
      <c r="M40" s="551">
        <f>'Cước ô tô'!Y44</f>
        <v>0</v>
      </c>
      <c r="N40" s="551">
        <f>'Cước ô tô mới'!AO93</f>
        <v>87.694379947149983</v>
      </c>
      <c r="O40" s="551">
        <f>'Cước sông'!P41</f>
        <v>0</v>
      </c>
      <c r="P40" s="551">
        <v>0</v>
      </c>
      <c r="Q40" s="551"/>
      <c r="R40" s="551"/>
      <c r="S40" s="551">
        <v>0</v>
      </c>
      <c r="T40" s="551"/>
      <c r="U40" s="551">
        <f t="shared" si="1"/>
        <v>87.694379947149983</v>
      </c>
      <c r="V40" s="551">
        <f t="shared" si="2"/>
        <v>17587.694379947148</v>
      </c>
      <c r="W40" s="457"/>
    </row>
    <row r="41" spans="1:23">
      <c r="A41" s="457"/>
      <c r="B41" s="456">
        <v>37</v>
      </c>
      <c r="C41" s="550" t="s">
        <v>663</v>
      </c>
      <c r="D41" s="457"/>
      <c r="E41" s="457" t="s">
        <v>743</v>
      </c>
      <c r="F41" s="456" t="s">
        <v>720</v>
      </c>
      <c r="G41" s="551">
        <v>17500</v>
      </c>
      <c r="H41" s="551"/>
      <c r="I41" s="551"/>
      <c r="J41" s="565">
        <v>17500</v>
      </c>
      <c r="K41" s="561">
        <v>1</v>
      </c>
      <c r="L41" s="551">
        <f t="shared" si="0"/>
        <v>17500</v>
      </c>
      <c r="M41" s="551">
        <f>'Cước ô tô'!Y45</f>
        <v>0</v>
      </c>
      <c r="N41" s="551">
        <f>'Cước ô tô mới'!AO96</f>
        <v>87.694379947149983</v>
      </c>
      <c r="O41" s="551">
        <f>'Cước sông'!P42</f>
        <v>0</v>
      </c>
      <c r="P41" s="551">
        <v>0</v>
      </c>
      <c r="Q41" s="551"/>
      <c r="R41" s="551"/>
      <c r="S41" s="551">
        <v>0</v>
      </c>
      <c r="T41" s="551"/>
      <c r="U41" s="551">
        <f t="shared" si="1"/>
        <v>87.694379947149983</v>
      </c>
      <c r="V41" s="551">
        <f t="shared" si="2"/>
        <v>17587.694379947148</v>
      </c>
      <c r="W41" s="457"/>
    </row>
    <row r="42" spans="1:23">
      <c r="A42" s="457"/>
      <c r="B42" s="456">
        <v>38</v>
      </c>
      <c r="C42" s="550" t="s">
        <v>666</v>
      </c>
      <c r="D42" s="457"/>
      <c r="E42" s="457" t="s">
        <v>744</v>
      </c>
      <c r="F42" s="456" t="s">
        <v>720</v>
      </c>
      <c r="G42" s="551">
        <v>17500</v>
      </c>
      <c r="H42" s="551"/>
      <c r="I42" s="551"/>
      <c r="J42" s="565">
        <v>17500</v>
      </c>
      <c r="K42" s="561">
        <v>1</v>
      </c>
      <c r="L42" s="551">
        <f t="shared" si="0"/>
        <v>17500</v>
      </c>
      <c r="M42" s="551">
        <f>'Cước ô tô'!Y46</f>
        <v>0</v>
      </c>
      <c r="N42" s="551">
        <f>'Cước ô tô mới'!AO99</f>
        <v>87.694379947149983</v>
      </c>
      <c r="O42" s="551">
        <f>'Cước sông'!P43</f>
        <v>0</v>
      </c>
      <c r="P42" s="551">
        <v>0</v>
      </c>
      <c r="Q42" s="551"/>
      <c r="R42" s="551"/>
      <c r="S42" s="551">
        <v>0</v>
      </c>
      <c r="T42" s="551"/>
      <c r="U42" s="551">
        <f t="shared" si="1"/>
        <v>87.694379947149983</v>
      </c>
      <c r="V42" s="551">
        <f t="shared" si="2"/>
        <v>17587.694379947148</v>
      </c>
      <c r="W42" s="457"/>
    </row>
    <row r="43" spans="1:23">
      <c r="A43" s="457"/>
      <c r="B43" s="456">
        <v>39</v>
      </c>
      <c r="C43" s="550" t="s">
        <v>661</v>
      </c>
      <c r="D43" s="457"/>
      <c r="E43" s="457" t="s">
        <v>745</v>
      </c>
      <c r="F43" s="456" t="s">
        <v>720</v>
      </c>
      <c r="G43" s="551">
        <v>17500</v>
      </c>
      <c r="H43" s="551"/>
      <c r="I43" s="551"/>
      <c r="J43" s="565">
        <v>17500</v>
      </c>
      <c r="K43" s="561">
        <v>1</v>
      </c>
      <c r="L43" s="551">
        <f t="shared" si="0"/>
        <v>17500</v>
      </c>
      <c r="M43" s="551">
        <f>'Cước ô tô'!Y47</f>
        <v>0</v>
      </c>
      <c r="N43" s="551">
        <f>'Cước ô tô mới'!AO102</f>
        <v>87.694379947149983</v>
      </c>
      <c r="O43" s="551">
        <f>'Cước sông'!P44</f>
        <v>0</v>
      </c>
      <c r="P43" s="551">
        <v>0</v>
      </c>
      <c r="Q43" s="551"/>
      <c r="R43" s="551"/>
      <c r="S43" s="551">
        <v>0</v>
      </c>
      <c r="T43" s="551"/>
      <c r="U43" s="551">
        <f t="shared" si="1"/>
        <v>87.694379947149983</v>
      </c>
      <c r="V43" s="551">
        <f t="shared" si="2"/>
        <v>17587.694379947148</v>
      </c>
      <c r="W43" s="457"/>
    </row>
    <row r="44" spans="1:23">
      <c r="A44" s="457"/>
      <c r="B44" s="456">
        <v>40</v>
      </c>
      <c r="C44" s="550" t="s">
        <v>670</v>
      </c>
      <c r="D44" s="457"/>
      <c r="E44" s="457" t="s">
        <v>746</v>
      </c>
      <c r="F44" s="456" t="s">
        <v>720</v>
      </c>
      <c r="G44" s="556">
        <v>1280</v>
      </c>
      <c r="H44" s="551"/>
      <c r="I44" s="551"/>
      <c r="J44" s="562">
        <v>1550</v>
      </c>
      <c r="K44" s="561">
        <v>1</v>
      </c>
      <c r="L44" s="551">
        <f t="shared" si="0"/>
        <v>1550</v>
      </c>
      <c r="M44" s="551">
        <f>'Cước ô tô'!Y48</f>
        <v>0</v>
      </c>
      <c r="N44" s="551">
        <f>'Cước ô tô mới'!AO105</f>
        <v>130</v>
      </c>
      <c r="O44" s="551">
        <f>'Cước sông'!P45</f>
        <v>0</v>
      </c>
      <c r="P44" s="551">
        <v>0</v>
      </c>
      <c r="Q44" s="551"/>
      <c r="R44" s="551"/>
      <c r="S44" s="551">
        <v>0</v>
      </c>
      <c r="T44" s="551"/>
      <c r="U44" s="551">
        <f t="shared" si="1"/>
        <v>130</v>
      </c>
      <c r="V44" s="551">
        <f t="shared" si="2"/>
        <v>1680</v>
      </c>
      <c r="W44" s="457"/>
    </row>
    <row r="45" spans="1:23">
      <c r="A45" s="457"/>
      <c r="B45" s="456">
        <v>41</v>
      </c>
      <c r="C45" s="550" t="s">
        <v>614</v>
      </c>
      <c r="D45" s="457"/>
      <c r="E45" s="457" t="s">
        <v>747</v>
      </c>
      <c r="F45" s="456" t="s">
        <v>720</v>
      </c>
      <c r="G45" s="556">
        <v>1350</v>
      </c>
      <c r="H45" s="551"/>
      <c r="I45" s="551"/>
      <c r="J45" s="562">
        <v>1600</v>
      </c>
      <c r="K45" s="561">
        <v>1</v>
      </c>
      <c r="L45" s="551">
        <f t="shared" si="0"/>
        <v>1600</v>
      </c>
      <c r="M45" s="551">
        <f>'Cước ô tô'!Y49</f>
        <v>0</v>
      </c>
      <c r="N45" s="551">
        <f>'Cước ô tô mới'!AO109</f>
        <v>130</v>
      </c>
      <c r="O45" s="551">
        <f>'Cước sông'!P46</f>
        <v>0</v>
      </c>
      <c r="P45" s="551">
        <v>0</v>
      </c>
      <c r="Q45" s="551"/>
      <c r="R45" s="551"/>
      <c r="S45" s="551">
        <v>0</v>
      </c>
      <c r="T45" s="551"/>
      <c r="U45" s="551">
        <f t="shared" si="1"/>
        <v>130</v>
      </c>
      <c r="V45" s="551">
        <f t="shared" si="2"/>
        <v>1730</v>
      </c>
      <c r="W45" s="457"/>
    </row>
    <row r="46" spans="1:23">
      <c r="A46" s="457"/>
      <c r="B46" s="456">
        <v>42</v>
      </c>
      <c r="C46" s="550" t="s">
        <v>648</v>
      </c>
      <c r="D46" s="457"/>
      <c r="E46" s="457" t="s">
        <v>748</v>
      </c>
      <c r="F46" s="456" t="s">
        <v>356</v>
      </c>
      <c r="G46" s="551">
        <v>135000</v>
      </c>
      <c r="H46" s="551"/>
      <c r="I46" s="551"/>
      <c r="J46" s="562">
        <v>210000</v>
      </c>
      <c r="K46" s="561">
        <v>1</v>
      </c>
      <c r="L46" s="551">
        <f t="shared" si="0"/>
        <v>210000</v>
      </c>
      <c r="M46" s="551">
        <f>'Cước ô tô'!Y50</f>
        <v>0</v>
      </c>
      <c r="N46" s="551">
        <f>'Cước ô tô mới'!AO113</f>
        <v>70458.054755871271</v>
      </c>
      <c r="O46" s="551">
        <f>'Cước sông'!P47</f>
        <v>0</v>
      </c>
      <c r="P46" s="551">
        <v>0</v>
      </c>
      <c r="Q46" s="551"/>
      <c r="R46" s="551"/>
      <c r="S46" s="551">
        <v>0</v>
      </c>
      <c r="T46" s="551"/>
      <c r="U46" s="551">
        <f t="shared" si="1"/>
        <v>70458.054755871271</v>
      </c>
      <c r="V46" s="551">
        <f t="shared" si="2"/>
        <v>280458.0547558713</v>
      </c>
      <c r="W46" s="457"/>
    </row>
    <row r="47" spans="1:23">
      <c r="A47" s="457"/>
      <c r="B47" s="456">
        <v>43</v>
      </c>
      <c r="C47" s="550" t="s">
        <v>649</v>
      </c>
      <c r="D47" s="457"/>
      <c r="E47" s="457" t="s">
        <v>749</v>
      </c>
      <c r="F47" s="456" t="s">
        <v>356</v>
      </c>
      <c r="G47" s="551">
        <v>160000</v>
      </c>
      <c r="H47" s="551"/>
      <c r="I47" s="551"/>
      <c r="J47" s="562">
        <v>210000</v>
      </c>
      <c r="K47" s="561">
        <v>1</v>
      </c>
      <c r="L47" s="551">
        <f t="shared" si="0"/>
        <v>210000</v>
      </c>
      <c r="M47" s="551">
        <f>'Cước ô tô'!Y51</f>
        <v>0</v>
      </c>
      <c r="N47" s="551">
        <f>'Cước ô tô mới'!AO115</f>
        <v>70458.054755871271</v>
      </c>
      <c r="O47" s="551">
        <f>'Cước sông'!P48</f>
        <v>0</v>
      </c>
      <c r="P47" s="551">
        <v>0</v>
      </c>
      <c r="Q47" s="551"/>
      <c r="R47" s="551"/>
      <c r="S47" s="551">
        <v>0</v>
      </c>
      <c r="T47" s="551"/>
      <c r="U47" s="551">
        <f t="shared" si="1"/>
        <v>70458.054755871271</v>
      </c>
      <c r="V47" s="551">
        <f t="shared" si="2"/>
        <v>280458.0547558713</v>
      </c>
      <c r="W47" s="457"/>
    </row>
    <row r="48" spans="1:23">
      <c r="A48" s="457"/>
      <c r="B48" s="456">
        <v>44</v>
      </c>
      <c r="C48" s="550" t="s">
        <v>650</v>
      </c>
      <c r="D48" s="457"/>
      <c r="E48" s="457" t="s">
        <v>750</v>
      </c>
      <c r="F48" s="456" t="s">
        <v>356</v>
      </c>
      <c r="G48" s="551">
        <v>160000</v>
      </c>
      <c r="H48" s="551"/>
      <c r="I48" s="551"/>
      <c r="J48" s="562">
        <v>210000</v>
      </c>
      <c r="K48" s="561">
        <v>1</v>
      </c>
      <c r="L48" s="551">
        <f t="shared" si="0"/>
        <v>210000</v>
      </c>
      <c r="M48" s="551">
        <f>'Cước ô tô'!Y52</f>
        <v>0</v>
      </c>
      <c r="N48" s="551">
        <f>'Cước ô tô mới'!AO117</f>
        <v>70458.054755871271</v>
      </c>
      <c r="O48" s="551">
        <f>'Cước sông'!P49</f>
        <v>0</v>
      </c>
      <c r="P48" s="551">
        <v>0</v>
      </c>
      <c r="Q48" s="551"/>
      <c r="R48" s="551"/>
      <c r="S48" s="551">
        <v>0</v>
      </c>
      <c r="T48" s="551"/>
      <c r="U48" s="551">
        <f t="shared" si="1"/>
        <v>70458.054755871271</v>
      </c>
      <c r="V48" s="551">
        <f t="shared" si="2"/>
        <v>280458.0547558713</v>
      </c>
      <c r="W48" s="457"/>
    </row>
    <row r="49" spans="1:23">
      <c r="A49" s="513"/>
      <c r="B49" s="512">
        <v>45</v>
      </c>
      <c r="C49" s="557" t="s">
        <v>655</v>
      </c>
      <c r="D49" s="513"/>
      <c r="E49" s="513" t="s">
        <v>751</v>
      </c>
      <c r="F49" s="512" t="s">
        <v>752</v>
      </c>
      <c r="G49" s="558">
        <v>1150</v>
      </c>
      <c r="H49" s="558"/>
      <c r="I49" s="558"/>
      <c r="J49" s="566">
        <v>1150</v>
      </c>
      <c r="K49" s="567">
        <v>1</v>
      </c>
      <c r="L49" s="558">
        <f t="shared" si="0"/>
        <v>1150</v>
      </c>
      <c r="M49" s="558">
        <f>'Cước ô tô'!Y53</f>
        <v>0</v>
      </c>
      <c r="N49" s="558">
        <f>'Cước ô tô mới'!AO119</f>
        <v>356.57737881117572</v>
      </c>
      <c r="O49" s="558">
        <f>'Cước sông'!P50</f>
        <v>0</v>
      </c>
      <c r="P49" s="558">
        <v>0</v>
      </c>
      <c r="Q49" s="558"/>
      <c r="R49" s="558"/>
      <c r="S49" s="558">
        <v>0</v>
      </c>
      <c r="T49" s="558"/>
      <c r="U49" s="558">
        <f t="shared" si="1"/>
        <v>356.57737881117572</v>
      </c>
      <c r="V49" s="558">
        <f t="shared" si="2"/>
        <v>1506.5773788111758</v>
      </c>
      <c r="W49" s="513"/>
    </row>
  </sheetData>
  <mergeCells count="3">
    <mergeCell ref="B1:V1"/>
    <mergeCell ref="B2:V2"/>
    <mergeCell ref="B3:V3"/>
  </mergeCells>
  <conditionalFormatting sqref="G5:G49">
    <cfRule type="cellIs" dxfId="13" priority="3" stopIfTrue="1" operator="equal">
      <formula>0</formula>
    </cfRule>
  </conditionalFormatting>
  <conditionalFormatting sqref="H20:I20">
    <cfRule type="cellIs" dxfId="12" priority="6" stopIfTrue="1" operator="equal">
      <formula>0</formula>
    </cfRule>
  </conditionalFormatting>
  <conditionalFormatting sqref="J5:J49">
    <cfRule type="cellIs" dxfId="11" priority="1" stopIfTrue="1" operator="equal">
      <formula>0</formula>
    </cfRule>
  </conditionalFormatting>
  <conditionalFormatting sqref="K5:K50">
    <cfRule type="cellIs" dxfId="10" priority="5" stopIfTrue="1" operator="equal">
      <formula>1</formula>
    </cfRule>
  </conditionalFormatting>
  <printOptions horizontalCentered="1"/>
  <pageMargins left="0.5" right="0.35" top="0.79" bottom="0.79" header="0.3" footer="0.3"/>
  <pageSetup paperSize="9" orientation="landscape" useFirstPageNumber="1"/>
  <headerFooter>
    <oddFooter>&amp;CTrang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AH247"/>
  <sheetViews>
    <sheetView showZeros="0" topLeftCell="B1" workbookViewId="0">
      <selection activeCell="K252" sqref="K252"/>
    </sheetView>
  </sheetViews>
  <sheetFormatPr defaultColWidth="9.21875" defaultRowHeight="13.8"/>
  <cols>
    <col min="1" max="1" width="6.44140625" style="146" hidden="1" customWidth="1"/>
    <col min="2" max="2" width="4.44140625" style="146" customWidth="1"/>
    <col min="3" max="3" width="8.44140625" style="146" customWidth="1"/>
    <col min="4" max="4" width="10.44140625" style="146" customWidth="1"/>
    <col min="5" max="5" width="43.44140625" style="146" customWidth="1"/>
    <col min="6" max="6" width="9.44140625" style="146" customWidth="1"/>
    <col min="7" max="7" width="12.44140625" style="146" customWidth="1"/>
    <col min="8" max="8" width="10" style="146" customWidth="1"/>
    <col min="9" max="9" width="9.21875" style="146" customWidth="1"/>
    <col min="10" max="11" width="12.44140625" style="146" customWidth="1"/>
    <col min="12" max="12" width="13.44140625" style="146" customWidth="1"/>
    <col min="13" max="13" width="9.44140625" style="146" customWidth="1"/>
    <col min="14" max="16" width="12.44140625" style="146" customWidth="1"/>
    <col min="17" max="17" width="9.44140625" style="146" customWidth="1"/>
    <col min="18" max="18" width="12.44140625" style="146" customWidth="1"/>
    <col min="19" max="19" width="11.44140625" style="146" customWidth="1"/>
    <col min="20" max="20" width="11.77734375" style="146" customWidth="1"/>
    <col min="21" max="21" width="13.44140625" style="146" customWidth="1"/>
    <col min="22" max="22" width="9.77734375" style="146" customWidth="1"/>
    <col min="23" max="23" width="12.21875" style="146" customWidth="1"/>
    <col min="24" max="24" width="12.44140625" style="146" customWidth="1"/>
    <col min="25" max="25" width="11.44140625" style="146" customWidth="1"/>
    <col min="26" max="27" width="12.44140625" style="146" customWidth="1"/>
    <col min="28" max="34" width="9.21875" style="146" hidden="1" customWidth="1"/>
    <col min="35" max="16384" width="9.21875" style="146"/>
  </cols>
  <sheetData>
    <row r="1" spans="1:27" ht="17.399999999999999">
      <c r="A1" s="935" t="s">
        <v>753</v>
      </c>
      <c r="B1" s="935" t="s">
        <v>753</v>
      </c>
      <c r="C1" s="935" t="s">
        <v>753</v>
      </c>
      <c r="D1" s="935" t="s">
        <v>753</v>
      </c>
      <c r="E1" s="935" t="s">
        <v>753</v>
      </c>
      <c r="F1" s="935" t="s">
        <v>753</v>
      </c>
      <c r="G1" s="935" t="s">
        <v>753</v>
      </c>
      <c r="H1" s="935" t="s">
        <v>753</v>
      </c>
      <c r="I1" s="935" t="s">
        <v>753</v>
      </c>
      <c r="J1" s="935" t="s">
        <v>753</v>
      </c>
      <c r="K1" s="935" t="s">
        <v>753</v>
      </c>
      <c r="L1" s="935" t="s">
        <v>753</v>
      </c>
      <c r="M1" s="935" t="s">
        <v>753</v>
      </c>
      <c r="N1" s="935" t="s">
        <v>753</v>
      </c>
      <c r="O1" s="935" t="s">
        <v>753</v>
      </c>
      <c r="P1" s="935" t="s">
        <v>753</v>
      </c>
      <c r="Q1" s="935" t="s">
        <v>753</v>
      </c>
      <c r="R1" s="935" t="s">
        <v>753</v>
      </c>
      <c r="S1" s="935" t="s">
        <v>753</v>
      </c>
      <c r="T1" s="935" t="s">
        <v>753</v>
      </c>
      <c r="U1" s="935" t="s">
        <v>753</v>
      </c>
      <c r="V1" s="935" t="s">
        <v>753</v>
      </c>
      <c r="W1" s="935" t="s">
        <v>753</v>
      </c>
      <c r="X1" s="935" t="s">
        <v>753</v>
      </c>
      <c r="Y1" s="935" t="s">
        <v>753</v>
      </c>
      <c r="Z1" s="935" t="s">
        <v>753</v>
      </c>
      <c r="AA1" s="935" t="s">
        <v>753</v>
      </c>
    </row>
    <row r="2" spans="1:27">
      <c r="A2" s="936" t="s">
        <v>254</v>
      </c>
      <c r="B2" s="937" t="s">
        <v>254</v>
      </c>
      <c r="C2" s="937" t="s">
        <v>254</v>
      </c>
      <c r="D2" s="937" t="s">
        <v>254</v>
      </c>
      <c r="E2" s="937" t="s">
        <v>254</v>
      </c>
      <c r="F2" s="937" t="s">
        <v>254</v>
      </c>
      <c r="G2" s="937" t="s">
        <v>254</v>
      </c>
      <c r="H2" s="937" t="s">
        <v>254</v>
      </c>
      <c r="I2" s="937" t="s">
        <v>254</v>
      </c>
      <c r="J2" s="937" t="s">
        <v>254</v>
      </c>
      <c r="K2" s="937" t="s">
        <v>254</v>
      </c>
      <c r="L2" s="937" t="s">
        <v>254</v>
      </c>
      <c r="M2" s="937" t="s">
        <v>254</v>
      </c>
      <c r="N2" s="937" t="s">
        <v>254</v>
      </c>
      <c r="O2" s="937" t="s">
        <v>254</v>
      </c>
      <c r="P2" s="937" t="s">
        <v>254</v>
      </c>
      <c r="Q2" s="937" t="s">
        <v>254</v>
      </c>
      <c r="R2" s="937" t="s">
        <v>254</v>
      </c>
      <c r="S2" s="937" t="s">
        <v>254</v>
      </c>
      <c r="T2" s="937" t="s">
        <v>254</v>
      </c>
      <c r="U2" s="937" t="s">
        <v>254</v>
      </c>
      <c r="V2" s="937" t="s">
        <v>254</v>
      </c>
      <c r="W2" s="937" t="s">
        <v>254</v>
      </c>
      <c r="X2" s="937" t="s">
        <v>254</v>
      </c>
      <c r="Y2" s="937" t="s">
        <v>254</v>
      </c>
      <c r="Z2" s="937" t="s">
        <v>254</v>
      </c>
      <c r="AA2" s="937" t="s">
        <v>254</v>
      </c>
    </row>
    <row r="3" spans="1:27">
      <c r="A3" s="938" t="s">
        <v>302</v>
      </c>
      <c r="B3" s="938" t="s">
        <v>302</v>
      </c>
      <c r="C3" s="938" t="s">
        <v>302</v>
      </c>
      <c r="D3" s="938" t="s">
        <v>302</v>
      </c>
      <c r="E3" s="938" t="s">
        <v>302</v>
      </c>
      <c r="F3" s="938" t="s">
        <v>302</v>
      </c>
      <c r="G3" s="938" t="s">
        <v>302</v>
      </c>
      <c r="H3" s="938" t="s">
        <v>302</v>
      </c>
      <c r="I3" s="938" t="s">
        <v>302</v>
      </c>
      <c r="J3" s="938" t="s">
        <v>302</v>
      </c>
      <c r="K3" s="938" t="s">
        <v>302</v>
      </c>
      <c r="L3" s="938" t="s">
        <v>302</v>
      </c>
      <c r="M3" s="938" t="s">
        <v>302</v>
      </c>
      <c r="N3" s="938" t="s">
        <v>302</v>
      </c>
      <c r="O3" s="938" t="s">
        <v>302</v>
      </c>
      <c r="P3" s="938" t="s">
        <v>302</v>
      </c>
      <c r="Q3" s="938" t="s">
        <v>302</v>
      </c>
      <c r="R3" s="938" t="s">
        <v>302</v>
      </c>
      <c r="S3" s="938" t="s">
        <v>302</v>
      </c>
      <c r="T3" s="938" t="s">
        <v>302</v>
      </c>
      <c r="U3" s="938" t="s">
        <v>302</v>
      </c>
      <c r="V3" s="938" t="s">
        <v>302</v>
      </c>
      <c r="W3" s="938" t="s">
        <v>302</v>
      </c>
      <c r="X3" s="938" t="s">
        <v>302</v>
      </c>
      <c r="Y3" s="938" t="s">
        <v>302</v>
      </c>
      <c r="Z3" s="938" t="s">
        <v>302</v>
      </c>
      <c r="AA3" s="938" t="s">
        <v>302</v>
      </c>
    </row>
    <row r="4" spans="1:27">
      <c r="A4" s="411"/>
      <c r="B4" s="934" t="s">
        <v>5</v>
      </c>
      <c r="C4" s="934" t="s">
        <v>592</v>
      </c>
      <c r="D4" s="205"/>
      <c r="E4" s="934" t="s">
        <v>754</v>
      </c>
      <c r="F4" s="934" t="s">
        <v>594</v>
      </c>
      <c r="G4" s="934" t="s">
        <v>755</v>
      </c>
      <c r="H4" s="934" t="s">
        <v>595</v>
      </c>
      <c r="I4" s="934" t="s">
        <v>596</v>
      </c>
      <c r="J4" s="934" t="s">
        <v>756</v>
      </c>
      <c r="K4" s="934" t="s">
        <v>687</v>
      </c>
      <c r="L4" s="934" t="s">
        <v>261</v>
      </c>
      <c r="M4" s="934" t="s">
        <v>688</v>
      </c>
      <c r="N4" s="934" t="s">
        <v>261</v>
      </c>
      <c r="O4" s="934" t="s">
        <v>757</v>
      </c>
      <c r="P4" s="934" t="s">
        <v>261</v>
      </c>
      <c r="Q4" s="934" t="s">
        <v>596</v>
      </c>
      <c r="R4" s="934" t="s">
        <v>689</v>
      </c>
      <c r="S4" s="934" t="s">
        <v>261</v>
      </c>
      <c r="T4" s="934" t="s">
        <v>757</v>
      </c>
      <c r="U4" s="934" t="s">
        <v>261</v>
      </c>
      <c r="V4" s="934" t="s">
        <v>758</v>
      </c>
      <c r="W4" s="934" t="s">
        <v>261</v>
      </c>
      <c r="X4" s="934" t="s">
        <v>697</v>
      </c>
      <c r="Y4" s="934" t="s">
        <v>261</v>
      </c>
      <c r="Z4" s="934" t="s">
        <v>757</v>
      </c>
      <c r="AA4" s="934" t="s">
        <v>261</v>
      </c>
    </row>
    <row r="5" spans="1:27" ht="7.35" customHeight="1">
      <c r="A5" s="411"/>
      <c r="B5" s="934"/>
      <c r="C5" s="934"/>
      <c r="D5" s="205"/>
      <c r="E5" s="934"/>
      <c r="F5" s="934"/>
      <c r="G5" s="934" t="s">
        <v>755</v>
      </c>
      <c r="H5" s="934" t="s">
        <v>595</v>
      </c>
      <c r="I5" s="934" t="s">
        <v>596</v>
      </c>
      <c r="J5" s="934" t="s">
        <v>756</v>
      </c>
      <c r="K5" s="934"/>
      <c r="L5" s="934"/>
      <c r="M5" s="934"/>
      <c r="N5" s="934"/>
      <c r="O5" s="934"/>
      <c r="P5" s="934"/>
      <c r="Q5" s="934"/>
      <c r="R5" s="934"/>
      <c r="S5" s="934"/>
      <c r="T5" s="934"/>
      <c r="U5" s="934"/>
      <c r="V5" s="934"/>
      <c r="W5" s="934"/>
      <c r="X5" s="934"/>
      <c r="Y5" s="934"/>
      <c r="Z5" s="934"/>
      <c r="AA5" s="934"/>
    </row>
    <row r="6" spans="1:27">
      <c r="A6" s="234" t="s">
        <v>759</v>
      </c>
      <c r="B6" s="256">
        <v>1</v>
      </c>
      <c r="C6" s="669" t="s">
        <v>667</v>
      </c>
      <c r="D6" s="234"/>
      <c r="E6" s="257" t="str">
        <f>'Giá VL'!E5</f>
        <v>Ống bê tông D300mm, L=1m</v>
      </c>
      <c r="F6" s="256" t="str">
        <f>'Giá VL'!F5</f>
        <v>đoạn</v>
      </c>
      <c r="G6" s="259"/>
      <c r="H6" s="259"/>
      <c r="I6" s="259"/>
      <c r="J6" s="259">
        <f>SUM(J7:J7)</f>
        <v>38</v>
      </c>
      <c r="K6" s="418">
        <f>'Giá VL'!G5</f>
        <v>330750</v>
      </c>
      <c r="L6" s="418">
        <f>J6*K6</f>
        <v>12568500</v>
      </c>
      <c r="M6" s="418">
        <f>'Giá VL'!J5</f>
        <v>330750</v>
      </c>
      <c r="N6" s="418">
        <f>J6*M6</f>
        <v>12568500</v>
      </c>
      <c r="O6" s="539">
        <f>M6-K6</f>
        <v>0</v>
      </c>
      <c r="P6" s="418">
        <f>J6*O6</f>
        <v>0</v>
      </c>
      <c r="Q6" s="259">
        <v>1</v>
      </c>
      <c r="R6" s="418">
        <f>M6*Q6</f>
        <v>330750</v>
      </c>
      <c r="S6" s="418">
        <f>J6*R6</f>
        <v>12568500</v>
      </c>
      <c r="T6" s="539">
        <v>0</v>
      </c>
      <c r="U6" s="418">
        <v>0</v>
      </c>
      <c r="V6" s="418">
        <v>9643.3293270820304</v>
      </c>
      <c r="W6" s="418">
        <v>366446.51442911703</v>
      </c>
      <c r="X6" s="418">
        <f>'Giá VL'!V5</f>
        <v>341623.5540532028</v>
      </c>
      <c r="Y6" s="418">
        <f>J6*X6</f>
        <v>12981695.054021707</v>
      </c>
      <c r="Z6" s="418">
        <f>X6-K6</f>
        <v>10873.554053202795</v>
      </c>
      <c r="AA6" s="418">
        <f>J6*Z6</f>
        <v>413195.05402170622</v>
      </c>
    </row>
    <row r="7" spans="1:27" s="410" customFormat="1" ht="27.6">
      <c r="A7" s="413"/>
      <c r="B7" s="414"/>
      <c r="C7" s="413" t="str">
        <f>'5.Tiên lượng'!C146</f>
        <v>BB.11112</v>
      </c>
      <c r="D7" s="413"/>
      <c r="E7" s="415" t="str">
        <f>'5.Tiên lượng'!D146</f>
        <v xml:space="preserve">Lắp đặt ống bê tông bằng thủ công, đoạn ống dài 1m - Đường kính 300mm </v>
      </c>
      <c r="F7" s="414" t="str">
        <f>'5.Tiên lượng'!E146</f>
        <v>1 đoạn ống</v>
      </c>
      <c r="G7" s="419">
        <f>'5.Tiên lượng'!M146</f>
        <v>38</v>
      </c>
      <c r="H7" s="419">
        <f>PTVT!G567</f>
        <v>1</v>
      </c>
      <c r="I7" s="419">
        <f>'5.Tiên lượng'!V146</f>
        <v>1</v>
      </c>
      <c r="J7" s="419">
        <f>PRODUCT(G7,H7,I7)</f>
        <v>38</v>
      </c>
      <c r="K7" s="420"/>
      <c r="L7" s="420"/>
      <c r="M7" s="420"/>
      <c r="N7" s="420"/>
      <c r="O7" s="420"/>
      <c r="P7" s="420"/>
      <c r="Q7" s="419"/>
      <c r="R7" s="420"/>
      <c r="S7" s="420"/>
      <c r="T7" s="420"/>
      <c r="U7" s="420"/>
      <c r="V7" s="420"/>
      <c r="W7" s="420"/>
      <c r="X7" s="420"/>
      <c r="Y7" s="420"/>
      <c r="Z7" s="420"/>
      <c r="AA7" s="420"/>
    </row>
    <row r="8" spans="1:27">
      <c r="A8" s="246" t="s">
        <v>759</v>
      </c>
      <c r="B8" s="265">
        <v>2</v>
      </c>
      <c r="C8" s="670" t="s">
        <v>669</v>
      </c>
      <c r="D8" s="246"/>
      <c r="E8" s="266" t="str">
        <f>'Giá VL'!E6</f>
        <v>Ống bê tông D300mm, L=2m</v>
      </c>
      <c r="F8" s="265" t="str">
        <f>'Giá VL'!F6</f>
        <v>đoạn</v>
      </c>
      <c r="G8" s="268"/>
      <c r="H8" s="268"/>
      <c r="I8" s="268"/>
      <c r="J8" s="268">
        <f>SUM(J9:J9)</f>
        <v>74</v>
      </c>
      <c r="K8" s="421">
        <f>'Giá VL'!G6</f>
        <v>661500</v>
      </c>
      <c r="L8" s="421">
        <f>J8*K8</f>
        <v>48951000</v>
      </c>
      <c r="M8" s="421">
        <f>'Giá VL'!J6</f>
        <v>661500</v>
      </c>
      <c r="N8" s="421">
        <f>J8*M8</f>
        <v>48951000</v>
      </c>
      <c r="O8" s="540">
        <f>M8-K8</f>
        <v>0</v>
      </c>
      <c r="P8" s="421">
        <f>J8*O8</f>
        <v>0</v>
      </c>
      <c r="Q8" s="268">
        <v>1</v>
      </c>
      <c r="R8" s="421">
        <f>M8*Q8</f>
        <v>661500</v>
      </c>
      <c r="S8" s="421">
        <f>J8*R8</f>
        <v>48951000</v>
      </c>
      <c r="T8" s="540">
        <v>0</v>
      </c>
      <c r="U8" s="421">
        <v>0</v>
      </c>
      <c r="V8" s="421">
        <v>19286.658654164999</v>
      </c>
      <c r="W8" s="421">
        <v>1427212.7404082101</v>
      </c>
      <c r="X8" s="421">
        <f>'Giá VL'!V6</f>
        <v>683247.10810640559</v>
      </c>
      <c r="Y8" s="421">
        <f>J8*X8</f>
        <v>50560285.999874011</v>
      </c>
      <c r="Z8" s="421">
        <f>X8-K8</f>
        <v>21747.108106405591</v>
      </c>
      <c r="AA8" s="421">
        <f>J8*Z8</f>
        <v>1609285.9998740137</v>
      </c>
    </row>
    <row r="9" spans="1:27" s="410" customFormat="1" ht="27.6">
      <c r="A9" s="413"/>
      <c r="B9" s="414"/>
      <c r="C9" s="413" t="str">
        <f>'5.Tiên lượng'!C147</f>
        <v>BB.11122</v>
      </c>
      <c r="D9" s="413"/>
      <c r="E9" s="415" t="str">
        <f>'5.Tiên lượng'!D147</f>
        <v xml:space="preserve">Lắp đặt ống bê tông bằng thủ công, đoạn ống dài 2m - Đường kính 300mm </v>
      </c>
      <c r="F9" s="414" t="str">
        <f>'5.Tiên lượng'!E147</f>
        <v>1 đoạn ống</v>
      </c>
      <c r="G9" s="419">
        <f>'5.Tiên lượng'!M147</f>
        <v>74</v>
      </c>
      <c r="H9" s="419">
        <f>PTVT!G573</f>
        <v>1</v>
      </c>
      <c r="I9" s="419">
        <f>'5.Tiên lượng'!V147</f>
        <v>1</v>
      </c>
      <c r="J9" s="419">
        <f>PRODUCT(G9,H9,I9)</f>
        <v>74</v>
      </c>
      <c r="K9" s="420"/>
      <c r="L9" s="420"/>
      <c r="M9" s="420"/>
      <c r="N9" s="420"/>
      <c r="O9" s="420"/>
      <c r="P9" s="420"/>
      <c r="Q9" s="419"/>
      <c r="R9" s="420"/>
      <c r="S9" s="420"/>
      <c r="T9" s="420"/>
      <c r="U9" s="420"/>
      <c r="V9" s="420"/>
      <c r="W9" s="420"/>
      <c r="X9" s="420"/>
      <c r="Y9" s="420"/>
      <c r="Z9" s="420"/>
      <c r="AA9" s="420"/>
    </row>
    <row r="10" spans="1:27">
      <c r="A10" s="246" t="s">
        <v>759</v>
      </c>
      <c r="B10" s="265">
        <v>3</v>
      </c>
      <c r="C10" s="670" t="s">
        <v>679</v>
      </c>
      <c r="D10" s="246" t="s">
        <v>679</v>
      </c>
      <c r="E10" s="266" t="str">
        <f>'Giá VL'!E7</f>
        <v>Ống bê tông D800mm, L=2m</v>
      </c>
      <c r="F10" s="265" t="str">
        <f>'Giá VL'!F7</f>
        <v>đoạn</v>
      </c>
      <c r="G10" s="268"/>
      <c r="H10" s="268"/>
      <c r="I10" s="268"/>
      <c r="J10" s="268">
        <f>SUM(J11:J11)</f>
        <v>1</v>
      </c>
      <c r="K10" s="421">
        <f>'Giá VL'!G7</f>
        <v>1854206</v>
      </c>
      <c r="L10" s="421">
        <f>J10*K10</f>
        <v>1854206</v>
      </c>
      <c r="M10" s="421">
        <f>'Giá VL'!J7</f>
        <v>1854206</v>
      </c>
      <c r="N10" s="421">
        <f>J10*M10</f>
        <v>1854206</v>
      </c>
      <c r="O10" s="540">
        <f>M10-K10</f>
        <v>0</v>
      </c>
      <c r="P10" s="421">
        <f>J10*O10</f>
        <v>0</v>
      </c>
      <c r="Q10" s="268">
        <v>1</v>
      </c>
      <c r="R10" s="421">
        <f>M10*Q10</f>
        <v>1854206</v>
      </c>
      <c r="S10" s="421">
        <f>J10*R10</f>
        <v>1854206</v>
      </c>
      <c r="T10" s="540">
        <v>0</v>
      </c>
      <c r="U10" s="421">
        <v>0</v>
      </c>
      <c r="V10" s="421">
        <v>100719.21741619</v>
      </c>
      <c r="W10" s="421">
        <v>100719.21741619</v>
      </c>
      <c r="X10" s="421">
        <f>'Giá VL'!V7</f>
        <v>1941194.4324256224</v>
      </c>
      <c r="Y10" s="421">
        <f>J10*X10</f>
        <v>1941194.4324256224</v>
      </c>
      <c r="Z10" s="421">
        <f>X10-K10</f>
        <v>86988.432425622363</v>
      </c>
      <c r="AA10" s="421">
        <f>J10*Z10</f>
        <v>86988.432425622363</v>
      </c>
    </row>
    <row r="11" spans="1:27" s="410" customFormat="1" ht="27.6">
      <c r="A11" s="413"/>
      <c r="B11" s="414"/>
      <c r="C11" s="413" t="str">
        <f>'5.Tiên lượng'!C184</f>
        <v>BB.11222VD</v>
      </c>
      <c r="D11" s="413"/>
      <c r="E11" s="415" t="str">
        <f>'5.Tiên lượng'!D184</f>
        <v>Lắp đặt ống bê tông bằng cần cẩu, đoạn ống dài 2m - Đường kính 800mm</v>
      </c>
      <c r="F11" s="414" t="str">
        <f>'5.Tiên lượng'!E184</f>
        <v>1 đoạn ống</v>
      </c>
      <c r="G11" s="419">
        <f>'5.Tiên lượng'!M184</f>
        <v>1</v>
      </c>
      <c r="H11" s="419">
        <f>PTVT!G729</f>
        <v>1</v>
      </c>
      <c r="I11" s="419">
        <f>'5.Tiên lượng'!V184</f>
        <v>1</v>
      </c>
      <c r="J11" s="419">
        <f>PRODUCT(G11,H11,I11)</f>
        <v>1</v>
      </c>
      <c r="K11" s="420"/>
      <c r="L11" s="420"/>
      <c r="M11" s="420"/>
      <c r="N11" s="420"/>
      <c r="O11" s="420"/>
      <c r="P11" s="420"/>
      <c r="Q11" s="419"/>
      <c r="R11" s="420"/>
      <c r="S11" s="420"/>
      <c r="T11" s="420"/>
      <c r="U11" s="420"/>
      <c r="V11" s="420"/>
      <c r="W11" s="420"/>
      <c r="X11" s="420"/>
      <c r="Y11" s="420"/>
      <c r="Z11" s="420"/>
      <c r="AA11" s="420"/>
    </row>
    <row r="12" spans="1:27">
      <c r="A12" s="246" t="s">
        <v>759</v>
      </c>
      <c r="B12" s="265">
        <v>4</v>
      </c>
      <c r="C12" s="670" t="s">
        <v>677</v>
      </c>
      <c r="D12" s="246"/>
      <c r="E12" s="266" t="str">
        <f>'Giá VL'!E8</f>
        <v>Ống bê tông D ≤600mm, L=1m</v>
      </c>
      <c r="F12" s="265" t="str">
        <f>'Giá VL'!F8</f>
        <v>đoạn</v>
      </c>
      <c r="G12" s="268"/>
      <c r="H12" s="268"/>
      <c r="I12" s="268"/>
      <c r="J12" s="268">
        <f>SUM(J13:J13)</f>
        <v>1</v>
      </c>
      <c r="K12" s="421">
        <f>'Giá VL'!G8</f>
        <v>546238</v>
      </c>
      <c r="L12" s="421">
        <f>J12*K12</f>
        <v>546238</v>
      </c>
      <c r="M12" s="421">
        <f>'Giá VL'!J8</f>
        <v>546238</v>
      </c>
      <c r="N12" s="421">
        <f>J12*M12</f>
        <v>546238</v>
      </c>
      <c r="O12" s="540">
        <f>M12-K12</f>
        <v>0</v>
      </c>
      <c r="P12" s="421">
        <f>J12*O12</f>
        <v>0</v>
      </c>
      <c r="Q12" s="268">
        <v>1</v>
      </c>
      <c r="R12" s="421">
        <f>M12*Q12</f>
        <v>546238</v>
      </c>
      <c r="S12" s="421">
        <f>J12*R12</f>
        <v>546238</v>
      </c>
      <c r="T12" s="540">
        <v>0</v>
      </c>
      <c r="U12" s="421">
        <v>0</v>
      </c>
      <c r="V12" s="421">
        <v>23242.896326814</v>
      </c>
      <c r="W12" s="421">
        <v>23242.896326814</v>
      </c>
      <c r="X12" s="421">
        <f>'Giá VL'!V8</f>
        <v>566172.84909753851</v>
      </c>
      <c r="Y12" s="421">
        <f>J12*X12</f>
        <v>566172.84909753851</v>
      </c>
      <c r="Z12" s="421">
        <f>X12-K12</f>
        <v>19934.849097538507</v>
      </c>
      <c r="AA12" s="421">
        <f>J12*Z12</f>
        <v>19934.849097538507</v>
      </c>
    </row>
    <row r="13" spans="1:27" s="410" customFormat="1" ht="27.6">
      <c r="A13" s="413"/>
      <c r="B13" s="414"/>
      <c r="C13" s="413" t="str">
        <f>'5.Tiên lượng'!C182</f>
        <v>BB.11211</v>
      </c>
      <c r="D13" s="413"/>
      <c r="E13" s="415" t="str">
        <f>'5.Tiên lượng'!D182</f>
        <v>Lắp đặt ống bê tông bằng cần cẩu, đoạn ống dài 1m - Đường kính 600mm</v>
      </c>
      <c r="F13" s="414" t="str">
        <f>'5.Tiên lượng'!E182</f>
        <v>1 đoạn ống</v>
      </c>
      <c r="G13" s="419">
        <f>'5.Tiên lượng'!M182</f>
        <v>1</v>
      </c>
      <c r="H13" s="419">
        <f>PTVT!G711</f>
        <v>1</v>
      </c>
      <c r="I13" s="419">
        <f>'5.Tiên lượng'!V182</f>
        <v>1</v>
      </c>
      <c r="J13" s="419">
        <f>PRODUCT(G13,H13,I13)</f>
        <v>1</v>
      </c>
      <c r="K13" s="420"/>
      <c r="L13" s="420"/>
      <c r="M13" s="420"/>
      <c r="N13" s="420"/>
      <c r="O13" s="420"/>
      <c r="P13" s="420"/>
      <c r="Q13" s="419"/>
      <c r="R13" s="420"/>
      <c r="S13" s="420"/>
      <c r="T13" s="420"/>
      <c r="U13" s="420"/>
      <c r="V13" s="420"/>
      <c r="W13" s="420"/>
      <c r="X13" s="420"/>
      <c r="Y13" s="420"/>
      <c r="Z13" s="420"/>
      <c r="AA13" s="420"/>
    </row>
    <row r="14" spans="1:27">
      <c r="A14" s="246" t="s">
        <v>759</v>
      </c>
      <c r="B14" s="265">
        <v>5</v>
      </c>
      <c r="C14" s="670" t="s">
        <v>677</v>
      </c>
      <c r="D14" s="246" t="s">
        <v>677</v>
      </c>
      <c r="E14" s="266" t="str">
        <f>'Giá VL'!E9</f>
        <v>Ống bê tông D400mm, L=1m</v>
      </c>
      <c r="F14" s="265" t="str">
        <f>'Giá VL'!F9</f>
        <v>đoạn</v>
      </c>
      <c r="G14" s="268"/>
      <c r="H14" s="268"/>
      <c r="I14" s="268"/>
      <c r="J14" s="268">
        <f>SUM(J15:J15)</f>
        <v>3</v>
      </c>
      <c r="K14" s="421">
        <f>'Giá VL'!G9</f>
        <v>390887</v>
      </c>
      <c r="L14" s="421">
        <f>J14*K14</f>
        <v>1172661</v>
      </c>
      <c r="M14" s="421">
        <f>'Giá VL'!J9</f>
        <v>390887</v>
      </c>
      <c r="N14" s="421">
        <f>J14*M14</f>
        <v>1172661</v>
      </c>
      <c r="O14" s="540">
        <f>M14-K14</f>
        <v>0</v>
      </c>
      <c r="P14" s="421">
        <f>J14*O14</f>
        <v>0</v>
      </c>
      <c r="Q14" s="268">
        <v>1</v>
      </c>
      <c r="R14" s="421">
        <f>M14*Q14</f>
        <v>390887</v>
      </c>
      <c r="S14" s="421">
        <f>J14*R14</f>
        <v>1172661</v>
      </c>
      <c r="T14" s="540">
        <v>0</v>
      </c>
      <c r="U14" s="421">
        <v>0</v>
      </c>
      <c r="V14" s="421">
        <v>11927.275746654001</v>
      </c>
      <c r="W14" s="421">
        <v>35781.827239962098</v>
      </c>
      <c r="X14" s="421">
        <f>'Giá VL'!V9</f>
        <v>402013.42740327725</v>
      </c>
      <c r="Y14" s="421">
        <f>J14*X14</f>
        <v>1206040.2822098318</v>
      </c>
      <c r="Z14" s="421">
        <f>X14-K14</f>
        <v>11126.427403277252</v>
      </c>
      <c r="AA14" s="421">
        <f>J14*Z14</f>
        <v>33379.282209831756</v>
      </c>
    </row>
    <row r="15" spans="1:27" s="410" customFormat="1" ht="27.6">
      <c r="A15" s="413"/>
      <c r="B15" s="414"/>
      <c r="C15" s="413" t="str">
        <f>'5.Tiên lượng'!C180</f>
        <v>BB.11211VD</v>
      </c>
      <c r="D15" s="413"/>
      <c r="E15" s="415" t="str">
        <f>'5.Tiên lượng'!D180</f>
        <v>Lắp đặt ống bê tông bằng cần cẩu, đoạn ống dài 1m - Đường kính 400mm</v>
      </c>
      <c r="F15" s="414" t="str">
        <f>'5.Tiên lượng'!E180</f>
        <v>1 đoạn ống</v>
      </c>
      <c r="G15" s="419">
        <f>'5.Tiên lượng'!M180</f>
        <v>3</v>
      </c>
      <c r="H15" s="419">
        <f>PTVT!G693</f>
        <v>1</v>
      </c>
      <c r="I15" s="419">
        <f>'5.Tiên lượng'!V180</f>
        <v>1</v>
      </c>
      <c r="J15" s="419">
        <f>PRODUCT(G15,H15,I15)</f>
        <v>3</v>
      </c>
      <c r="K15" s="420"/>
      <c r="L15" s="420"/>
      <c r="M15" s="420"/>
      <c r="N15" s="420"/>
      <c r="O15" s="420"/>
      <c r="P15" s="420"/>
      <c r="Q15" s="419"/>
      <c r="R15" s="420"/>
      <c r="S15" s="420"/>
      <c r="T15" s="420"/>
      <c r="U15" s="420"/>
      <c r="V15" s="420"/>
      <c r="W15" s="420"/>
      <c r="X15" s="420"/>
      <c r="Y15" s="420"/>
      <c r="Z15" s="420"/>
      <c r="AA15" s="420"/>
    </row>
    <row r="16" spans="1:27">
      <c r="A16" s="246" t="s">
        <v>759</v>
      </c>
      <c r="B16" s="265">
        <v>6</v>
      </c>
      <c r="C16" s="670" t="s">
        <v>678</v>
      </c>
      <c r="D16" s="246"/>
      <c r="E16" s="266" t="str">
        <f>'Giá VL'!E10</f>
        <v>Ống bê tông D ≤600mm, L=2m</v>
      </c>
      <c r="F16" s="265" t="str">
        <f>'Giá VL'!F10</f>
        <v>đoạn</v>
      </c>
      <c r="G16" s="268"/>
      <c r="H16" s="268"/>
      <c r="I16" s="268"/>
      <c r="J16" s="268">
        <f>SUM(J17:J17)</f>
        <v>1</v>
      </c>
      <c r="K16" s="421">
        <f>'Giá VL'!G10</f>
        <v>1092476</v>
      </c>
      <c r="L16" s="421">
        <f>J16*K16</f>
        <v>1092476</v>
      </c>
      <c r="M16" s="421">
        <f>'Giá VL'!J10</f>
        <v>1092476</v>
      </c>
      <c r="N16" s="421">
        <f>J16*M16</f>
        <v>1092476</v>
      </c>
      <c r="O16" s="540">
        <f>M16-K16</f>
        <v>0</v>
      </c>
      <c r="P16" s="421">
        <f>J16*O16</f>
        <v>0</v>
      </c>
      <c r="Q16" s="268">
        <v>1</v>
      </c>
      <c r="R16" s="421">
        <f>M16*Q16</f>
        <v>1092476</v>
      </c>
      <c r="S16" s="421">
        <f>J16*R16</f>
        <v>1092476</v>
      </c>
      <c r="T16" s="540">
        <v>0</v>
      </c>
      <c r="U16" s="421">
        <v>0</v>
      </c>
      <c r="V16" s="421">
        <v>45323.647837290097</v>
      </c>
      <c r="W16" s="421">
        <v>45323.647837290097</v>
      </c>
      <c r="X16" s="421">
        <f>'Giá VL'!V10</f>
        <v>1130245.706531072</v>
      </c>
      <c r="Y16" s="421">
        <f>J16*X16</f>
        <v>1130245.706531072</v>
      </c>
      <c r="Z16" s="421">
        <f>X16-K16</f>
        <v>37769.706531072035</v>
      </c>
      <c r="AA16" s="421">
        <f>J16*Z16</f>
        <v>37769.706531072035</v>
      </c>
    </row>
    <row r="17" spans="1:27" s="410" customFormat="1" ht="27.6">
      <c r="A17" s="413"/>
      <c r="B17" s="414"/>
      <c r="C17" s="413" t="str">
        <f>'5.Tiên lượng'!C183</f>
        <v>BB.11221</v>
      </c>
      <c r="D17" s="413"/>
      <c r="E17" s="415" t="str">
        <f>'5.Tiên lượng'!D183</f>
        <v>Lắp đặt ống bê tông bằng cần cẩu, đoạn ống dài 2m - Đường kính 600mm</v>
      </c>
      <c r="F17" s="414" t="str">
        <f>'5.Tiên lượng'!E183</f>
        <v>1 đoạn ống</v>
      </c>
      <c r="G17" s="419">
        <f>'5.Tiên lượng'!M183</f>
        <v>1</v>
      </c>
      <c r="H17" s="419">
        <f>PTVT!G720</f>
        <v>1</v>
      </c>
      <c r="I17" s="419">
        <f>'5.Tiên lượng'!V183</f>
        <v>1</v>
      </c>
      <c r="J17" s="419">
        <f>PRODUCT(G17,H17,I17)</f>
        <v>1</v>
      </c>
      <c r="K17" s="420"/>
      <c r="L17" s="420"/>
      <c r="M17" s="420"/>
      <c r="N17" s="420"/>
      <c r="O17" s="420"/>
      <c r="P17" s="420"/>
      <c r="Q17" s="419"/>
      <c r="R17" s="420"/>
      <c r="S17" s="420"/>
      <c r="T17" s="420"/>
      <c r="U17" s="420"/>
      <c r="V17" s="420"/>
      <c r="W17" s="420"/>
      <c r="X17" s="420"/>
      <c r="Y17" s="420"/>
      <c r="Z17" s="420"/>
      <c r="AA17" s="420"/>
    </row>
    <row r="18" spans="1:27">
      <c r="A18" s="246" t="s">
        <v>759</v>
      </c>
      <c r="B18" s="265">
        <v>7</v>
      </c>
      <c r="C18" s="670" t="s">
        <v>678</v>
      </c>
      <c r="D18" s="246" t="s">
        <v>678</v>
      </c>
      <c r="E18" s="266" t="str">
        <f>'Giá VL'!E11</f>
        <v>Ống bê tông D400mm, L=2m</v>
      </c>
      <c r="F18" s="265" t="str">
        <f>'Giá VL'!F11</f>
        <v>đoạn</v>
      </c>
      <c r="G18" s="268"/>
      <c r="H18" s="268"/>
      <c r="I18" s="268"/>
      <c r="J18" s="268">
        <f>SUM(J19:J19)</f>
        <v>15</v>
      </c>
      <c r="K18" s="421">
        <f>'Giá VL'!G11</f>
        <v>781774</v>
      </c>
      <c r="L18" s="421">
        <f>J18*K18</f>
        <v>11726610</v>
      </c>
      <c r="M18" s="421">
        <f>'Giá VL'!J11</f>
        <v>781774</v>
      </c>
      <c r="N18" s="421">
        <f>J18*M18</f>
        <v>11726610</v>
      </c>
      <c r="O18" s="540">
        <f>M18-K18</f>
        <v>0</v>
      </c>
      <c r="P18" s="421">
        <f>J18*O18</f>
        <v>0</v>
      </c>
      <c r="Q18" s="268">
        <v>1</v>
      </c>
      <c r="R18" s="421">
        <f>M18*Q18</f>
        <v>781774</v>
      </c>
      <c r="S18" s="421">
        <f>J18*R18</f>
        <v>11726610</v>
      </c>
      <c r="T18" s="540">
        <v>0</v>
      </c>
      <c r="U18" s="421">
        <v>0</v>
      </c>
      <c r="V18" s="421">
        <v>23854.551493309002</v>
      </c>
      <c r="W18" s="421">
        <v>357818.272399635</v>
      </c>
      <c r="X18" s="421">
        <f>'Giá VL'!V11</f>
        <v>804026.8548065545</v>
      </c>
      <c r="Y18" s="421">
        <f>J18*X18</f>
        <v>12060402.822098318</v>
      </c>
      <c r="Z18" s="421">
        <f>X18-K18</f>
        <v>22252.854806554504</v>
      </c>
      <c r="AA18" s="421">
        <f>J18*Z18</f>
        <v>333792.82209831756</v>
      </c>
    </row>
    <row r="19" spans="1:27" s="410" customFormat="1" ht="27.6">
      <c r="A19" s="413"/>
      <c r="B19" s="414"/>
      <c r="C19" s="413" t="str">
        <f>'5.Tiên lượng'!C181</f>
        <v>BB.11221VD</v>
      </c>
      <c r="D19" s="413"/>
      <c r="E19" s="415" t="str">
        <f>'5.Tiên lượng'!D181</f>
        <v>Lắp đặt ống bê tông bằng cần cẩu, đoạn ống dài 2m - Đường kính 400mm</v>
      </c>
      <c r="F19" s="414" t="str">
        <f>'5.Tiên lượng'!E181</f>
        <v>1 đoạn ống</v>
      </c>
      <c r="G19" s="419">
        <f>'5.Tiên lượng'!M181</f>
        <v>15</v>
      </c>
      <c r="H19" s="419">
        <f>PTVT!G702</f>
        <v>1</v>
      </c>
      <c r="I19" s="419">
        <f>'5.Tiên lượng'!V181</f>
        <v>1</v>
      </c>
      <c r="J19" s="419">
        <f>PRODUCT(G19,H19,I19)</f>
        <v>15</v>
      </c>
      <c r="K19" s="420"/>
      <c r="L19" s="420"/>
      <c r="M19" s="420"/>
      <c r="N19" s="420"/>
      <c r="O19" s="420"/>
      <c r="P19" s="420"/>
      <c r="Q19" s="419"/>
      <c r="R19" s="420"/>
      <c r="S19" s="420"/>
      <c r="T19" s="420"/>
      <c r="U19" s="420"/>
      <c r="V19" s="420"/>
      <c r="W19" s="420"/>
      <c r="X19" s="420"/>
      <c r="Y19" s="420"/>
      <c r="Z19" s="420"/>
      <c r="AA19" s="420"/>
    </row>
    <row r="20" spans="1:27">
      <c r="A20" s="246" t="s">
        <v>759</v>
      </c>
      <c r="B20" s="265">
        <v>8</v>
      </c>
      <c r="C20" s="670" t="s">
        <v>707</v>
      </c>
      <c r="D20" s="246"/>
      <c r="E20" s="266" t="str">
        <f>'Giá VL'!E12</f>
        <v>Cao su đệm khe giãn</v>
      </c>
      <c r="F20" s="265" t="str">
        <f>'Giá VL'!F12</f>
        <v>m</v>
      </c>
      <c r="G20" s="268"/>
      <c r="H20" s="268"/>
      <c r="I20" s="268"/>
      <c r="J20" s="268">
        <f>SUM(J21:J21)</f>
        <v>124.15199999999999</v>
      </c>
      <c r="K20" s="421">
        <f>'Giá VL'!G12</f>
        <v>35000</v>
      </c>
      <c r="L20" s="421">
        <f>J20*K20</f>
        <v>4345320</v>
      </c>
      <c r="M20" s="421">
        <f>'Giá VL'!J12</f>
        <v>35000</v>
      </c>
      <c r="N20" s="421">
        <f>J20*M20</f>
        <v>4345320</v>
      </c>
      <c r="O20" s="540">
        <f>M20-K20</f>
        <v>0</v>
      </c>
      <c r="P20" s="421">
        <f>J20*O20</f>
        <v>0</v>
      </c>
      <c r="Q20" s="268">
        <v>1</v>
      </c>
      <c r="R20" s="421">
        <f>M20*Q20</f>
        <v>35000</v>
      </c>
      <c r="S20" s="421">
        <f>J20*R20</f>
        <v>4345320</v>
      </c>
      <c r="T20" s="540">
        <v>0</v>
      </c>
      <c r="U20" s="421">
        <v>0</v>
      </c>
      <c r="V20" s="421">
        <v>0</v>
      </c>
      <c r="W20" s="421">
        <v>0</v>
      </c>
      <c r="X20" s="421">
        <f>'Giá VL'!V12</f>
        <v>35000</v>
      </c>
      <c r="Y20" s="421">
        <f>J20*X20</f>
        <v>4345320</v>
      </c>
      <c r="Z20" s="540">
        <f>X20-K20</f>
        <v>0</v>
      </c>
      <c r="AA20" s="421">
        <f>J20*Z20</f>
        <v>0</v>
      </c>
    </row>
    <row r="21" spans="1:27" s="410" customFormat="1">
      <c r="A21" s="413"/>
      <c r="B21" s="414"/>
      <c r="C21" s="413" t="str">
        <f>'5.Tiên lượng'!C68</f>
        <v>AL.24112(VD)</v>
      </c>
      <c r="D21" s="413"/>
      <c r="E21" s="415" t="str">
        <f>'5.Tiên lượng'!D68</f>
        <v>Thi công khe giãn</v>
      </c>
      <c r="F21" s="414" t="str">
        <f>'5.Tiên lượng'!E68</f>
        <v>m</v>
      </c>
      <c r="G21" s="419">
        <f>'5.Tiên lượng'!M68</f>
        <v>103.46</v>
      </c>
      <c r="H21" s="419">
        <f>PTVT!G232</f>
        <v>1.2</v>
      </c>
      <c r="I21" s="419">
        <f>'5.Tiên lượng'!V68</f>
        <v>1</v>
      </c>
      <c r="J21" s="419">
        <f>PRODUCT(G21,H21,I21)</f>
        <v>124.15199999999999</v>
      </c>
      <c r="K21" s="420"/>
      <c r="L21" s="420"/>
      <c r="M21" s="420"/>
      <c r="N21" s="420"/>
      <c r="O21" s="420"/>
      <c r="P21" s="420"/>
      <c r="Q21" s="419"/>
      <c r="R21" s="420"/>
      <c r="S21" s="420"/>
      <c r="T21" s="420"/>
      <c r="U21" s="420"/>
      <c r="V21" s="420"/>
      <c r="W21" s="420"/>
      <c r="X21" s="420"/>
      <c r="Y21" s="420"/>
      <c r="Z21" s="420"/>
      <c r="AA21" s="420"/>
    </row>
    <row r="22" spans="1:27">
      <c r="A22" s="246" t="s">
        <v>759</v>
      </c>
      <c r="B22" s="265">
        <v>9</v>
      </c>
      <c r="C22" s="670" t="s">
        <v>604</v>
      </c>
      <c r="D22" s="246"/>
      <c r="E22" s="266" t="str">
        <f>'Giá VL'!E13</f>
        <v>Cấp phối đá dăm loại 2</v>
      </c>
      <c r="F22" s="265" t="str">
        <f>'Giá VL'!F13</f>
        <v>m3</v>
      </c>
      <c r="G22" s="268"/>
      <c r="H22" s="268"/>
      <c r="I22" s="268"/>
      <c r="J22" s="268">
        <f>SUM(J23:J29)</f>
        <v>4255.3045585309737</v>
      </c>
      <c r="K22" s="421">
        <f>'Giá VL'!G13</f>
        <v>90000</v>
      </c>
      <c r="L22" s="421">
        <f>J22*K22</f>
        <v>382977410.26778764</v>
      </c>
      <c r="M22" s="421">
        <f>'Giá VL'!J13</f>
        <v>170000</v>
      </c>
      <c r="N22" s="421">
        <f>J22*M22</f>
        <v>723401774.95026553</v>
      </c>
      <c r="O22" s="540">
        <f>M22-K22</f>
        <v>80000</v>
      </c>
      <c r="P22" s="421">
        <f>J22*O22</f>
        <v>340424364.68247789</v>
      </c>
      <c r="Q22" s="268">
        <v>1</v>
      </c>
      <c r="R22" s="421">
        <f>M22*Q22</f>
        <v>170000</v>
      </c>
      <c r="S22" s="421">
        <f>J22*R22</f>
        <v>723401774.95026553</v>
      </c>
      <c r="T22" s="540">
        <v>0</v>
      </c>
      <c r="U22" s="421">
        <v>0</v>
      </c>
      <c r="V22" s="421">
        <v>70458.054755870995</v>
      </c>
      <c r="W22" s="421">
        <v>299820481.587883</v>
      </c>
      <c r="X22" s="421">
        <f>'Giá VL'!V13</f>
        <v>240458.05475587127</v>
      </c>
      <c r="Y22" s="421">
        <f>J22*X22</f>
        <v>1023222256.5381495</v>
      </c>
      <c r="Z22" s="421">
        <f>X22-K22</f>
        <v>150458.05475587127</v>
      </c>
      <c r="AA22" s="421">
        <f>J22*Z22</f>
        <v>640244846.2703619</v>
      </c>
    </row>
    <row r="23" spans="1:27" s="410" customFormat="1">
      <c r="A23" s="413"/>
      <c r="B23" s="414"/>
      <c r="C23" s="413" t="str">
        <f>'5.Tiên lượng'!C36</f>
        <v>AD.11212</v>
      </c>
      <c r="D23" s="413"/>
      <c r="E23" s="415" t="str">
        <f>'5.Tiên lượng'!D36</f>
        <v>Thi công đắp cấp phối đá dăm loại 2</v>
      </c>
      <c r="F23" s="414" t="str">
        <f>'5.Tiên lượng'!E36</f>
        <v>100m3</v>
      </c>
      <c r="G23" s="419">
        <f>'5.Tiên lượng'!M36</f>
        <v>9.2337371681415927</v>
      </c>
      <c r="H23" s="419">
        <f>PTVT!G81</f>
        <v>134</v>
      </c>
      <c r="I23" s="419">
        <f>'5.Tiên lượng'!V36</f>
        <v>1</v>
      </c>
      <c r="J23" s="419">
        <f t="shared" ref="J23:J29" si="0">PRODUCT(G23,H23,I23)</f>
        <v>1237.3207805309735</v>
      </c>
      <c r="K23" s="420"/>
      <c r="L23" s="420"/>
      <c r="M23" s="420"/>
      <c r="N23" s="420"/>
      <c r="O23" s="420"/>
      <c r="P23" s="420"/>
      <c r="Q23" s="419"/>
      <c r="R23" s="420"/>
      <c r="S23" s="420"/>
      <c r="T23" s="420"/>
      <c r="U23" s="420"/>
      <c r="V23" s="420"/>
      <c r="W23" s="420"/>
      <c r="X23" s="420"/>
      <c r="Y23" s="420"/>
      <c r="Z23" s="420"/>
      <c r="AA23" s="420"/>
    </row>
    <row r="24" spans="1:27" s="410" customFormat="1">
      <c r="A24" s="413"/>
      <c r="B24" s="414"/>
      <c r="C24" s="413" t="str">
        <f>'5.Tiên lượng'!C51</f>
        <v>AD.11212</v>
      </c>
      <c r="D24" s="413"/>
      <c r="E24" s="415" t="str">
        <f>'5.Tiên lượng'!D51</f>
        <v xml:space="preserve">Thi công móng cấp phối đá dăm lớp dưới </v>
      </c>
      <c r="F24" s="414" t="str">
        <f>'5.Tiên lượng'!E51</f>
        <v>100m3</v>
      </c>
      <c r="G24" s="419">
        <f>'5.Tiên lượng'!M51</f>
        <v>1.3379759999999998</v>
      </c>
      <c r="H24" s="419">
        <f>PTVT!G137</f>
        <v>134</v>
      </c>
      <c r="I24" s="419">
        <f>'5.Tiên lượng'!V51</f>
        <v>1</v>
      </c>
      <c r="J24" s="419">
        <f t="shared" si="0"/>
        <v>179.28878399999996</v>
      </c>
      <c r="K24" s="420"/>
      <c r="L24" s="420"/>
      <c r="M24" s="420"/>
      <c r="N24" s="420"/>
      <c r="O24" s="420"/>
      <c r="P24" s="420"/>
      <c r="Q24" s="419"/>
      <c r="R24" s="420"/>
      <c r="S24" s="420"/>
      <c r="T24" s="420"/>
      <c r="U24" s="420"/>
      <c r="V24" s="420"/>
      <c r="W24" s="420"/>
      <c r="X24" s="420"/>
      <c r="Y24" s="420"/>
      <c r="Z24" s="420"/>
      <c r="AA24" s="420"/>
    </row>
    <row r="25" spans="1:27" s="410" customFormat="1">
      <c r="A25" s="413"/>
      <c r="B25" s="414"/>
      <c r="C25" s="413" t="str">
        <f>'5.Tiên lượng'!C53</f>
        <v>AD.11212</v>
      </c>
      <c r="D25" s="413"/>
      <c r="E25" s="415" t="str">
        <f>'5.Tiên lượng'!D53</f>
        <v xml:space="preserve">Thi công móng cấp phối đá dăm lớp dưới </v>
      </c>
      <c r="F25" s="414" t="str">
        <f>'5.Tiên lượng'!E53</f>
        <v>100m3</v>
      </c>
      <c r="G25" s="419">
        <f>'5.Tiên lượng'!M53</f>
        <v>1.7016</v>
      </c>
      <c r="H25" s="419">
        <f>PTVT!G149</f>
        <v>134</v>
      </c>
      <c r="I25" s="419">
        <f>'5.Tiên lượng'!V53</f>
        <v>1</v>
      </c>
      <c r="J25" s="419">
        <f t="shared" si="0"/>
        <v>228.01439999999999</v>
      </c>
      <c r="K25" s="420"/>
      <c r="L25" s="420"/>
      <c r="M25" s="420"/>
      <c r="N25" s="420"/>
      <c r="O25" s="420"/>
      <c r="P25" s="420"/>
      <c r="Q25" s="419"/>
      <c r="R25" s="420"/>
      <c r="S25" s="420"/>
      <c r="T25" s="420"/>
      <c r="U25" s="420"/>
      <c r="V25" s="420"/>
      <c r="W25" s="420"/>
      <c r="X25" s="420"/>
      <c r="Y25" s="420"/>
      <c r="Z25" s="420"/>
      <c r="AA25" s="420"/>
    </row>
    <row r="26" spans="1:27" s="410" customFormat="1">
      <c r="A26" s="413"/>
      <c r="B26" s="414"/>
      <c r="C26" s="413" t="str">
        <f>'5.Tiên lượng'!C63</f>
        <v>AD.11212</v>
      </c>
      <c r="D26" s="413"/>
      <c r="E26" s="415" t="str">
        <f>'5.Tiên lượng'!D63</f>
        <v xml:space="preserve">Thi công móng cấp phối đá dăm lớp dưới </v>
      </c>
      <c r="F26" s="414" t="str">
        <f>'5.Tiên lượng'!E63</f>
        <v>100m3</v>
      </c>
      <c r="G26" s="419">
        <f>'5.Tiên lượng'!M63</f>
        <v>7.6583999999999999E-2</v>
      </c>
      <c r="H26" s="419">
        <f>PTVT!G194</f>
        <v>134</v>
      </c>
      <c r="I26" s="419">
        <f>'5.Tiên lượng'!V63</f>
        <v>1</v>
      </c>
      <c r="J26" s="419">
        <f t="shared" si="0"/>
        <v>10.262256000000001</v>
      </c>
      <c r="K26" s="420"/>
      <c r="L26" s="420"/>
      <c r="M26" s="420"/>
      <c r="N26" s="420"/>
      <c r="O26" s="420"/>
      <c r="P26" s="420"/>
      <c r="Q26" s="419"/>
      <c r="R26" s="420"/>
      <c r="S26" s="420"/>
      <c r="T26" s="420"/>
      <c r="U26" s="420"/>
      <c r="V26" s="420"/>
      <c r="W26" s="420"/>
      <c r="X26" s="420"/>
      <c r="Y26" s="420"/>
      <c r="Z26" s="420"/>
      <c r="AA26" s="420"/>
    </row>
    <row r="27" spans="1:27" s="410" customFormat="1">
      <c r="A27" s="413"/>
      <c r="B27" s="414"/>
      <c r="C27" s="413" t="str">
        <f>'5.Tiên lượng'!C99</f>
        <v>AD.11212</v>
      </c>
      <c r="D27" s="413"/>
      <c r="E27" s="415" t="str">
        <f>'5.Tiên lượng'!D99</f>
        <v xml:space="preserve">Thi công móng cấp phối đá dăm lớp dưới </v>
      </c>
      <c r="F27" s="414" t="str">
        <f>'5.Tiên lượng'!E99</f>
        <v>100m3</v>
      </c>
      <c r="G27" s="419">
        <f>'5.Tiên lượng'!M99</f>
        <v>4.3350070000000001</v>
      </c>
      <c r="H27" s="419">
        <f>PTVT!G325</f>
        <v>134</v>
      </c>
      <c r="I27" s="419">
        <f>'5.Tiên lượng'!V99</f>
        <v>1</v>
      </c>
      <c r="J27" s="419">
        <f t="shared" si="0"/>
        <v>580.89093800000001</v>
      </c>
      <c r="K27" s="420"/>
      <c r="L27" s="420"/>
      <c r="M27" s="420"/>
      <c r="N27" s="420"/>
      <c r="O27" s="420"/>
      <c r="P27" s="420"/>
      <c r="Q27" s="419"/>
      <c r="R27" s="420"/>
      <c r="S27" s="420"/>
      <c r="T27" s="420"/>
      <c r="U27" s="420"/>
      <c r="V27" s="420"/>
      <c r="W27" s="420"/>
      <c r="X27" s="420"/>
      <c r="Y27" s="420"/>
      <c r="Z27" s="420"/>
      <c r="AA27" s="420"/>
    </row>
    <row r="28" spans="1:27" s="410" customFormat="1" ht="27.6">
      <c r="A28" s="413"/>
      <c r="B28" s="414"/>
      <c r="C28" s="413" t="str">
        <f>'5.Tiên lượng'!C105</f>
        <v>AD.11212(VD)</v>
      </c>
      <c r="D28" s="413"/>
      <c r="E28" s="415" t="str">
        <f>'5.Tiên lượng'!D105</f>
        <v>Bù vật liệu (trên mặt đường cũ lồi lõm) bằng cấp phối đá dăm loại 2 (không lu)</v>
      </c>
      <c r="F28" s="414" t="str">
        <f>'5.Tiên lượng'!E105</f>
        <v>100m3</v>
      </c>
      <c r="G28" s="419">
        <f>'5.Tiên lượng'!M105</f>
        <v>10.24</v>
      </c>
      <c r="H28" s="419">
        <f>PTVT!G346</f>
        <v>134</v>
      </c>
      <c r="I28" s="419">
        <f>'5.Tiên lượng'!V105</f>
        <v>1</v>
      </c>
      <c r="J28" s="419">
        <f t="shared" si="0"/>
        <v>1372.16</v>
      </c>
      <c r="K28" s="420"/>
      <c r="L28" s="420"/>
      <c r="M28" s="420"/>
      <c r="N28" s="420"/>
      <c r="O28" s="420"/>
      <c r="P28" s="420"/>
      <c r="Q28" s="419"/>
      <c r="R28" s="420"/>
      <c r="S28" s="420"/>
      <c r="T28" s="420"/>
      <c r="U28" s="420"/>
      <c r="V28" s="420"/>
      <c r="W28" s="420"/>
      <c r="X28" s="420"/>
      <c r="Y28" s="420"/>
      <c r="Z28" s="420"/>
      <c r="AA28" s="420"/>
    </row>
    <row r="29" spans="1:27" s="410" customFormat="1" ht="27.6">
      <c r="A29" s="413"/>
      <c r="B29" s="414"/>
      <c r="C29" s="413" t="str">
        <f>'5.Tiên lượng'!C109</f>
        <v>AD.11212</v>
      </c>
      <c r="D29" s="413"/>
      <c r="E29" s="415" t="str">
        <f>'5.Tiên lượng'!D109</f>
        <v>Bù trả vật liệu phần cạp mở rộng bằng cấp phối đá dăm loại 2 dày 18cm (không lu)</v>
      </c>
      <c r="F29" s="414" t="str">
        <f>'5.Tiên lượng'!E109</f>
        <v>100m3</v>
      </c>
      <c r="G29" s="419">
        <f>'5.Tiên lượng'!M109</f>
        <v>4.8311000000000002</v>
      </c>
      <c r="H29" s="419">
        <f>PTVT!G364</f>
        <v>134</v>
      </c>
      <c r="I29" s="419">
        <f>'5.Tiên lượng'!V109</f>
        <v>1</v>
      </c>
      <c r="J29" s="419">
        <f t="shared" si="0"/>
        <v>647.36739999999998</v>
      </c>
      <c r="K29" s="420"/>
      <c r="L29" s="420"/>
      <c r="M29" s="420"/>
      <c r="N29" s="420"/>
      <c r="O29" s="420"/>
      <c r="P29" s="420"/>
      <c r="Q29" s="419"/>
      <c r="R29" s="420"/>
      <c r="S29" s="420"/>
      <c r="T29" s="420"/>
      <c r="U29" s="420"/>
      <c r="V29" s="420"/>
      <c r="W29" s="420"/>
      <c r="X29" s="420"/>
      <c r="Y29" s="420"/>
      <c r="Z29" s="420"/>
      <c r="AA29" s="420"/>
    </row>
    <row r="30" spans="1:27">
      <c r="A30" s="246" t="s">
        <v>759</v>
      </c>
      <c r="B30" s="265">
        <v>10</v>
      </c>
      <c r="C30" s="670" t="s">
        <v>654</v>
      </c>
      <c r="D30" s="246"/>
      <c r="E30" s="266" t="str">
        <f>'Giá VL'!E14</f>
        <v>Cát</v>
      </c>
      <c r="F30" s="265" t="str">
        <f>'Giá VL'!F14</f>
        <v>m3</v>
      </c>
      <c r="G30" s="268"/>
      <c r="H30" s="268"/>
      <c r="I30" s="268"/>
      <c r="J30" s="268">
        <f>SUM(J31:J33)</f>
        <v>4.0319999999999991</v>
      </c>
      <c r="K30" s="421">
        <f>'Giá VL'!G14</f>
        <v>250000</v>
      </c>
      <c r="L30" s="421">
        <f>J30*K30</f>
        <v>1007999.9999999998</v>
      </c>
      <c r="M30" s="421">
        <f>'Giá VL'!J14</f>
        <v>250000</v>
      </c>
      <c r="N30" s="421">
        <f>J30*M30</f>
        <v>1007999.9999999998</v>
      </c>
      <c r="O30" s="540">
        <f>M30-K30</f>
        <v>0</v>
      </c>
      <c r="P30" s="421">
        <f>J30*O30</f>
        <v>0</v>
      </c>
      <c r="Q30" s="268">
        <v>1</v>
      </c>
      <c r="R30" s="421">
        <f>M30*Q30</f>
        <v>250000</v>
      </c>
      <c r="S30" s="421">
        <f>J30*R30</f>
        <v>1007999.9999999998</v>
      </c>
      <c r="T30" s="540">
        <v>0</v>
      </c>
      <c r="U30" s="421">
        <v>0</v>
      </c>
      <c r="V30" s="421">
        <v>79026.495268500003</v>
      </c>
      <c r="W30" s="421">
        <v>318634.82892259199</v>
      </c>
      <c r="X30" s="421">
        <f>'Giá VL'!V14</f>
        <v>329026.49526849983</v>
      </c>
      <c r="Y30" s="421">
        <f>J30*X30</f>
        <v>1326634.8289225909</v>
      </c>
      <c r="Z30" s="421">
        <f>X30-K30</f>
        <v>79026.495268499828</v>
      </c>
      <c r="AA30" s="421">
        <f>J30*Z30</f>
        <v>318634.82892259123</v>
      </c>
    </row>
    <row r="31" spans="1:27" s="410" customFormat="1">
      <c r="A31" s="413"/>
      <c r="B31" s="414"/>
      <c r="C31" s="413" t="str">
        <f>'5.Tiên lượng'!C127</f>
        <v>AK.98110(VD)</v>
      </c>
      <c r="D31" s="413"/>
      <c r="E31" s="415" t="str">
        <f>'5.Tiên lượng'!D127</f>
        <v>Đá dăm đệm rãnh, đá (1x2)cm, dày 10cm</v>
      </c>
      <c r="F31" s="414" t="str">
        <f>'5.Tiên lượng'!E127</f>
        <v>m3</v>
      </c>
      <c r="G31" s="419">
        <f>'5.Tiên lượng'!M127</f>
        <v>7.43</v>
      </c>
      <c r="H31" s="419">
        <f>PTVT!G460</f>
        <v>0.3</v>
      </c>
      <c r="I31" s="419">
        <f>'5.Tiên lượng'!V127</f>
        <v>1</v>
      </c>
      <c r="J31" s="419">
        <f t="shared" ref="J31:J33" si="1">PRODUCT(G31,H31,I31)</f>
        <v>2.2289999999999996</v>
      </c>
      <c r="K31" s="420"/>
      <c r="L31" s="420"/>
      <c r="M31" s="420"/>
      <c r="N31" s="420"/>
      <c r="O31" s="420"/>
      <c r="P31" s="420"/>
      <c r="Q31" s="419"/>
      <c r="R31" s="420"/>
      <c r="S31" s="420"/>
      <c r="T31" s="420"/>
      <c r="U31" s="420"/>
      <c r="V31" s="420"/>
      <c r="W31" s="420"/>
      <c r="X31" s="420"/>
      <c r="Y31" s="420"/>
      <c r="Z31" s="420"/>
      <c r="AA31" s="420"/>
    </row>
    <row r="32" spans="1:27" s="410" customFormat="1">
      <c r="A32" s="413"/>
      <c r="B32" s="414"/>
      <c r="C32" s="413" t="str">
        <f>'5.Tiên lượng'!C156</f>
        <v>AK.98110</v>
      </c>
      <c r="D32" s="413"/>
      <c r="E32" s="415" t="str">
        <f>'5.Tiên lượng'!D156</f>
        <v>Cấp phối đá dăm đệm móng, dày 5cm</v>
      </c>
      <c r="F32" s="414" t="str">
        <f>'5.Tiên lượng'!E156</f>
        <v>m3</v>
      </c>
      <c r="G32" s="419">
        <f>'5.Tiên lượng'!M156</f>
        <v>0.66</v>
      </c>
      <c r="H32" s="419">
        <f>PTVT!G613</f>
        <v>0.3</v>
      </c>
      <c r="I32" s="419">
        <f>'5.Tiên lượng'!V156</f>
        <v>1</v>
      </c>
      <c r="J32" s="419">
        <f t="shared" si="1"/>
        <v>0.19800000000000001</v>
      </c>
      <c r="K32" s="420"/>
      <c r="L32" s="420"/>
      <c r="M32" s="420"/>
      <c r="N32" s="420"/>
      <c r="O32" s="420"/>
      <c r="P32" s="420"/>
      <c r="Q32" s="419"/>
      <c r="R32" s="420"/>
      <c r="S32" s="420"/>
      <c r="T32" s="420"/>
      <c r="U32" s="420"/>
      <c r="V32" s="420"/>
      <c r="W32" s="420"/>
      <c r="X32" s="420"/>
      <c r="Y32" s="420"/>
      <c r="Z32" s="420"/>
      <c r="AA32" s="420"/>
    </row>
    <row r="33" spans="1:27" s="410" customFormat="1">
      <c r="A33" s="413"/>
      <c r="B33" s="414"/>
      <c r="C33" s="413" t="str">
        <f>'5.Tiên lượng'!C179</f>
        <v>AK.98110</v>
      </c>
      <c r="D33" s="413"/>
      <c r="E33" s="415" t="str">
        <f>'5.Tiên lượng'!D179</f>
        <v>Đá dăm đệm móng, đá (2x4)cm, dày 5cm</v>
      </c>
      <c r="F33" s="414" t="str">
        <f>'5.Tiên lượng'!E179</f>
        <v>m3</v>
      </c>
      <c r="G33" s="419">
        <f>'5.Tiên lượng'!M179</f>
        <v>5.35</v>
      </c>
      <c r="H33" s="419">
        <f>PTVT!G688</f>
        <v>0.3</v>
      </c>
      <c r="I33" s="419">
        <f>'5.Tiên lượng'!V179</f>
        <v>1</v>
      </c>
      <c r="J33" s="419">
        <f t="shared" si="1"/>
        <v>1.6049999999999998</v>
      </c>
      <c r="K33" s="420"/>
      <c r="L33" s="420"/>
      <c r="M33" s="420"/>
      <c r="N33" s="420"/>
      <c r="O33" s="420"/>
      <c r="P33" s="420"/>
      <c r="Q33" s="419"/>
      <c r="R33" s="420"/>
      <c r="S33" s="420"/>
      <c r="T33" s="420"/>
      <c r="U33" s="420"/>
      <c r="V33" s="420"/>
      <c r="W33" s="420"/>
      <c r="X33" s="420"/>
      <c r="Y33" s="420"/>
      <c r="Z33" s="420"/>
      <c r="AA33" s="420"/>
    </row>
    <row r="34" spans="1:27">
      <c r="A34" s="246" t="s">
        <v>759</v>
      </c>
      <c r="B34" s="265">
        <v>11</v>
      </c>
      <c r="C34" s="670" t="s">
        <v>658</v>
      </c>
      <c r="D34" s="246"/>
      <c r="E34" s="266" t="str">
        <f>'Giá VL'!E15</f>
        <v>Cát mịn ML=0,7÷1,4</v>
      </c>
      <c r="F34" s="265" t="str">
        <f>'Giá VL'!F15</f>
        <v>m3</v>
      </c>
      <c r="G34" s="268"/>
      <c r="H34" s="268"/>
      <c r="I34" s="268"/>
      <c r="J34" s="268">
        <f>SUM(J35:J35)</f>
        <v>0.65923920000000003</v>
      </c>
      <c r="K34" s="421">
        <f>'Giá VL'!G15</f>
        <v>300000</v>
      </c>
      <c r="L34" s="421">
        <f>J34*K34</f>
        <v>197771.76</v>
      </c>
      <c r="M34" s="421">
        <f>'Giá VL'!J15</f>
        <v>300000</v>
      </c>
      <c r="N34" s="421">
        <f>J34*M34</f>
        <v>197771.76</v>
      </c>
      <c r="O34" s="540">
        <f>M34-K34</f>
        <v>0</v>
      </c>
      <c r="P34" s="421">
        <f>J34*O34</f>
        <v>0</v>
      </c>
      <c r="Q34" s="268">
        <v>1</v>
      </c>
      <c r="R34" s="421">
        <f>M34*Q34</f>
        <v>300000</v>
      </c>
      <c r="S34" s="421">
        <f>J34*R34</f>
        <v>197771.76</v>
      </c>
      <c r="T34" s="540">
        <v>0</v>
      </c>
      <c r="U34" s="421">
        <v>0</v>
      </c>
      <c r="V34" s="421">
        <v>79026.495268500003</v>
      </c>
      <c r="W34" s="421">
        <v>52097.363519609702</v>
      </c>
      <c r="X34" s="421">
        <f>'Giá VL'!V15</f>
        <v>379026.49526849983</v>
      </c>
      <c r="Y34" s="421">
        <f>J34*X34</f>
        <v>249869.12351960962</v>
      </c>
      <c r="Z34" s="421">
        <f>X34-K34</f>
        <v>79026.495268499828</v>
      </c>
      <c r="AA34" s="421">
        <f>J34*Z34</f>
        <v>52097.363519609615</v>
      </c>
    </row>
    <row r="35" spans="1:27" s="410" customFormat="1">
      <c r="A35" s="413"/>
      <c r="B35" s="414"/>
      <c r="C35" s="413" t="str">
        <f>'5.Tiên lượng'!C130</f>
        <v>AK.21113</v>
      </c>
      <c r="D35" s="413"/>
      <c r="E35" s="415" t="str">
        <f>'5.Tiên lượng'!D130</f>
        <v>Trát tường ngoài dày 1cm, vữa XM M75, PCB40</v>
      </c>
      <c r="F35" s="414" t="str">
        <f>'5.Tiên lượng'!E130</f>
        <v>m2</v>
      </c>
      <c r="G35" s="419">
        <f>'5.Tiên lượng'!M130</f>
        <v>47.4</v>
      </c>
      <c r="H35" s="419">
        <f>PTVT!G489</f>
        <v>1.3908E-2</v>
      </c>
      <c r="I35" s="419">
        <f>'5.Tiên lượng'!V130</f>
        <v>1</v>
      </c>
      <c r="J35" s="419">
        <f>PRODUCT(G35,H35,I35)</f>
        <v>0.65923920000000003</v>
      </c>
      <c r="K35" s="420"/>
      <c r="L35" s="420"/>
      <c r="M35" s="420"/>
      <c r="N35" s="420"/>
      <c r="O35" s="420"/>
      <c r="P35" s="420"/>
      <c r="Q35" s="419"/>
      <c r="R35" s="420"/>
      <c r="S35" s="420"/>
      <c r="T35" s="420"/>
      <c r="U35" s="420"/>
      <c r="V35" s="420"/>
      <c r="W35" s="420"/>
      <c r="X35" s="420"/>
      <c r="Y35" s="420"/>
      <c r="Z35" s="420"/>
      <c r="AA35" s="420"/>
    </row>
    <row r="36" spans="1:27">
      <c r="A36" s="246" t="s">
        <v>759</v>
      </c>
      <c r="B36" s="265">
        <v>12</v>
      </c>
      <c r="C36" s="670" t="s">
        <v>656</v>
      </c>
      <c r="D36" s="246"/>
      <c r="E36" s="266" t="str">
        <f>'Giá VL'!E16</f>
        <v>Cát mịn ML=1,5÷2,0</v>
      </c>
      <c r="F36" s="265" t="str">
        <f>'Giá VL'!F16</f>
        <v>m3</v>
      </c>
      <c r="G36" s="268"/>
      <c r="H36" s="268"/>
      <c r="I36" s="268"/>
      <c r="J36" s="268">
        <f>SUM(J37:J37)</f>
        <v>4.1330961000000004</v>
      </c>
      <c r="K36" s="421">
        <f>'Giá VL'!G16</f>
        <v>300000</v>
      </c>
      <c r="L36" s="421">
        <f>J36*K36</f>
        <v>1239928.83</v>
      </c>
      <c r="M36" s="421">
        <f>'Giá VL'!J16</f>
        <v>300000</v>
      </c>
      <c r="N36" s="421">
        <f>J36*M36</f>
        <v>1239928.83</v>
      </c>
      <c r="O36" s="540">
        <f>M36-K36</f>
        <v>0</v>
      </c>
      <c r="P36" s="421">
        <f>J36*O36</f>
        <v>0</v>
      </c>
      <c r="Q36" s="268">
        <v>1</v>
      </c>
      <c r="R36" s="421">
        <f>M36*Q36</f>
        <v>300000</v>
      </c>
      <c r="S36" s="421">
        <f>J36*R36</f>
        <v>1239928.83</v>
      </c>
      <c r="T36" s="540">
        <v>0</v>
      </c>
      <c r="U36" s="421">
        <v>0</v>
      </c>
      <c r="V36" s="421">
        <v>79026.495268500003</v>
      </c>
      <c r="W36" s="421">
        <v>326624.09939090599</v>
      </c>
      <c r="X36" s="421">
        <f>'Giá VL'!V16</f>
        <v>379026.49526849983</v>
      </c>
      <c r="Y36" s="421">
        <f>J36*X36</f>
        <v>1566552.9293909052</v>
      </c>
      <c r="Z36" s="421">
        <f>X36-K36</f>
        <v>79026.495268499828</v>
      </c>
      <c r="AA36" s="421">
        <f>J36*Z36</f>
        <v>326624.09939090512</v>
      </c>
    </row>
    <row r="37" spans="1:27" s="410" customFormat="1" ht="27.6">
      <c r="A37" s="413"/>
      <c r="B37" s="414"/>
      <c r="C37" s="413" t="str">
        <f>'5.Tiên lượng'!C129</f>
        <v>AE.26313</v>
      </c>
      <c r="D37" s="413"/>
      <c r="E37" s="415" t="str">
        <f>'5.Tiên lượng'!D129</f>
        <v>Xây rãnh thoát nước bằng gạch KN 6,5x10,5x22cm, vữa XM M75, PCB40</v>
      </c>
      <c r="F37" s="414" t="str">
        <f>'5.Tiên lượng'!E129</f>
        <v>m3</v>
      </c>
      <c r="G37" s="419">
        <f>'5.Tiên lượng'!M129</f>
        <v>10.43</v>
      </c>
      <c r="H37" s="419">
        <f>PTVT!G479</f>
        <v>0.39627000000000001</v>
      </c>
      <c r="I37" s="419">
        <f>'5.Tiên lượng'!V129</f>
        <v>1</v>
      </c>
      <c r="J37" s="419">
        <f>PRODUCT(G37,H37,I37)</f>
        <v>4.1330961000000004</v>
      </c>
      <c r="K37" s="420"/>
      <c r="L37" s="420"/>
      <c r="M37" s="420"/>
      <c r="N37" s="420"/>
      <c r="O37" s="420"/>
      <c r="P37" s="420"/>
      <c r="Q37" s="419"/>
      <c r="R37" s="420"/>
      <c r="S37" s="420"/>
      <c r="T37" s="420"/>
      <c r="U37" s="420"/>
      <c r="V37" s="420"/>
      <c r="W37" s="420"/>
      <c r="X37" s="420"/>
      <c r="Y37" s="420"/>
      <c r="Z37" s="420"/>
      <c r="AA37" s="420"/>
    </row>
    <row r="38" spans="1:27">
      <c r="A38" s="246" t="s">
        <v>759</v>
      </c>
      <c r="B38" s="265">
        <v>13</v>
      </c>
      <c r="C38" s="670" t="s">
        <v>615</v>
      </c>
      <c r="D38" s="246"/>
      <c r="E38" s="266" t="str">
        <f>'Giá VL'!E17</f>
        <v>Cát vàng</v>
      </c>
      <c r="F38" s="265" t="str">
        <f>'Giá VL'!F17</f>
        <v>m3</v>
      </c>
      <c r="G38" s="268"/>
      <c r="H38" s="268"/>
      <c r="I38" s="268"/>
      <c r="J38" s="268">
        <f>SUM(J39:J55)</f>
        <v>536.34314444999984</v>
      </c>
      <c r="K38" s="421">
        <f>'Giá VL'!G17</f>
        <v>580000</v>
      </c>
      <c r="L38" s="421">
        <f>J38*K38</f>
        <v>311079023.7809999</v>
      </c>
      <c r="M38" s="421">
        <f>'Giá VL'!J17</f>
        <v>580000</v>
      </c>
      <c r="N38" s="421">
        <f>J38*M38</f>
        <v>311079023.7809999</v>
      </c>
      <c r="O38" s="540">
        <f>M38-K38</f>
        <v>0</v>
      </c>
      <c r="P38" s="421">
        <f>J38*O38</f>
        <v>0</v>
      </c>
      <c r="Q38" s="268">
        <v>1</v>
      </c>
      <c r="R38" s="421">
        <f>M38*Q38</f>
        <v>580000</v>
      </c>
      <c r="S38" s="421">
        <f>J38*R38</f>
        <v>311079023.7809999</v>
      </c>
      <c r="T38" s="540">
        <v>0</v>
      </c>
      <c r="U38" s="421">
        <v>0</v>
      </c>
      <c r="V38" s="421">
        <v>79026.495268499901</v>
      </c>
      <c r="W38" s="421">
        <v>42385318.967170298</v>
      </c>
      <c r="X38" s="421">
        <f>'Giá VL'!V17</f>
        <v>659026.49526849983</v>
      </c>
      <c r="Y38" s="421">
        <f>J38*X38</f>
        <v>353464342.74817014</v>
      </c>
      <c r="Z38" s="421">
        <f>X38-K38</f>
        <v>79026.495268499828</v>
      </c>
      <c r="AA38" s="421">
        <f>J38*Z38</f>
        <v>42385318.967170231</v>
      </c>
    </row>
    <row r="39" spans="1:27" s="410" customFormat="1" ht="41.4">
      <c r="A39" s="413"/>
      <c r="B39" s="414"/>
      <c r="C39" s="413" t="str">
        <f>'5.Tiên lượng'!C46</f>
        <v>AF.15433</v>
      </c>
      <c r="D39" s="413"/>
      <c r="E39" s="415" t="str">
        <f>'5.Tiên lượng'!D46</f>
        <v>Bê tông sản xuất bằng máy trộn và đổ bằng thủ công, bê tông mặt đường dày mặt đường ≤25cm, bê tông M250, đá 2x4, PCB40</v>
      </c>
      <c r="F39" s="414" t="str">
        <f>'5.Tiên lượng'!E46</f>
        <v>m3</v>
      </c>
      <c r="G39" s="419">
        <f>'5.Tiên lượng'!M46</f>
        <v>900.03599999999994</v>
      </c>
      <c r="H39" s="419">
        <f>PTVT!G116</f>
        <v>0.54325000000000001</v>
      </c>
      <c r="I39" s="419">
        <f>'5.Tiên lượng'!V46</f>
        <v>1</v>
      </c>
      <c r="J39" s="419">
        <f t="shared" ref="J39:J55" si="2">PRODUCT(G39,H39,I39)</f>
        <v>488.94455699999997</v>
      </c>
      <c r="K39" s="420"/>
      <c r="L39" s="420"/>
      <c r="M39" s="420"/>
      <c r="N39" s="420"/>
      <c r="O39" s="420"/>
      <c r="P39" s="420"/>
      <c r="Q39" s="419"/>
      <c r="R39" s="420"/>
      <c r="S39" s="420"/>
      <c r="T39" s="420"/>
      <c r="U39" s="420"/>
      <c r="V39" s="420"/>
      <c r="W39" s="420"/>
      <c r="X39" s="420"/>
      <c r="Y39" s="420"/>
      <c r="Z39" s="420"/>
      <c r="AA39" s="420"/>
    </row>
    <row r="40" spans="1:27" s="410" customFormat="1" ht="41.4">
      <c r="A40" s="413"/>
      <c r="B40" s="414"/>
      <c r="C40" s="413" t="str">
        <f>'5.Tiên lượng'!C59</f>
        <v>AF.15433</v>
      </c>
      <c r="D40" s="413"/>
      <c r="E40" s="415" t="str">
        <f>'5.Tiên lượng'!D59</f>
        <v>Bê tông sản xuất bằng máy trộn và đổ bằng thủ công, bê tông mặt đường dày mặt đường ≤25cm, bê tông M250, đá 2x4, PCB40</v>
      </c>
      <c r="F40" s="414" t="str">
        <f>'5.Tiên lượng'!E59</f>
        <v>m3</v>
      </c>
      <c r="G40" s="419">
        <f>'5.Tiên lượng'!M59</f>
        <v>12.764000000000001</v>
      </c>
      <c r="H40" s="419">
        <f>PTVT!G173</f>
        <v>0.54325000000000001</v>
      </c>
      <c r="I40" s="419">
        <f>'5.Tiên lượng'!V59</f>
        <v>1</v>
      </c>
      <c r="J40" s="419">
        <f t="shared" si="2"/>
        <v>6.9340430000000008</v>
      </c>
      <c r="K40" s="420"/>
      <c r="L40" s="420"/>
      <c r="M40" s="420"/>
      <c r="N40" s="420"/>
      <c r="O40" s="420"/>
      <c r="P40" s="420"/>
      <c r="Q40" s="419"/>
      <c r="R40" s="420"/>
      <c r="S40" s="420"/>
      <c r="T40" s="420"/>
      <c r="U40" s="420"/>
      <c r="V40" s="420"/>
      <c r="W40" s="420"/>
      <c r="X40" s="420"/>
      <c r="Y40" s="420"/>
      <c r="Z40" s="420"/>
      <c r="AA40" s="420"/>
    </row>
    <row r="41" spans="1:27" s="410" customFormat="1">
      <c r="A41" s="413"/>
      <c r="B41" s="414"/>
      <c r="C41" s="413" t="str">
        <f>'5.Tiên lượng'!C128</f>
        <v>AF.11231</v>
      </c>
      <c r="D41" s="413"/>
      <c r="E41" s="415" t="str">
        <f>'5.Tiên lượng'!D128</f>
        <v>BTXM móng rãnh, M150, đá 2x4, PCB40</v>
      </c>
      <c r="F41" s="414" t="str">
        <f>'5.Tiên lượng'!E128</f>
        <v>m3</v>
      </c>
      <c r="G41" s="419">
        <f>'5.Tiên lượng'!M128</f>
        <v>7.43</v>
      </c>
      <c r="H41" s="419">
        <f>PTVT!G466</f>
        <v>0.56272500000000003</v>
      </c>
      <c r="I41" s="419">
        <f>'5.Tiên lượng'!V128</f>
        <v>1</v>
      </c>
      <c r="J41" s="419">
        <f t="shared" si="2"/>
        <v>4.1810467500000001</v>
      </c>
      <c r="K41" s="420"/>
      <c r="L41" s="420"/>
      <c r="M41" s="420"/>
      <c r="N41" s="420"/>
      <c r="O41" s="420"/>
      <c r="P41" s="420"/>
      <c r="Q41" s="419"/>
      <c r="R41" s="420"/>
      <c r="S41" s="420"/>
      <c r="T41" s="420"/>
      <c r="U41" s="420"/>
      <c r="V41" s="420"/>
      <c r="W41" s="420"/>
      <c r="X41" s="420"/>
      <c r="Y41" s="420"/>
      <c r="Z41" s="420"/>
      <c r="AA41" s="420"/>
    </row>
    <row r="42" spans="1:27" s="410" customFormat="1" ht="41.4">
      <c r="A42" s="413"/>
      <c r="B42" s="414"/>
      <c r="C42" s="413" t="str">
        <f>'5.Tiên lượng'!C132</f>
        <v>AF.14212</v>
      </c>
      <c r="D42" s="413"/>
      <c r="E42" s="415" t="str">
        <f>'5.Tiên lượng'!D132</f>
        <v>Bê tông mũ mố, mũ trụ trên cạn SX bằng máy trộn, đổ bằng thủ công, bê tông M200, đá 1x2, PCB40</v>
      </c>
      <c r="F42" s="414" t="str">
        <f>'5.Tiên lượng'!E132</f>
        <v>m3</v>
      </c>
      <c r="G42" s="419">
        <f>'5.Tiên lượng'!M132</f>
        <v>5.91</v>
      </c>
      <c r="H42" s="419">
        <f>PTVT!G499</f>
        <v>0.54120000000000001</v>
      </c>
      <c r="I42" s="419">
        <f>'5.Tiên lượng'!V132</f>
        <v>1</v>
      </c>
      <c r="J42" s="419">
        <f t="shared" si="2"/>
        <v>3.1984920000000003</v>
      </c>
      <c r="K42" s="420"/>
      <c r="L42" s="420"/>
      <c r="M42" s="420"/>
      <c r="N42" s="420"/>
      <c r="O42" s="420"/>
      <c r="P42" s="420"/>
      <c r="Q42" s="419"/>
      <c r="R42" s="420"/>
      <c r="S42" s="420"/>
      <c r="T42" s="420"/>
      <c r="U42" s="420"/>
      <c r="V42" s="420"/>
      <c r="W42" s="420"/>
      <c r="X42" s="420"/>
      <c r="Y42" s="420"/>
      <c r="Z42" s="420"/>
      <c r="AA42" s="420"/>
    </row>
    <row r="43" spans="1:27" s="410" customFormat="1" ht="41.4">
      <c r="A43" s="413"/>
      <c r="B43" s="414"/>
      <c r="C43" s="413" t="str">
        <f>'5.Tiên lượng'!C138</f>
        <v>AG.11413</v>
      </c>
      <c r="D43" s="413"/>
      <c r="E43" s="415" t="str">
        <f>'5.Tiên lượng'!D138</f>
        <v>Bê tông tấm đan, mái hắt, lanh tô, bê tông M250, đá 1x2, PCB40 - Đổ bê tông đúc sẵn bằng thủ công (vữa bê tông sản xuất bằng máy trộn)</v>
      </c>
      <c r="F43" s="414" t="str">
        <f>'5.Tiên lượng'!E138</f>
        <v>m3</v>
      </c>
      <c r="G43" s="419">
        <f>'5.Tiên lượng'!M138</f>
        <v>6.64</v>
      </c>
      <c r="H43" s="419">
        <f>PTVT!G532</f>
        <v>0.52678499999999995</v>
      </c>
      <c r="I43" s="419">
        <f>'5.Tiên lượng'!V138</f>
        <v>1</v>
      </c>
      <c r="J43" s="419">
        <f t="shared" si="2"/>
        <v>3.4978523999999993</v>
      </c>
      <c r="K43" s="420"/>
      <c r="L43" s="420"/>
      <c r="M43" s="420"/>
      <c r="N43" s="420"/>
      <c r="O43" s="420"/>
      <c r="P43" s="420"/>
      <c r="Q43" s="419"/>
      <c r="R43" s="420"/>
      <c r="S43" s="420"/>
      <c r="T43" s="420"/>
      <c r="U43" s="420"/>
      <c r="V43" s="420"/>
      <c r="W43" s="420"/>
      <c r="X43" s="420"/>
      <c r="Y43" s="420"/>
      <c r="Z43" s="420"/>
      <c r="AA43" s="420"/>
    </row>
    <row r="44" spans="1:27" s="410" customFormat="1" ht="27.6">
      <c r="A44" s="413"/>
      <c r="B44" s="414"/>
      <c r="C44" s="413" t="str">
        <f>'5.Tiên lượng'!C148</f>
        <v>BB.13502</v>
      </c>
      <c r="D44" s="413"/>
      <c r="E44" s="415" t="str">
        <f>'5.Tiên lượng'!D148</f>
        <v xml:space="preserve">Nối ống bê tông bằng phương pháp xảm - Đường kính 300mm </v>
      </c>
      <c r="F44" s="414" t="str">
        <f>'5.Tiên lượng'!E148</f>
        <v>mối nối</v>
      </c>
      <c r="G44" s="419">
        <f>'5.Tiên lượng'!M148</f>
        <v>64</v>
      </c>
      <c r="H44" s="419">
        <f>PTVT!G579</f>
        <v>5.0927999999999998E-3</v>
      </c>
      <c r="I44" s="419">
        <f>'5.Tiên lượng'!V148</f>
        <v>1</v>
      </c>
      <c r="J44" s="419">
        <f t="shared" si="2"/>
        <v>0.32593919999999998</v>
      </c>
      <c r="K44" s="420"/>
      <c r="L44" s="420"/>
      <c r="M44" s="420"/>
      <c r="N44" s="420"/>
      <c r="O44" s="420"/>
      <c r="P44" s="420"/>
      <c r="Q44" s="419"/>
      <c r="R44" s="420"/>
      <c r="S44" s="420"/>
      <c r="T44" s="420"/>
      <c r="U44" s="420"/>
      <c r="V44" s="420"/>
      <c r="W44" s="420"/>
      <c r="X44" s="420"/>
      <c r="Y44" s="420"/>
      <c r="Z44" s="420"/>
      <c r="AA44" s="420"/>
    </row>
    <row r="45" spans="1:27" s="410" customFormat="1">
      <c r="A45" s="413"/>
      <c r="B45" s="414"/>
      <c r="C45" s="413" t="str">
        <f>'5.Tiên lượng'!C152</f>
        <v>AF.13211</v>
      </c>
      <c r="D45" s="413"/>
      <c r="E45" s="415" t="str">
        <f>'5.Tiên lượng'!D152</f>
        <v>BTXM rãnh dọc, M150, đá 1x2, PCB40</v>
      </c>
      <c r="F45" s="414" t="str">
        <f>'5.Tiên lượng'!E152</f>
        <v>m3</v>
      </c>
      <c r="G45" s="419">
        <f>'5.Tiên lượng'!M152</f>
        <v>3.3</v>
      </c>
      <c r="H45" s="419">
        <f>PTVT!G595</f>
        <v>0.55247500000000005</v>
      </c>
      <c r="I45" s="419">
        <f>'5.Tiên lượng'!V152</f>
        <v>1</v>
      </c>
      <c r="J45" s="419">
        <f t="shared" si="2"/>
        <v>1.8231675000000001</v>
      </c>
      <c r="K45" s="420"/>
      <c r="L45" s="420"/>
      <c r="M45" s="420"/>
      <c r="N45" s="420"/>
      <c r="O45" s="420"/>
      <c r="P45" s="420"/>
      <c r="Q45" s="419"/>
      <c r="R45" s="420"/>
      <c r="S45" s="420"/>
      <c r="T45" s="420"/>
      <c r="U45" s="420"/>
      <c r="V45" s="420"/>
      <c r="W45" s="420"/>
      <c r="X45" s="420"/>
      <c r="Y45" s="420"/>
      <c r="Z45" s="420"/>
      <c r="AA45" s="420"/>
    </row>
    <row r="46" spans="1:27" s="410" customFormat="1" ht="27.6">
      <c r="A46" s="413"/>
      <c r="B46" s="414"/>
      <c r="C46" s="413" t="str">
        <f>'5.Tiên lượng'!C163</f>
        <v>AE.11114</v>
      </c>
      <c r="D46" s="413"/>
      <c r="E46" s="415" t="str">
        <f>'5.Tiên lượng'!D163</f>
        <v>Khối xây bó nền bằng đá hộc - Chiều dày ≤60cm, vữa XM M100, PCB40</v>
      </c>
      <c r="F46" s="414" t="str">
        <f>'5.Tiên lượng'!E163</f>
        <v>m3</v>
      </c>
      <c r="G46" s="419">
        <f>'5.Tiên lượng'!M163</f>
        <v>3.6</v>
      </c>
      <c r="H46" s="419">
        <f>PTVT!G638</f>
        <v>0.48426000000000002</v>
      </c>
      <c r="I46" s="419">
        <f>'5.Tiên lượng'!V163</f>
        <v>1</v>
      </c>
      <c r="J46" s="419">
        <f t="shared" si="2"/>
        <v>1.7433360000000002</v>
      </c>
      <c r="K46" s="420"/>
      <c r="L46" s="420"/>
      <c r="M46" s="420"/>
      <c r="N46" s="420"/>
      <c r="O46" s="420"/>
      <c r="P46" s="420"/>
      <c r="Q46" s="419"/>
      <c r="R46" s="420"/>
      <c r="S46" s="420"/>
      <c r="T46" s="420"/>
      <c r="U46" s="420"/>
      <c r="V46" s="420"/>
      <c r="W46" s="420"/>
      <c r="X46" s="420"/>
      <c r="Y46" s="420"/>
      <c r="Z46" s="420"/>
      <c r="AA46" s="420"/>
    </row>
    <row r="47" spans="1:27" s="410" customFormat="1">
      <c r="A47" s="413"/>
      <c r="B47" s="414"/>
      <c r="C47" s="413" t="str">
        <f>'5.Tiên lượng'!C178</f>
        <v>AE.12314</v>
      </c>
      <c r="D47" s="413"/>
      <c r="E47" s="415" t="str">
        <f>'5.Tiên lượng'!D178</f>
        <v>Xây cống, vữa XM M100, PCB40</v>
      </c>
      <c r="F47" s="414" t="str">
        <f>'5.Tiên lượng'!E178</f>
        <v>m3</v>
      </c>
      <c r="G47" s="419">
        <f>'5.Tiên lượng'!M178</f>
        <v>41.57</v>
      </c>
      <c r="H47" s="419">
        <f>PTVT!G678</f>
        <v>0.48426000000000002</v>
      </c>
      <c r="I47" s="419">
        <f>'5.Tiên lượng'!V178</f>
        <v>1</v>
      </c>
      <c r="J47" s="419">
        <f t="shared" si="2"/>
        <v>20.130688200000002</v>
      </c>
      <c r="K47" s="420"/>
      <c r="L47" s="420"/>
      <c r="M47" s="420"/>
      <c r="N47" s="420"/>
      <c r="O47" s="420"/>
      <c r="P47" s="420"/>
      <c r="Q47" s="419"/>
      <c r="R47" s="420"/>
      <c r="S47" s="420"/>
      <c r="T47" s="420"/>
      <c r="U47" s="420"/>
      <c r="V47" s="420"/>
      <c r="W47" s="420"/>
      <c r="X47" s="420"/>
      <c r="Y47" s="420"/>
      <c r="Z47" s="420"/>
      <c r="AA47" s="420"/>
    </row>
    <row r="48" spans="1:27" s="410" customFormat="1" ht="27.6">
      <c r="A48" s="413"/>
      <c r="B48" s="414"/>
      <c r="C48" s="413" t="str">
        <f>'5.Tiên lượng'!C185</f>
        <v>BB.13503</v>
      </c>
      <c r="D48" s="413"/>
      <c r="E48" s="415" t="str">
        <f>'5.Tiên lượng'!D185</f>
        <v>Nối ống bê tông bằng phương pháp xảm - Đường kính 400mm</v>
      </c>
      <c r="F48" s="414" t="str">
        <f>'5.Tiên lượng'!E185</f>
        <v>mối nối</v>
      </c>
      <c r="G48" s="419">
        <f>'5.Tiên lượng'!M185</f>
        <v>13</v>
      </c>
      <c r="H48" s="419">
        <f>PTVT!G738</f>
        <v>6.7904000000000003E-3</v>
      </c>
      <c r="I48" s="419">
        <f>'5.Tiên lượng'!V185</f>
        <v>1</v>
      </c>
      <c r="J48" s="419">
        <f t="shared" si="2"/>
        <v>8.8275199999999998E-2</v>
      </c>
      <c r="K48" s="420"/>
      <c r="L48" s="420"/>
      <c r="M48" s="420"/>
      <c r="N48" s="420"/>
      <c r="O48" s="420"/>
      <c r="P48" s="420"/>
      <c r="Q48" s="419"/>
      <c r="R48" s="420"/>
      <c r="S48" s="420"/>
      <c r="T48" s="420"/>
      <c r="U48" s="420"/>
      <c r="V48" s="420"/>
      <c r="W48" s="420"/>
      <c r="X48" s="420"/>
      <c r="Y48" s="420"/>
      <c r="Z48" s="420"/>
      <c r="AA48" s="420"/>
    </row>
    <row r="49" spans="1:27" s="410" customFormat="1" ht="27.6">
      <c r="A49" s="413"/>
      <c r="B49" s="414"/>
      <c r="C49" s="413" t="str">
        <f>'5.Tiên lượng'!C186</f>
        <v>BB.13505</v>
      </c>
      <c r="D49" s="413"/>
      <c r="E49" s="415" t="str">
        <f>'5.Tiên lượng'!D186</f>
        <v>Nối ống bê tông bằng phương pháp xảm - Đường kính 600mm</v>
      </c>
      <c r="F49" s="414" t="str">
        <f>'5.Tiên lượng'!E186</f>
        <v>mối nối</v>
      </c>
      <c r="G49" s="419">
        <f>'5.Tiên lượng'!M186</f>
        <v>2</v>
      </c>
      <c r="H49" s="419">
        <f>PTVT!G745</f>
        <v>1.01856E-2</v>
      </c>
      <c r="I49" s="419">
        <f>'5.Tiên lượng'!V186</f>
        <v>1</v>
      </c>
      <c r="J49" s="419">
        <f t="shared" si="2"/>
        <v>2.0371199999999999E-2</v>
      </c>
      <c r="K49" s="420"/>
      <c r="L49" s="420"/>
      <c r="M49" s="420"/>
      <c r="N49" s="420"/>
      <c r="O49" s="420"/>
      <c r="P49" s="420"/>
      <c r="Q49" s="419"/>
      <c r="R49" s="420"/>
      <c r="S49" s="420"/>
      <c r="T49" s="420"/>
      <c r="U49" s="420"/>
      <c r="V49" s="420"/>
      <c r="W49" s="420"/>
      <c r="X49" s="420"/>
      <c r="Y49" s="420"/>
      <c r="Z49" s="420"/>
      <c r="AA49" s="420"/>
    </row>
    <row r="50" spans="1:27" s="410" customFormat="1" ht="27.6">
      <c r="A50" s="413"/>
      <c r="B50" s="414"/>
      <c r="C50" s="413" t="str">
        <f>'5.Tiên lượng'!C187</f>
        <v>BB.13507</v>
      </c>
      <c r="D50" s="413"/>
      <c r="E50" s="415" t="str">
        <f>'5.Tiên lượng'!D187</f>
        <v>Nối ống bê tông bằng phương pháp xảm - Đường kính 800mm</v>
      </c>
      <c r="F50" s="414" t="str">
        <f>'5.Tiên lượng'!E187</f>
        <v>mối nối</v>
      </c>
      <c r="G50" s="419">
        <f>'5.Tiên lượng'!M187</f>
        <v>1</v>
      </c>
      <c r="H50" s="419">
        <f>PTVT!G752</f>
        <v>1.3474699999999999E-2</v>
      </c>
      <c r="I50" s="419">
        <f>'5.Tiên lượng'!V187</f>
        <v>1</v>
      </c>
      <c r="J50" s="419">
        <f t="shared" si="2"/>
        <v>1.3474699999999999E-2</v>
      </c>
      <c r="K50" s="420"/>
      <c r="L50" s="420"/>
      <c r="M50" s="420"/>
      <c r="N50" s="420"/>
      <c r="O50" s="420"/>
      <c r="P50" s="420"/>
      <c r="Q50" s="419"/>
      <c r="R50" s="420"/>
      <c r="S50" s="420"/>
      <c r="T50" s="420"/>
      <c r="U50" s="420"/>
      <c r="V50" s="420"/>
      <c r="W50" s="420"/>
      <c r="X50" s="420"/>
      <c r="Y50" s="420"/>
      <c r="Z50" s="420"/>
      <c r="AA50" s="420"/>
    </row>
    <row r="51" spans="1:27" s="410" customFormat="1" ht="27.6">
      <c r="A51" s="413"/>
      <c r="B51" s="414"/>
      <c r="C51" s="413" t="str">
        <f>'5.Tiên lượng'!C192</f>
        <v>AF.12151</v>
      </c>
      <c r="D51" s="413"/>
      <c r="E51" s="415" t="str">
        <f>'5.Tiên lượng'!D192</f>
        <v>BTXM đầu cống - Chiều dày ≤45cm, chiều cao ≤6m, M150, đá 2x4, PCB40</v>
      </c>
      <c r="F51" s="414" t="str">
        <f>'5.Tiên lượng'!E192</f>
        <v>m3</v>
      </c>
      <c r="G51" s="419">
        <f>'5.Tiên lượng'!M192</f>
        <v>2.29</v>
      </c>
      <c r="H51" s="419">
        <f>PTVT!G771</f>
        <v>0.56272500000000003</v>
      </c>
      <c r="I51" s="419">
        <f>'5.Tiên lượng'!V192</f>
        <v>1</v>
      </c>
      <c r="J51" s="419">
        <f t="shared" si="2"/>
        <v>1.28864025</v>
      </c>
      <c r="K51" s="420"/>
      <c r="L51" s="420"/>
      <c r="M51" s="420"/>
      <c r="N51" s="420"/>
      <c r="O51" s="420"/>
      <c r="P51" s="420"/>
      <c r="Q51" s="419"/>
      <c r="R51" s="420"/>
      <c r="S51" s="420"/>
      <c r="T51" s="420"/>
      <c r="U51" s="420"/>
      <c r="V51" s="420"/>
      <c r="W51" s="420"/>
      <c r="X51" s="420"/>
      <c r="Y51" s="420"/>
      <c r="Z51" s="420"/>
      <c r="AA51" s="420"/>
    </row>
    <row r="52" spans="1:27" s="410" customFormat="1" ht="27.6">
      <c r="A52" s="413"/>
      <c r="B52" s="414"/>
      <c r="C52" s="413" t="str">
        <f>'5.Tiên lượng'!C193</f>
        <v>AF.12152</v>
      </c>
      <c r="D52" s="413"/>
      <c r="E52" s="415" t="str">
        <f>'5.Tiên lượng'!D193</f>
        <v>BTXM thân cống - Chiều dày ≤45cm, chiều cao ≤6m, M200, đá 2x4, PCB40</v>
      </c>
      <c r="F52" s="414" t="str">
        <f>'5.Tiên lượng'!E193</f>
        <v>m3</v>
      </c>
      <c r="G52" s="419">
        <f>'5.Tiên lượng'!M193</f>
        <v>1.0900000000000001</v>
      </c>
      <c r="H52" s="419">
        <f>PTVT!G783</f>
        <v>0.55349999999999999</v>
      </c>
      <c r="I52" s="419">
        <f>'5.Tiên lượng'!V193</f>
        <v>1</v>
      </c>
      <c r="J52" s="419">
        <f t="shared" si="2"/>
        <v>0.60331500000000005</v>
      </c>
      <c r="K52" s="420"/>
      <c r="L52" s="420"/>
      <c r="M52" s="420"/>
      <c r="N52" s="420"/>
      <c r="O52" s="420"/>
      <c r="P52" s="420"/>
      <c r="Q52" s="419"/>
      <c r="R52" s="420"/>
      <c r="S52" s="420"/>
      <c r="T52" s="420"/>
      <c r="U52" s="420"/>
      <c r="V52" s="420"/>
      <c r="W52" s="420"/>
      <c r="X52" s="420"/>
      <c r="Y52" s="420"/>
      <c r="Z52" s="420"/>
      <c r="AA52" s="420"/>
    </row>
    <row r="53" spans="1:27" s="410" customFormat="1">
      <c r="A53" s="413"/>
      <c r="B53" s="414"/>
      <c r="C53" s="413" t="str">
        <f>'5.Tiên lượng'!C194</f>
        <v>AF.11231</v>
      </c>
      <c r="D53" s="413"/>
      <c r="E53" s="415" t="str">
        <f>'5.Tiên lượng'!D194</f>
        <v>BTXM móng cống, M150, đá 2x4, PCB40</v>
      </c>
      <c r="F53" s="414" t="str">
        <f>'5.Tiên lượng'!E194</f>
        <v>m3</v>
      </c>
      <c r="G53" s="419">
        <f>'5.Tiên lượng'!M194</f>
        <v>4.38</v>
      </c>
      <c r="H53" s="419">
        <f>PTVT!G795</f>
        <v>0.56272500000000003</v>
      </c>
      <c r="I53" s="419">
        <f>'5.Tiên lượng'!V194</f>
        <v>1</v>
      </c>
      <c r="J53" s="419">
        <f t="shared" si="2"/>
        <v>2.4647355000000002</v>
      </c>
      <c r="K53" s="420"/>
      <c r="L53" s="420"/>
      <c r="M53" s="420"/>
      <c r="N53" s="420"/>
      <c r="O53" s="420"/>
      <c r="P53" s="420"/>
      <c r="Q53" s="419"/>
      <c r="R53" s="420"/>
      <c r="S53" s="420"/>
      <c r="T53" s="420"/>
      <c r="U53" s="420"/>
      <c r="V53" s="420"/>
      <c r="W53" s="420"/>
      <c r="X53" s="420"/>
      <c r="Y53" s="420"/>
      <c r="Z53" s="420"/>
      <c r="AA53" s="420"/>
    </row>
    <row r="54" spans="1:27" s="410" customFormat="1" ht="41.4">
      <c r="A54" s="413"/>
      <c r="B54" s="414"/>
      <c r="C54" s="413" t="str">
        <f>'5.Tiên lượng'!C195</f>
        <v>AG.11413</v>
      </c>
      <c r="D54" s="413"/>
      <c r="E54" s="415" t="str">
        <f>'5.Tiên lượng'!D195</f>
        <v>BTCT tấm bản mặt, M250, đá 1x2, PCB40 - Đổ bê tông đúc sẵn bằng thủ công (vữa bê tông sản xuất bằng máy trộn)</v>
      </c>
      <c r="F54" s="414" t="str">
        <f>'5.Tiên lượng'!E195</f>
        <v>m3</v>
      </c>
      <c r="G54" s="419">
        <f>'5.Tiên lượng'!M195</f>
        <v>1.23</v>
      </c>
      <c r="H54" s="419">
        <f>PTVT!G807</f>
        <v>0.52678499999999995</v>
      </c>
      <c r="I54" s="419">
        <f>'5.Tiên lượng'!V195</f>
        <v>1</v>
      </c>
      <c r="J54" s="419">
        <f t="shared" si="2"/>
        <v>0.64794554999999998</v>
      </c>
      <c r="K54" s="420"/>
      <c r="L54" s="420"/>
      <c r="M54" s="420"/>
      <c r="N54" s="420"/>
      <c r="O54" s="420"/>
      <c r="P54" s="420"/>
      <c r="Q54" s="419"/>
      <c r="R54" s="420"/>
      <c r="S54" s="420"/>
      <c r="T54" s="420"/>
      <c r="U54" s="420"/>
      <c r="V54" s="420"/>
      <c r="W54" s="420"/>
      <c r="X54" s="420"/>
      <c r="Y54" s="420"/>
      <c r="Z54" s="420"/>
      <c r="AA54" s="420"/>
    </row>
    <row r="55" spans="1:27" s="410" customFormat="1">
      <c r="A55" s="413"/>
      <c r="B55" s="414"/>
      <c r="C55" s="413" t="str">
        <f>'5.Tiên lượng'!C197</f>
        <v>AF.14232</v>
      </c>
      <c r="D55" s="413"/>
      <c r="E55" s="415" t="str">
        <f>'5.Tiên lượng'!D197</f>
        <v>BTCT mũ mố, M200, đá 2x4, PCB40</v>
      </c>
      <c r="F55" s="414" t="str">
        <f>'5.Tiên lượng'!E197</f>
        <v>m3</v>
      </c>
      <c r="G55" s="419">
        <f>'5.Tiên lượng'!M197</f>
        <v>0.79</v>
      </c>
      <c r="H55" s="419">
        <f>PTVT!G823</f>
        <v>0.55349999999999999</v>
      </c>
      <c r="I55" s="419">
        <f>'5.Tiên lượng'!V197</f>
        <v>1</v>
      </c>
      <c r="J55" s="419">
        <f t="shared" si="2"/>
        <v>0.43726500000000001</v>
      </c>
      <c r="K55" s="420"/>
      <c r="L55" s="420"/>
      <c r="M55" s="420"/>
      <c r="N55" s="420"/>
      <c r="O55" s="420"/>
      <c r="P55" s="420"/>
      <c r="Q55" s="419"/>
      <c r="R55" s="420"/>
      <c r="S55" s="420"/>
      <c r="T55" s="420"/>
      <c r="U55" s="420"/>
      <c r="V55" s="420"/>
      <c r="W55" s="420"/>
      <c r="X55" s="420"/>
      <c r="Y55" s="420"/>
      <c r="Z55" s="420"/>
      <c r="AA55" s="420"/>
    </row>
    <row r="56" spans="1:27">
      <c r="A56" s="246" t="s">
        <v>759</v>
      </c>
      <c r="B56" s="265">
        <v>14</v>
      </c>
      <c r="C56" s="670" t="s">
        <v>659</v>
      </c>
      <c r="D56" s="246"/>
      <c r="E56" s="266" t="str">
        <f>'Giá VL'!E18</f>
        <v>Đá 1x2</v>
      </c>
      <c r="F56" s="265" t="str">
        <f>'Giá VL'!F18</f>
        <v>m3</v>
      </c>
      <c r="G56" s="268"/>
      <c r="H56" s="268"/>
      <c r="I56" s="268"/>
      <c r="J56" s="268">
        <f>SUM(J57:J60)</f>
        <v>15.106360500000001</v>
      </c>
      <c r="K56" s="421">
        <f>'Giá VL'!G18</f>
        <v>160000</v>
      </c>
      <c r="L56" s="421">
        <f>J56*K56</f>
        <v>2417017.6800000002</v>
      </c>
      <c r="M56" s="421">
        <f>'Giá VL'!J18</f>
        <v>260000</v>
      </c>
      <c r="N56" s="421">
        <f>J56*M56</f>
        <v>3927653.7300000004</v>
      </c>
      <c r="O56" s="540">
        <f>M56-K56</f>
        <v>100000</v>
      </c>
      <c r="P56" s="421">
        <f>J56*O56</f>
        <v>1510636.05</v>
      </c>
      <c r="Q56" s="268">
        <v>1</v>
      </c>
      <c r="R56" s="421">
        <f>M56*Q56</f>
        <v>260000</v>
      </c>
      <c r="S56" s="421">
        <f>J56*R56</f>
        <v>3927653.7300000004</v>
      </c>
      <c r="T56" s="540">
        <v>0</v>
      </c>
      <c r="U56" s="421">
        <v>0</v>
      </c>
      <c r="V56" s="421">
        <v>70458.054755870995</v>
      </c>
      <c r="W56" s="421">
        <v>1064364.77527093</v>
      </c>
      <c r="X56" s="421">
        <f>'Giá VL'!V18</f>
        <v>330458.0547558713</v>
      </c>
      <c r="Y56" s="421">
        <f>J56*X56</f>
        <v>4992018.5052709319</v>
      </c>
      <c r="Z56" s="421">
        <f>X56-K56</f>
        <v>170458.0547558713</v>
      </c>
      <c r="AA56" s="421">
        <f>J56*Z56</f>
        <v>2575000.8252709317</v>
      </c>
    </row>
    <row r="57" spans="1:27" s="410" customFormat="1" ht="41.4">
      <c r="A57" s="413"/>
      <c r="B57" s="414"/>
      <c r="C57" s="413" t="str">
        <f>'5.Tiên lượng'!C132</f>
        <v>AF.14212</v>
      </c>
      <c r="D57" s="413"/>
      <c r="E57" s="415" t="str">
        <f>'5.Tiên lượng'!D132</f>
        <v>Bê tông mũ mố, mũ trụ trên cạn SX bằng máy trộn, đổ bằng thủ công, bê tông M200, đá 1x2, PCB40</v>
      </c>
      <c r="F57" s="414" t="str">
        <f>'5.Tiên lượng'!E132</f>
        <v>m3</v>
      </c>
      <c r="G57" s="419">
        <f>'5.Tiên lượng'!M132</f>
        <v>5.91</v>
      </c>
      <c r="H57" s="419">
        <f>PTVT!G500</f>
        <v>0.89277499999999999</v>
      </c>
      <c r="I57" s="419">
        <f>'5.Tiên lượng'!V132</f>
        <v>1</v>
      </c>
      <c r="J57" s="419">
        <f t="shared" ref="J57:J60" si="3">PRODUCT(G57,H57,I57)</f>
        <v>5.2763002500000002</v>
      </c>
      <c r="K57" s="420"/>
      <c r="L57" s="420"/>
      <c r="M57" s="420"/>
      <c r="N57" s="420"/>
      <c r="O57" s="420"/>
      <c r="P57" s="420"/>
      <c r="Q57" s="419"/>
      <c r="R57" s="420"/>
      <c r="S57" s="420"/>
      <c r="T57" s="420"/>
      <c r="U57" s="420"/>
      <c r="V57" s="420"/>
      <c r="W57" s="420"/>
      <c r="X57" s="420"/>
      <c r="Y57" s="420"/>
      <c r="Z57" s="420"/>
      <c r="AA57" s="420"/>
    </row>
    <row r="58" spans="1:27" s="410" customFormat="1" ht="41.4">
      <c r="A58" s="413"/>
      <c r="B58" s="414"/>
      <c r="C58" s="413" t="str">
        <f>'5.Tiên lượng'!C138</f>
        <v>AG.11413</v>
      </c>
      <c r="D58" s="413"/>
      <c r="E58" s="415" t="str">
        <f>'5.Tiên lượng'!D138</f>
        <v>Bê tông tấm đan, mái hắt, lanh tô, bê tông M250, đá 1x2, PCB40 - Đổ bê tông đúc sẵn bằng thủ công (vữa bê tông sản xuất bằng máy trộn)</v>
      </c>
      <c r="F58" s="414" t="str">
        <f>'5.Tiên lượng'!E138</f>
        <v>m3</v>
      </c>
      <c r="G58" s="419">
        <f>'5.Tiên lượng'!M138</f>
        <v>6.64</v>
      </c>
      <c r="H58" s="419">
        <f>PTVT!G533</f>
        <v>0.86782499999999996</v>
      </c>
      <c r="I58" s="419">
        <f>'5.Tiên lượng'!V138</f>
        <v>1</v>
      </c>
      <c r="J58" s="419">
        <f t="shared" si="3"/>
        <v>5.7623579999999999</v>
      </c>
      <c r="K58" s="420"/>
      <c r="L58" s="420"/>
      <c r="M58" s="420"/>
      <c r="N58" s="420"/>
      <c r="O58" s="420"/>
      <c r="P58" s="420"/>
      <c r="Q58" s="419"/>
      <c r="R58" s="420"/>
      <c r="S58" s="420"/>
      <c r="T58" s="420"/>
      <c r="U58" s="420"/>
      <c r="V58" s="420"/>
      <c r="W58" s="420"/>
      <c r="X58" s="420"/>
      <c r="Y58" s="420"/>
      <c r="Z58" s="420"/>
      <c r="AA58" s="420"/>
    </row>
    <row r="59" spans="1:27" s="410" customFormat="1">
      <c r="A59" s="413"/>
      <c r="B59" s="414"/>
      <c r="C59" s="413" t="str">
        <f>'5.Tiên lượng'!C152</f>
        <v>AF.13211</v>
      </c>
      <c r="D59" s="413"/>
      <c r="E59" s="415" t="str">
        <f>'5.Tiên lượng'!D152</f>
        <v>BTXM rãnh dọc, M150, đá 1x2, PCB40</v>
      </c>
      <c r="F59" s="414" t="str">
        <f>'5.Tiên lượng'!E152</f>
        <v>m3</v>
      </c>
      <c r="G59" s="419">
        <f>'5.Tiên lượng'!M152</f>
        <v>3.3</v>
      </c>
      <c r="H59" s="419">
        <f>PTVT!G596</f>
        <v>0.90917499999999996</v>
      </c>
      <c r="I59" s="419">
        <f>'5.Tiên lượng'!V152</f>
        <v>1</v>
      </c>
      <c r="J59" s="419">
        <f t="shared" si="3"/>
        <v>3.0002774999999997</v>
      </c>
      <c r="K59" s="420"/>
      <c r="L59" s="420"/>
      <c r="M59" s="420"/>
      <c r="N59" s="420"/>
      <c r="O59" s="420"/>
      <c r="P59" s="420"/>
      <c r="Q59" s="419"/>
      <c r="R59" s="420"/>
      <c r="S59" s="420"/>
      <c r="T59" s="420"/>
      <c r="U59" s="420"/>
      <c r="V59" s="420"/>
      <c r="W59" s="420"/>
      <c r="X59" s="420"/>
      <c r="Y59" s="420"/>
      <c r="Z59" s="420"/>
      <c r="AA59" s="420"/>
    </row>
    <row r="60" spans="1:27" s="410" customFormat="1" ht="41.4">
      <c r="A60" s="413"/>
      <c r="B60" s="414"/>
      <c r="C60" s="413" t="str">
        <f>'5.Tiên lượng'!C195</f>
        <v>AG.11413</v>
      </c>
      <c r="D60" s="413"/>
      <c r="E60" s="415" t="str">
        <f>'5.Tiên lượng'!D195</f>
        <v>BTCT tấm bản mặt, M250, đá 1x2, PCB40 - Đổ bê tông đúc sẵn bằng thủ công (vữa bê tông sản xuất bằng máy trộn)</v>
      </c>
      <c r="F60" s="414" t="str">
        <f>'5.Tiên lượng'!E195</f>
        <v>m3</v>
      </c>
      <c r="G60" s="419">
        <f>'5.Tiên lượng'!M195</f>
        <v>1.23</v>
      </c>
      <c r="H60" s="419">
        <f>PTVT!G808</f>
        <v>0.86782499999999996</v>
      </c>
      <c r="I60" s="419">
        <f>'5.Tiên lượng'!V195</f>
        <v>1</v>
      </c>
      <c r="J60" s="419">
        <f t="shared" si="3"/>
        <v>1.06742475</v>
      </c>
      <c r="K60" s="420"/>
      <c r="L60" s="420"/>
      <c r="M60" s="420"/>
      <c r="N60" s="420"/>
      <c r="O60" s="420"/>
      <c r="P60" s="420"/>
      <c r="Q60" s="419"/>
      <c r="R60" s="420"/>
      <c r="S60" s="420"/>
      <c r="T60" s="420"/>
      <c r="U60" s="420"/>
      <c r="V60" s="420"/>
      <c r="W60" s="420"/>
      <c r="X60" s="420"/>
      <c r="Y60" s="420"/>
      <c r="Z60" s="420"/>
      <c r="AA60" s="420"/>
    </row>
    <row r="61" spans="1:27">
      <c r="A61" s="246" t="s">
        <v>759</v>
      </c>
      <c r="B61" s="265">
        <v>15</v>
      </c>
      <c r="C61" s="670" t="s">
        <v>616</v>
      </c>
      <c r="D61" s="246"/>
      <c r="E61" s="266" t="str">
        <f>'Giá VL'!E19</f>
        <v>Đá 2x4</v>
      </c>
      <c r="F61" s="265" t="str">
        <f>'Giá VL'!F19</f>
        <v>m3</v>
      </c>
      <c r="G61" s="268"/>
      <c r="H61" s="268"/>
      <c r="I61" s="268"/>
      <c r="J61" s="268">
        <f>SUM(J62:J68)</f>
        <v>820.119597</v>
      </c>
      <c r="K61" s="421">
        <f>'Giá VL'!G19</f>
        <v>150000</v>
      </c>
      <c r="L61" s="421">
        <f>J61*K61</f>
        <v>123017939.55</v>
      </c>
      <c r="M61" s="421">
        <f>'Giá VL'!J19</f>
        <v>240000</v>
      </c>
      <c r="N61" s="421">
        <f>J61*M61</f>
        <v>196828703.28</v>
      </c>
      <c r="O61" s="540">
        <f>M61-K61</f>
        <v>90000</v>
      </c>
      <c r="P61" s="421">
        <f>J61*O61</f>
        <v>73810763.730000004</v>
      </c>
      <c r="Q61" s="268">
        <v>1</v>
      </c>
      <c r="R61" s="421">
        <f>M61*Q61</f>
        <v>240000</v>
      </c>
      <c r="S61" s="421">
        <f>J61*R61</f>
        <v>196828703.28</v>
      </c>
      <c r="T61" s="540">
        <v>0</v>
      </c>
      <c r="U61" s="421">
        <v>0</v>
      </c>
      <c r="V61" s="421">
        <v>70458.054755870995</v>
      </c>
      <c r="W61" s="421">
        <v>57784031.471788898</v>
      </c>
      <c r="X61" s="421">
        <f>'Giá VL'!V19</f>
        <v>310458.0547558713</v>
      </c>
      <c r="Y61" s="421">
        <f>J61*X61</f>
        <v>254612734.75178909</v>
      </c>
      <c r="Z61" s="421">
        <f>X61-K61</f>
        <v>160458.0547558713</v>
      </c>
      <c r="AA61" s="421">
        <f>J61*Z61</f>
        <v>131594795.20178911</v>
      </c>
    </row>
    <row r="62" spans="1:27" s="410" customFormat="1" ht="41.4">
      <c r="A62" s="413"/>
      <c r="B62" s="414"/>
      <c r="C62" s="413" t="str">
        <f>'5.Tiên lượng'!C46</f>
        <v>AF.15433</v>
      </c>
      <c r="D62" s="413"/>
      <c r="E62" s="415" t="str">
        <f>'5.Tiên lượng'!D46</f>
        <v>Bê tông sản xuất bằng máy trộn và đổ bằng thủ công, bê tông mặt đường dày mặt đường ≤25cm, bê tông M250, đá 2x4, PCB40</v>
      </c>
      <c r="F62" s="414" t="str">
        <f>'5.Tiên lượng'!E46</f>
        <v>m3</v>
      </c>
      <c r="G62" s="419">
        <f>'5.Tiên lượng'!M46</f>
        <v>900.03599999999994</v>
      </c>
      <c r="H62" s="419">
        <f>PTVT!G117</f>
        <v>0.882525</v>
      </c>
      <c r="I62" s="419">
        <f>'5.Tiên lượng'!V46</f>
        <v>1</v>
      </c>
      <c r="J62" s="419">
        <f t="shared" ref="J62:J68" si="4">PRODUCT(G62,H62,I62)</f>
        <v>794.30427090000001</v>
      </c>
      <c r="K62" s="420"/>
      <c r="L62" s="420"/>
      <c r="M62" s="420"/>
      <c r="N62" s="420"/>
      <c r="O62" s="420"/>
      <c r="P62" s="420"/>
      <c r="Q62" s="419"/>
      <c r="R62" s="420"/>
      <c r="S62" s="420"/>
      <c r="T62" s="420"/>
      <c r="U62" s="420"/>
      <c r="V62" s="420"/>
      <c r="W62" s="420"/>
      <c r="X62" s="420"/>
      <c r="Y62" s="420"/>
      <c r="Z62" s="420"/>
      <c r="AA62" s="420"/>
    </row>
    <row r="63" spans="1:27" s="410" customFormat="1" ht="41.4">
      <c r="A63" s="413"/>
      <c r="B63" s="414"/>
      <c r="C63" s="413" t="str">
        <f>'5.Tiên lượng'!C59</f>
        <v>AF.15433</v>
      </c>
      <c r="D63" s="413"/>
      <c r="E63" s="415" t="str">
        <f>'5.Tiên lượng'!D59</f>
        <v>Bê tông sản xuất bằng máy trộn và đổ bằng thủ công, bê tông mặt đường dày mặt đường ≤25cm, bê tông M250, đá 2x4, PCB40</v>
      </c>
      <c r="F63" s="414" t="str">
        <f>'5.Tiên lượng'!E59</f>
        <v>m3</v>
      </c>
      <c r="G63" s="419">
        <f>'5.Tiên lượng'!M59</f>
        <v>12.764000000000001</v>
      </c>
      <c r="H63" s="419">
        <f>PTVT!G174</f>
        <v>0.882525</v>
      </c>
      <c r="I63" s="419">
        <f>'5.Tiên lượng'!V59</f>
        <v>1</v>
      </c>
      <c r="J63" s="419">
        <f t="shared" si="4"/>
        <v>11.264549100000002</v>
      </c>
      <c r="K63" s="420"/>
      <c r="L63" s="420"/>
      <c r="M63" s="420"/>
      <c r="N63" s="420"/>
      <c r="O63" s="420"/>
      <c r="P63" s="420"/>
      <c r="Q63" s="419"/>
      <c r="R63" s="420"/>
      <c r="S63" s="420"/>
      <c r="T63" s="420"/>
      <c r="U63" s="420"/>
      <c r="V63" s="420"/>
      <c r="W63" s="420"/>
      <c r="X63" s="420"/>
      <c r="Y63" s="420"/>
      <c r="Z63" s="420"/>
      <c r="AA63" s="420"/>
    </row>
    <row r="64" spans="1:27" s="410" customFormat="1">
      <c r="A64" s="413"/>
      <c r="B64" s="414"/>
      <c r="C64" s="413" t="str">
        <f>'5.Tiên lượng'!C128</f>
        <v>AF.11231</v>
      </c>
      <c r="D64" s="413"/>
      <c r="E64" s="415" t="str">
        <f>'5.Tiên lượng'!D128</f>
        <v>BTXM móng rãnh, M150, đá 2x4, PCB40</v>
      </c>
      <c r="F64" s="414" t="str">
        <f>'5.Tiên lượng'!E128</f>
        <v>m3</v>
      </c>
      <c r="G64" s="419">
        <f>'5.Tiên lượng'!M128</f>
        <v>7.43</v>
      </c>
      <c r="H64" s="419">
        <f>PTVT!G467</f>
        <v>0.91225000000000001</v>
      </c>
      <c r="I64" s="419">
        <f>'5.Tiên lượng'!V128</f>
        <v>1</v>
      </c>
      <c r="J64" s="419">
        <f t="shared" si="4"/>
        <v>6.7780174999999998</v>
      </c>
      <c r="K64" s="420"/>
      <c r="L64" s="420"/>
      <c r="M64" s="420"/>
      <c r="N64" s="420"/>
      <c r="O64" s="420"/>
      <c r="P64" s="420"/>
      <c r="Q64" s="419"/>
      <c r="R64" s="420"/>
      <c r="S64" s="420"/>
      <c r="T64" s="420"/>
      <c r="U64" s="420"/>
      <c r="V64" s="420"/>
      <c r="W64" s="420"/>
      <c r="X64" s="420"/>
      <c r="Y64" s="420"/>
      <c r="Z64" s="420"/>
      <c r="AA64" s="420"/>
    </row>
    <row r="65" spans="1:27" s="410" customFormat="1" ht="27.6">
      <c r="A65" s="413"/>
      <c r="B65" s="414"/>
      <c r="C65" s="413" t="str">
        <f>'5.Tiên lượng'!C192</f>
        <v>AF.12151</v>
      </c>
      <c r="D65" s="413"/>
      <c r="E65" s="415" t="str">
        <f>'5.Tiên lượng'!D192</f>
        <v>BTXM đầu cống - Chiều dày ≤45cm, chiều cao ≤6m, M150, đá 2x4, PCB40</v>
      </c>
      <c r="F65" s="414" t="str">
        <f>'5.Tiên lượng'!E192</f>
        <v>m3</v>
      </c>
      <c r="G65" s="419">
        <f>'5.Tiên lượng'!M192</f>
        <v>2.29</v>
      </c>
      <c r="H65" s="419">
        <f>PTVT!G772</f>
        <v>0.91225000000000001</v>
      </c>
      <c r="I65" s="419">
        <f>'5.Tiên lượng'!V192</f>
        <v>1</v>
      </c>
      <c r="J65" s="419">
        <f t="shared" si="4"/>
        <v>2.0890525000000002</v>
      </c>
      <c r="K65" s="420"/>
      <c r="L65" s="420"/>
      <c r="M65" s="420"/>
      <c r="N65" s="420"/>
      <c r="O65" s="420"/>
      <c r="P65" s="420"/>
      <c r="Q65" s="419"/>
      <c r="R65" s="420"/>
      <c r="S65" s="420"/>
      <c r="T65" s="420"/>
      <c r="U65" s="420"/>
      <c r="V65" s="420"/>
      <c r="W65" s="420"/>
      <c r="X65" s="420"/>
      <c r="Y65" s="420"/>
      <c r="Z65" s="420"/>
      <c r="AA65" s="420"/>
    </row>
    <row r="66" spans="1:27" s="410" customFormat="1" ht="27.6">
      <c r="A66" s="413"/>
      <c r="B66" s="414"/>
      <c r="C66" s="413" t="str">
        <f>'5.Tiên lượng'!C193</f>
        <v>AF.12152</v>
      </c>
      <c r="D66" s="413"/>
      <c r="E66" s="415" t="str">
        <f>'5.Tiên lượng'!D193</f>
        <v>BTXM thân cống - Chiều dày ≤45cm, chiều cao ≤6m, M200, đá 2x4, PCB40</v>
      </c>
      <c r="F66" s="414" t="str">
        <f>'5.Tiên lượng'!E193</f>
        <v>m3</v>
      </c>
      <c r="G66" s="419">
        <f>'5.Tiên lượng'!M193</f>
        <v>1.0900000000000001</v>
      </c>
      <c r="H66" s="419">
        <f>PTVT!G784</f>
        <v>0.89790000000000003</v>
      </c>
      <c r="I66" s="419">
        <f>'5.Tiên lượng'!V193</f>
        <v>1</v>
      </c>
      <c r="J66" s="419">
        <f t="shared" si="4"/>
        <v>0.97871100000000011</v>
      </c>
      <c r="K66" s="420"/>
      <c r="L66" s="420"/>
      <c r="M66" s="420"/>
      <c r="N66" s="420"/>
      <c r="O66" s="420"/>
      <c r="P66" s="420"/>
      <c r="Q66" s="419"/>
      <c r="R66" s="420"/>
      <c r="S66" s="420"/>
      <c r="T66" s="420"/>
      <c r="U66" s="420"/>
      <c r="V66" s="420"/>
      <c r="W66" s="420"/>
      <c r="X66" s="420"/>
      <c r="Y66" s="420"/>
      <c r="Z66" s="420"/>
      <c r="AA66" s="420"/>
    </row>
    <row r="67" spans="1:27" s="410" customFormat="1">
      <c r="A67" s="413"/>
      <c r="B67" s="414"/>
      <c r="C67" s="413" t="str">
        <f>'5.Tiên lượng'!C194</f>
        <v>AF.11231</v>
      </c>
      <c r="D67" s="413"/>
      <c r="E67" s="415" t="str">
        <f>'5.Tiên lượng'!D194</f>
        <v>BTXM móng cống, M150, đá 2x4, PCB40</v>
      </c>
      <c r="F67" s="414" t="str">
        <f>'5.Tiên lượng'!E194</f>
        <v>m3</v>
      </c>
      <c r="G67" s="419">
        <f>'5.Tiên lượng'!M194</f>
        <v>4.38</v>
      </c>
      <c r="H67" s="419">
        <f>PTVT!G796</f>
        <v>0.91225000000000001</v>
      </c>
      <c r="I67" s="419">
        <f>'5.Tiên lượng'!V194</f>
        <v>1</v>
      </c>
      <c r="J67" s="419">
        <f t="shared" si="4"/>
        <v>3.9956549999999997</v>
      </c>
      <c r="K67" s="420"/>
      <c r="L67" s="420"/>
      <c r="M67" s="420"/>
      <c r="N67" s="420"/>
      <c r="O67" s="420"/>
      <c r="P67" s="420"/>
      <c r="Q67" s="419"/>
      <c r="R67" s="420"/>
      <c r="S67" s="420"/>
      <c r="T67" s="420"/>
      <c r="U67" s="420"/>
      <c r="V67" s="420"/>
      <c r="W67" s="420"/>
      <c r="X67" s="420"/>
      <c r="Y67" s="420"/>
      <c r="Z67" s="420"/>
      <c r="AA67" s="420"/>
    </row>
    <row r="68" spans="1:27" s="410" customFormat="1">
      <c r="A68" s="413"/>
      <c r="B68" s="414"/>
      <c r="C68" s="413" t="str">
        <f>'5.Tiên lượng'!C197</f>
        <v>AF.14232</v>
      </c>
      <c r="D68" s="413"/>
      <c r="E68" s="415" t="str">
        <f>'5.Tiên lượng'!D197</f>
        <v>BTCT mũ mố, M200, đá 2x4, PCB40</v>
      </c>
      <c r="F68" s="414" t="str">
        <f>'5.Tiên lượng'!E197</f>
        <v>m3</v>
      </c>
      <c r="G68" s="419">
        <f>'5.Tiên lượng'!M197</f>
        <v>0.79</v>
      </c>
      <c r="H68" s="419">
        <f>PTVT!G824</f>
        <v>0.89790000000000003</v>
      </c>
      <c r="I68" s="419">
        <f>'5.Tiên lượng'!V197</f>
        <v>1</v>
      </c>
      <c r="J68" s="419">
        <f t="shared" si="4"/>
        <v>0.70934100000000011</v>
      </c>
      <c r="K68" s="420"/>
      <c r="L68" s="420"/>
      <c r="M68" s="420"/>
      <c r="N68" s="420"/>
      <c r="O68" s="420"/>
      <c r="P68" s="420"/>
      <c r="Q68" s="419"/>
      <c r="R68" s="420"/>
      <c r="S68" s="420"/>
      <c r="T68" s="420"/>
      <c r="U68" s="420"/>
      <c r="V68" s="420"/>
      <c r="W68" s="420"/>
      <c r="X68" s="420"/>
      <c r="Y68" s="420"/>
      <c r="Z68" s="420"/>
      <c r="AA68" s="420"/>
    </row>
    <row r="69" spans="1:27">
      <c r="A69" s="246" t="s">
        <v>759</v>
      </c>
      <c r="B69" s="265">
        <v>16</v>
      </c>
      <c r="C69" s="670" t="s">
        <v>653</v>
      </c>
      <c r="D69" s="246"/>
      <c r="E69" s="266" t="str">
        <f>'Giá VL'!E20</f>
        <v>Đá cấp phối dmax ≤ 4</v>
      </c>
      <c r="F69" s="265" t="str">
        <f>'Giá VL'!F20</f>
        <v>m3</v>
      </c>
      <c r="G69" s="268"/>
      <c r="H69" s="268"/>
      <c r="I69" s="268"/>
      <c r="J69" s="268">
        <f>SUM(J70:J72)</f>
        <v>16.127999999999997</v>
      </c>
      <c r="K69" s="421">
        <f>'Giá VL'!G20</f>
        <v>160000</v>
      </c>
      <c r="L69" s="421">
        <f>J69*K69</f>
        <v>2580479.9999999995</v>
      </c>
      <c r="M69" s="421">
        <f>'Giá VL'!J20</f>
        <v>260000</v>
      </c>
      <c r="N69" s="421">
        <f>J69*M69</f>
        <v>4193279.9999999991</v>
      </c>
      <c r="O69" s="540">
        <f>M69-K69</f>
        <v>100000</v>
      </c>
      <c r="P69" s="421">
        <f>J69*O69</f>
        <v>1612799.9999999998</v>
      </c>
      <c r="Q69" s="268">
        <v>1</v>
      </c>
      <c r="R69" s="421">
        <f>M69*Q69</f>
        <v>260000</v>
      </c>
      <c r="S69" s="421">
        <f>J69*R69</f>
        <v>4193279.9999999991</v>
      </c>
      <c r="T69" s="540">
        <v>0</v>
      </c>
      <c r="U69" s="421">
        <v>0</v>
      </c>
      <c r="V69" s="421">
        <v>70458.054755870995</v>
      </c>
      <c r="W69" s="421">
        <v>1136347.5071026899</v>
      </c>
      <c r="X69" s="421">
        <f>'Giá VL'!V20</f>
        <v>330458.0547558713</v>
      </c>
      <c r="Y69" s="421">
        <f>J69*X69</f>
        <v>5329627.5071026916</v>
      </c>
      <c r="Z69" s="421">
        <f>X69-K69</f>
        <v>170458.0547558713</v>
      </c>
      <c r="AA69" s="421">
        <f>J69*Z69</f>
        <v>2749147.5071026916</v>
      </c>
    </row>
    <row r="70" spans="1:27" s="410" customFormat="1">
      <c r="A70" s="413"/>
      <c r="B70" s="414"/>
      <c r="C70" s="413" t="str">
        <f>'5.Tiên lượng'!C127</f>
        <v>AK.98110(VD)</v>
      </c>
      <c r="D70" s="413"/>
      <c r="E70" s="415" t="str">
        <f>'5.Tiên lượng'!D127</f>
        <v>Đá dăm đệm rãnh, đá (1x2)cm, dày 10cm</v>
      </c>
      <c r="F70" s="414" t="str">
        <f>'5.Tiên lượng'!E127</f>
        <v>m3</v>
      </c>
      <c r="G70" s="419">
        <f>'5.Tiên lượng'!M127</f>
        <v>7.43</v>
      </c>
      <c r="H70" s="419">
        <f>PTVT!G459</f>
        <v>1.2</v>
      </c>
      <c r="I70" s="419">
        <f>'5.Tiên lượng'!V127</f>
        <v>1</v>
      </c>
      <c r="J70" s="419">
        <f t="shared" ref="J70:J72" si="5">PRODUCT(G70,H70,I70)</f>
        <v>8.9159999999999986</v>
      </c>
      <c r="K70" s="420"/>
      <c r="L70" s="420"/>
      <c r="M70" s="420"/>
      <c r="N70" s="420"/>
      <c r="O70" s="420"/>
      <c r="P70" s="420"/>
      <c r="Q70" s="419"/>
      <c r="R70" s="420"/>
      <c r="S70" s="420"/>
      <c r="T70" s="420"/>
      <c r="U70" s="420"/>
      <c r="V70" s="420"/>
      <c r="W70" s="420"/>
      <c r="X70" s="420"/>
      <c r="Y70" s="420"/>
      <c r="Z70" s="420"/>
      <c r="AA70" s="420"/>
    </row>
    <row r="71" spans="1:27" s="410" customFormat="1">
      <c r="A71" s="413"/>
      <c r="B71" s="414"/>
      <c r="C71" s="413" t="str">
        <f>'5.Tiên lượng'!C156</f>
        <v>AK.98110</v>
      </c>
      <c r="D71" s="413"/>
      <c r="E71" s="415" t="str">
        <f>'5.Tiên lượng'!D156</f>
        <v>Cấp phối đá dăm đệm móng, dày 5cm</v>
      </c>
      <c r="F71" s="414" t="str">
        <f>'5.Tiên lượng'!E156</f>
        <v>m3</v>
      </c>
      <c r="G71" s="419">
        <f>'5.Tiên lượng'!M156</f>
        <v>0.66</v>
      </c>
      <c r="H71" s="419">
        <f>PTVT!G612</f>
        <v>1.2</v>
      </c>
      <c r="I71" s="419">
        <f>'5.Tiên lượng'!V156</f>
        <v>1</v>
      </c>
      <c r="J71" s="419">
        <f t="shared" si="5"/>
        <v>0.79200000000000004</v>
      </c>
      <c r="K71" s="420"/>
      <c r="L71" s="420"/>
      <c r="M71" s="420"/>
      <c r="N71" s="420"/>
      <c r="O71" s="420"/>
      <c r="P71" s="420"/>
      <c r="Q71" s="419"/>
      <c r="R71" s="420"/>
      <c r="S71" s="420"/>
      <c r="T71" s="420"/>
      <c r="U71" s="420"/>
      <c r="V71" s="420"/>
      <c r="W71" s="420"/>
      <c r="X71" s="420"/>
      <c r="Y71" s="420"/>
      <c r="Z71" s="420"/>
      <c r="AA71" s="420"/>
    </row>
    <row r="72" spans="1:27" s="410" customFormat="1">
      <c r="A72" s="413"/>
      <c r="B72" s="414"/>
      <c r="C72" s="413" t="str">
        <f>'5.Tiên lượng'!C179</f>
        <v>AK.98110</v>
      </c>
      <c r="D72" s="413"/>
      <c r="E72" s="415" t="str">
        <f>'5.Tiên lượng'!D179</f>
        <v>Đá dăm đệm móng, đá (2x4)cm, dày 5cm</v>
      </c>
      <c r="F72" s="414" t="str">
        <f>'5.Tiên lượng'!E179</f>
        <v>m3</v>
      </c>
      <c r="G72" s="419">
        <f>'5.Tiên lượng'!M179</f>
        <v>5.35</v>
      </c>
      <c r="H72" s="419">
        <f>PTVT!G687</f>
        <v>1.2</v>
      </c>
      <c r="I72" s="419">
        <f>'5.Tiên lượng'!V179</f>
        <v>1</v>
      </c>
      <c r="J72" s="419">
        <f t="shared" si="5"/>
        <v>6.419999999999999</v>
      </c>
      <c r="K72" s="420"/>
      <c r="L72" s="420"/>
      <c r="M72" s="420"/>
      <c r="N72" s="420"/>
      <c r="O72" s="420"/>
      <c r="P72" s="420"/>
      <c r="Q72" s="419"/>
      <c r="R72" s="420"/>
      <c r="S72" s="420"/>
      <c r="T72" s="420"/>
      <c r="U72" s="420"/>
      <c r="V72" s="420"/>
      <c r="W72" s="420"/>
      <c r="X72" s="420"/>
      <c r="Y72" s="420"/>
      <c r="Z72" s="420"/>
      <c r="AA72" s="420"/>
    </row>
    <row r="73" spans="1:27">
      <c r="A73" s="246" t="s">
        <v>759</v>
      </c>
      <c r="B73" s="265">
        <v>17</v>
      </c>
      <c r="C73" s="670" t="s">
        <v>672</v>
      </c>
      <c r="D73" s="246"/>
      <c r="E73" s="266" t="str">
        <f>'Giá VL'!E21</f>
        <v>Đá dăm</v>
      </c>
      <c r="F73" s="265" t="str">
        <f>'Giá VL'!F21</f>
        <v>m3</v>
      </c>
      <c r="G73" s="268"/>
      <c r="H73" s="268"/>
      <c r="I73" s="268"/>
      <c r="J73" s="268">
        <f>SUM(J74:J75)</f>
        <v>2.5746900000000004</v>
      </c>
      <c r="K73" s="421">
        <f>'Giá VL'!G21</f>
        <v>150000</v>
      </c>
      <c r="L73" s="421">
        <f>J73*K73</f>
        <v>386203.50000000006</v>
      </c>
      <c r="M73" s="421">
        <f>'Giá VL'!J21</f>
        <v>260000</v>
      </c>
      <c r="N73" s="421">
        <f>J73*M73</f>
        <v>669419.40000000014</v>
      </c>
      <c r="O73" s="540">
        <f>M73-K73</f>
        <v>110000</v>
      </c>
      <c r="P73" s="421">
        <f>J73*O73</f>
        <v>283215.90000000002</v>
      </c>
      <c r="Q73" s="268">
        <v>1</v>
      </c>
      <c r="R73" s="421">
        <f>M73*Q73</f>
        <v>260000</v>
      </c>
      <c r="S73" s="421">
        <f>J73*R73</f>
        <v>669419.40000000014</v>
      </c>
      <c r="T73" s="540">
        <v>0</v>
      </c>
      <c r="U73" s="421">
        <v>0</v>
      </c>
      <c r="V73" s="421">
        <v>70458.054755870995</v>
      </c>
      <c r="W73" s="421">
        <v>181407.648999394</v>
      </c>
      <c r="X73" s="421">
        <f>'Giá VL'!V21</f>
        <v>330458.0547558713</v>
      </c>
      <c r="Y73" s="421">
        <f>J73*X73</f>
        <v>850827.04899939441</v>
      </c>
      <c r="Z73" s="421">
        <f>X73-K73</f>
        <v>180458.0547558713</v>
      </c>
      <c r="AA73" s="421">
        <f>J73*Z73</f>
        <v>464623.54899939435</v>
      </c>
    </row>
    <row r="74" spans="1:27" s="410" customFormat="1" ht="27.6">
      <c r="A74" s="413"/>
      <c r="B74" s="414"/>
      <c r="C74" s="413" t="str">
        <f>'5.Tiên lượng'!C163</f>
        <v>AE.11114</v>
      </c>
      <c r="D74" s="413"/>
      <c r="E74" s="415" t="str">
        <f>'5.Tiên lượng'!D163</f>
        <v>Khối xây bó nền bằng đá hộc - Chiều dày ≤60cm, vữa XM M100, PCB40</v>
      </c>
      <c r="F74" s="414" t="str">
        <f>'5.Tiên lượng'!E163</f>
        <v>m3</v>
      </c>
      <c r="G74" s="419">
        <f>'5.Tiên lượng'!M163</f>
        <v>3.6</v>
      </c>
      <c r="H74" s="419">
        <f>PTVT!G636</f>
        <v>5.7000000000000002E-2</v>
      </c>
      <c r="I74" s="419">
        <f>'5.Tiên lượng'!V163</f>
        <v>1</v>
      </c>
      <c r="J74" s="419">
        <f t="shared" ref="J74:J75" si="6">PRODUCT(G74,H74,I74)</f>
        <v>0.20520000000000002</v>
      </c>
      <c r="K74" s="420"/>
      <c r="L74" s="420"/>
      <c r="M74" s="420"/>
      <c r="N74" s="420"/>
      <c r="O74" s="420"/>
      <c r="P74" s="420"/>
      <c r="Q74" s="419"/>
      <c r="R74" s="420"/>
      <c r="S74" s="420"/>
      <c r="T74" s="420"/>
      <c r="U74" s="420"/>
      <c r="V74" s="420"/>
      <c r="W74" s="420"/>
      <c r="X74" s="420"/>
      <c r="Y74" s="420"/>
      <c r="Z74" s="420"/>
      <c r="AA74" s="420"/>
    </row>
    <row r="75" spans="1:27" s="410" customFormat="1">
      <c r="A75" s="413"/>
      <c r="B75" s="414"/>
      <c r="C75" s="413" t="str">
        <f>'5.Tiên lượng'!C178</f>
        <v>AE.12314</v>
      </c>
      <c r="D75" s="413"/>
      <c r="E75" s="415" t="str">
        <f>'5.Tiên lượng'!D178</f>
        <v>Xây cống, vữa XM M100, PCB40</v>
      </c>
      <c r="F75" s="414" t="str">
        <f>'5.Tiên lượng'!E178</f>
        <v>m3</v>
      </c>
      <c r="G75" s="419">
        <f>'5.Tiên lượng'!M178</f>
        <v>41.57</v>
      </c>
      <c r="H75" s="419">
        <f>PTVT!G676</f>
        <v>5.7000000000000002E-2</v>
      </c>
      <c r="I75" s="419">
        <f>'5.Tiên lượng'!V178</f>
        <v>1</v>
      </c>
      <c r="J75" s="419">
        <f t="shared" si="6"/>
        <v>2.3694900000000003</v>
      </c>
      <c r="K75" s="420"/>
      <c r="L75" s="420"/>
      <c r="M75" s="420"/>
      <c r="N75" s="420"/>
      <c r="O75" s="420"/>
      <c r="P75" s="420"/>
      <c r="Q75" s="419"/>
      <c r="R75" s="420"/>
      <c r="S75" s="420"/>
      <c r="T75" s="420"/>
      <c r="U75" s="420"/>
      <c r="V75" s="420"/>
      <c r="W75" s="420"/>
      <c r="X75" s="420"/>
      <c r="Y75" s="420"/>
      <c r="Z75" s="420"/>
      <c r="AA75" s="420"/>
    </row>
    <row r="76" spans="1:27">
      <c r="A76" s="246" t="s">
        <v>759</v>
      </c>
      <c r="B76" s="265">
        <v>18</v>
      </c>
      <c r="C76" s="670" t="s">
        <v>671</v>
      </c>
      <c r="D76" s="246"/>
      <c r="E76" s="266" t="str">
        <f>'Giá VL'!E22</f>
        <v>Đá hộc</v>
      </c>
      <c r="F76" s="265" t="str">
        <f>'Giá VL'!F22</f>
        <v>m3</v>
      </c>
      <c r="G76" s="268"/>
      <c r="H76" s="268"/>
      <c r="I76" s="268"/>
      <c r="J76" s="268">
        <f>SUM(J77:J78)</f>
        <v>54.204000000000001</v>
      </c>
      <c r="K76" s="421">
        <f>'Giá VL'!G22</f>
        <v>130000</v>
      </c>
      <c r="L76" s="421">
        <f>J76*K76</f>
        <v>7046520</v>
      </c>
      <c r="M76" s="421">
        <f>'Giá VL'!J22</f>
        <v>240000</v>
      </c>
      <c r="N76" s="421">
        <f>J76*M76</f>
        <v>13008960</v>
      </c>
      <c r="O76" s="540">
        <f>M76-K76</f>
        <v>110000</v>
      </c>
      <c r="P76" s="421">
        <f>J76*O76</f>
        <v>5962440</v>
      </c>
      <c r="Q76" s="268">
        <v>1</v>
      </c>
      <c r="R76" s="421">
        <f>M76*Q76</f>
        <v>240000</v>
      </c>
      <c r="S76" s="421">
        <f>J76*R76</f>
        <v>13008960</v>
      </c>
      <c r="T76" s="540">
        <v>0</v>
      </c>
      <c r="U76" s="421">
        <v>0</v>
      </c>
      <c r="V76" s="421">
        <v>66636.993446185996</v>
      </c>
      <c r="W76" s="421">
        <v>3611991.59275707</v>
      </c>
      <c r="X76" s="421">
        <f>'Giá VL'!V22</f>
        <v>306636.9934461856</v>
      </c>
      <c r="Y76" s="421">
        <f>J76*X76</f>
        <v>16620951.592757044</v>
      </c>
      <c r="Z76" s="421">
        <f>X76-K76</f>
        <v>176636.9934461856</v>
      </c>
      <c r="AA76" s="421">
        <f>J76*Z76</f>
        <v>9574431.5927570444</v>
      </c>
    </row>
    <row r="77" spans="1:27" s="410" customFormat="1" ht="27.6">
      <c r="A77" s="413"/>
      <c r="B77" s="414"/>
      <c r="C77" s="413" t="str">
        <f>'5.Tiên lượng'!C163</f>
        <v>AE.11114</v>
      </c>
      <c r="D77" s="413"/>
      <c r="E77" s="415" t="str">
        <f>'5.Tiên lượng'!D163</f>
        <v>Khối xây bó nền bằng đá hộc - Chiều dày ≤60cm, vữa XM M100, PCB40</v>
      </c>
      <c r="F77" s="414" t="str">
        <f>'5.Tiên lượng'!E163</f>
        <v>m3</v>
      </c>
      <c r="G77" s="419">
        <f>'5.Tiên lượng'!M163</f>
        <v>3.6</v>
      </c>
      <c r="H77" s="419">
        <f>PTVT!G635</f>
        <v>1.2</v>
      </c>
      <c r="I77" s="419">
        <f>'5.Tiên lượng'!V163</f>
        <v>1</v>
      </c>
      <c r="J77" s="419">
        <f t="shared" ref="J77:J78" si="7">PRODUCT(G77,H77,I77)</f>
        <v>4.32</v>
      </c>
      <c r="K77" s="420"/>
      <c r="L77" s="420"/>
      <c r="M77" s="420"/>
      <c r="N77" s="420"/>
      <c r="O77" s="420"/>
      <c r="P77" s="420"/>
      <c r="Q77" s="419"/>
      <c r="R77" s="420"/>
      <c r="S77" s="420"/>
      <c r="T77" s="420"/>
      <c r="U77" s="420"/>
      <c r="V77" s="420"/>
      <c r="W77" s="420"/>
      <c r="X77" s="420"/>
      <c r="Y77" s="420"/>
      <c r="Z77" s="420"/>
      <c r="AA77" s="420"/>
    </row>
    <row r="78" spans="1:27" s="410" customFormat="1">
      <c r="A78" s="413"/>
      <c r="B78" s="414"/>
      <c r="C78" s="413" t="str">
        <f>'5.Tiên lượng'!C178</f>
        <v>AE.12314</v>
      </c>
      <c r="D78" s="413"/>
      <c r="E78" s="415" t="str">
        <f>'5.Tiên lượng'!D178</f>
        <v>Xây cống, vữa XM M100, PCB40</v>
      </c>
      <c r="F78" s="414" t="str">
        <f>'5.Tiên lượng'!E178</f>
        <v>m3</v>
      </c>
      <c r="G78" s="419">
        <f>'5.Tiên lượng'!M178</f>
        <v>41.57</v>
      </c>
      <c r="H78" s="419">
        <f>PTVT!G675</f>
        <v>1.2</v>
      </c>
      <c r="I78" s="419">
        <f>'5.Tiên lượng'!V178</f>
        <v>1</v>
      </c>
      <c r="J78" s="419">
        <f t="shared" si="7"/>
        <v>49.884</v>
      </c>
      <c r="K78" s="420"/>
      <c r="L78" s="420"/>
      <c r="M78" s="420"/>
      <c r="N78" s="420"/>
      <c r="O78" s="420"/>
      <c r="P78" s="420"/>
      <c r="Q78" s="419"/>
      <c r="R78" s="420"/>
      <c r="S78" s="420"/>
      <c r="T78" s="420"/>
      <c r="U78" s="420"/>
      <c r="V78" s="420"/>
      <c r="W78" s="420"/>
      <c r="X78" s="420"/>
      <c r="Y78" s="420"/>
      <c r="Z78" s="420"/>
      <c r="AA78" s="420"/>
    </row>
    <row r="79" spans="1:27">
      <c r="A79" s="246" t="s">
        <v>759</v>
      </c>
      <c r="B79" s="265">
        <v>19</v>
      </c>
      <c r="C79" s="670" t="s">
        <v>662</v>
      </c>
      <c r="D79" s="246"/>
      <c r="E79" s="266" t="str">
        <f>'Giá VL'!E23</f>
        <v>Dây thép</v>
      </c>
      <c r="F79" s="265" t="str">
        <f>'Giá VL'!F23</f>
        <v>kg</v>
      </c>
      <c r="G79" s="268"/>
      <c r="H79" s="268"/>
      <c r="I79" s="268"/>
      <c r="J79" s="268">
        <f>SUM(J80:J82)</f>
        <v>34.672792700000002</v>
      </c>
      <c r="K79" s="421">
        <f>'Giá VL'!G23</f>
        <v>20000</v>
      </c>
      <c r="L79" s="421">
        <f>J79*K79</f>
        <v>693455.85400000005</v>
      </c>
      <c r="M79" s="421">
        <f>'Giá VL'!J23</f>
        <v>20000</v>
      </c>
      <c r="N79" s="421">
        <f>J79*M79</f>
        <v>693455.85400000005</v>
      </c>
      <c r="O79" s="540">
        <f>M79-K79</f>
        <v>0</v>
      </c>
      <c r="P79" s="421">
        <f>J79*O79</f>
        <v>0</v>
      </c>
      <c r="Q79" s="268">
        <v>1</v>
      </c>
      <c r="R79" s="421">
        <f>M79*Q79</f>
        <v>20000</v>
      </c>
      <c r="S79" s="421">
        <f>J79*R79</f>
        <v>693455.85400000005</v>
      </c>
      <c r="T79" s="540">
        <v>0</v>
      </c>
      <c r="U79" s="421">
        <v>0</v>
      </c>
      <c r="V79" s="421">
        <v>0</v>
      </c>
      <c r="W79" s="421">
        <v>0</v>
      </c>
      <c r="X79" s="421">
        <f>'Giá VL'!V23</f>
        <v>20000</v>
      </c>
      <c r="Y79" s="421">
        <f>J79*X79</f>
        <v>693455.85400000005</v>
      </c>
      <c r="Z79" s="540">
        <f>X79-K79</f>
        <v>0</v>
      </c>
      <c r="AA79" s="421">
        <f>J79*Z79</f>
        <v>0</v>
      </c>
    </row>
    <row r="80" spans="1:27" s="410" customFormat="1">
      <c r="A80" s="413"/>
      <c r="B80" s="414"/>
      <c r="C80" s="413" t="str">
        <f>'5.Tiên lượng'!C133</f>
        <v>AF.61110</v>
      </c>
      <c r="D80" s="413"/>
      <c r="E80" s="415" t="str">
        <f>'5.Tiên lượng'!D133</f>
        <v>Lắp dựng cốt thép móng, ĐK ≤10mm</v>
      </c>
      <c r="F80" s="414" t="str">
        <f>'5.Tiên lượng'!E133</f>
        <v>tấn</v>
      </c>
      <c r="G80" s="419">
        <f>'5.Tiên lượng'!M133</f>
        <v>0.24490000000000001</v>
      </c>
      <c r="H80" s="419">
        <f>PTVT!G513</f>
        <v>16.07</v>
      </c>
      <c r="I80" s="419">
        <f>'5.Tiên lượng'!V133</f>
        <v>1</v>
      </c>
      <c r="J80" s="419">
        <f t="shared" ref="J80:J82" si="8">PRODUCT(G80,H80,I80)</f>
        <v>3.935543</v>
      </c>
      <c r="K80" s="420"/>
      <c r="L80" s="420"/>
      <c r="M80" s="420"/>
      <c r="N80" s="420"/>
      <c r="O80" s="420"/>
      <c r="P80" s="420"/>
      <c r="Q80" s="419"/>
      <c r="R80" s="420"/>
      <c r="S80" s="420"/>
      <c r="T80" s="420"/>
      <c r="U80" s="420"/>
      <c r="V80" s="420"/>
      <c r="W80" s="420"/>
      <c r="X80" s="420"/>
      <c r="Y80" s="420"/>
      <c r="Z80" s="420"/>
      <c r="AA80" s="420"/>
    </row>
    <row r="81" spans="1:27" s="410" customFormat="1">
      <c r="A81" s="413"/>
      <c r="B81" s="414"/>
      <c r="C81" s="413" t="str">
        <f>'5.Tiên lượng'!C141</f>
        <v>AG.13231</v>
      </c>
      <c r="D81" s="413"/>
      <c r="E81" s="415" t="str">
        <f>'5.Tiên lượng'!D141</f>
        <v>Cốt thép tấm đậy</v>
      </c>
      <c r="F81" s="414" t="str">
        <f>'5.Tiên lượng'!E141</f>
        <v>tấn</v>
      </c>
      <c r="G81" s="419">
        <f>'5.Tiên lượng'!M141</f>
        <v>1.7095600000000002</v>
      </c>
      <c r="H81" s="419">
        <f>PTVT!G548</f>
        <v>16.07</v>
      </c>
      <c r="I81" s="419">
        <f>'5.Tiên lượng'!V141</f>
        <v>1</v>
      </c>
      <c r="J81" s="419">
        <f t="shared" si="8"/>
        <v>27.472629200000004</v>
      </c>
      <c r="K81" s="420"/>
      <c r="L81" s="420"/>
      <c r="M81" s="420"/>
      <c r="N81" s="420"/>
      <c r="O81" s="420"/>
      <c r="P81" s="420"/>
      <c r="Q81" s="419"/>
      <c r="R81" s="420"/>
      <c r="S81" s="420"/>
      <c r="T81" s="420"/>
      <c r="U81" s="420"/>
      <c r="V81" s="420"/>
      <c r="W81" s="420"/>
      <c r="X81" s="420"/>
      <c r="Y81" s="420"/>
      <c r="Z81" s="420"/>
      <c r="AA81" s="420"/>
    </row>
    <row r="82" spans="1:27" s="410" customFormat="1">
      <c r="A82" s="413"/>
      <c r="B82" s="414"/>
      <c r="C82" s="413" t="str">
        <f>'5.Tiên lượng'!C198</f>
        <v>AG.13231</v>
      </c>
      <c r="D82" s="413"/>
      <c r="E82" s="415" t="str">
        <f>'5.Tiên lượng'!D198</f>
        <v>Cốt thép tấm bản mặt</v>
      </c>
      <c r="F82" s="414" t="str">
        <f>'5.Tiên lượng'!E198</f>
        <v>tấn</v>
      </c>
      <c r="G82" s="419">
        <f>'5.Tiên lượng'!M198</f>
        <v>0.20314999999999997</v>
      </c>
      <c r="H82" s="419">
        <f>PTVT!G837</f>
        <v>16.07</v>
      </c>
      <c r="I82" s="419">
        <f>'5.Tiên lượng'!V198</f>
        <v>1</v>
      </c>
      <c r="J82" s="419">
        <f t="shared" si="8"/>
        <v>3.2646204999999995</v>
      </c>
      <c r="K82" s="420"/>
      <c r="L82" s="420"/>
      <c r="M82" s="420"/>
      <c r="N82" s="420"/>
      <c r="O82" s="420"/>
      <c r="P82" s="420"/>
      <c r="Q82" s="419"/>
      <c r="R82" s="420"/>
      <c r="S82" s="420"/>
      <c r="T82" s="420"/>
      <c r="U82" s="420"/>
      <c r="V82" s="420"/>
      <c r="W82" s="420"/>
      <c r="X82" s="420"/>
      <c r="Y82" s="420"/>
      <c r="Z82" s="420"/>
      <c r="AA82" s="420"/>
    </row>
    <row r="83" spans="1:27">
      <c r="A83" s="246" t="s">
        <v>759</v>
      </c>
      <c r="B83" s="265">
        <v>20</v>
      </c>
      <c r="C83" s="670" t="s">
        <v>626</v>
      </c>
      <c r="D83" s="246"/>
      <c r="E83" s="266" t="str">
        <f>'Giá VL'!E24</f>
        <v>Ni Lông</v>
      </c>
      <c r="F83" s="265" t="str">
        <f>'Giá VL'!F24</f>
        <v>m2</v>
      </c>
      <c r="G83" s="268"/>
      <c r="H83" s="268"/>
      <c r="I83" s="268"/>
      <c r="J83" s="268">
        <f>SUM(J84:J86)</f>
        <v>5034.920000000001</v>
      </c>
      <c r="K83" s="421">
        <f>'Giá VL'!G24</f>
        <v>2000</v>
      </c>
      <c r="L83" s="421">
        <f>J83*K83</f>
        <v>10069840.000000002</v>
      </c>
      <c r="M83" s="421">
        <f>'Giá VL'!J24</f>
        <v>2000</v>
      </c>
      <c r="N83" s="421">
        <f>J83*M83</f>
        <v>10069840.000000002</v>
      </c>
      <c r="O83" s="540">
        <f>M83-K83</f>
        <v>0</v>
      </c>
      <c r="P83" s="421">
        <f>J83*O83</f>
        <v>0</v>
      </c>
      <c r="Q83" s="268">
        <v>1</v>
      </c>
      <c r="R83" s="421">
        <f>M83*Q83</f>
        <v>2000</v>
      </c>
      <c r="S83" s="421">
        <f>J83*R83</f>
        <v>10069840.000000002</v>
      </c>
      <c r="T83" s="540">
        <v>0</v>
      </c>
      <c r="U83" s="421">
        <v>0</v>
      </c>
      <c r="V83" s="421">
        <v>0</v>
      </c>
      <c r="W83" s="421">
        <v>0</v>
      </c>
      <c r="X83" s="421">
        <f>'Giá VL'!V24</f>
        <v>2000</v>
      </c>
      <c r="Y83" s="421">
        <f>J83*X83</f>
        <v>10069840.000000002</v>
      </c>
      <c r="Z83" s="540">
        <f>X83-K83</f>
        <v>0</v>
      </c>
      <c r="AA83" s="421">
        <f>J83*Z83</f>
        <v>0</v>
      </c>
    </row>
    <row r="84" spans="1:27" s="410" customFormat="1">
      <c r="A84" s="413"/>
      <c r="B84" s="414"/>
      <c r="C84" s="413" t="str">
        <f>'5.Tiên lượng'!C49</f>
        <v>AL.16201</v>
      </c>
      <c r="D84" s="413"/>
      <c r="E84" s="415" t="str">
        <f>'5.Tiên lượng'!D49</f>
        <v>Ni lông chống thấm</v>
      </c>
      <c r="F84" s="414" t="str">
        <f>'5.Tiên lượng'!E49</f>
        <v>100m2</v>
      </c>
      <c r="G84" s="419">
        <f>'5.Tiên lượng'!M49</f>
        <v>45.001800000000003</v>
      </c>
      <c r="H84" s="419">
        <f>PTVT!G131</f>
        <v>110</v>
      </c>
      <c r="I84" s="419">
        <f>'5.Tiên lượng'!V49</f>
        <v>1</v>
      </c>
      <c r="J84" s="419">
        <f t="shared" ref="J84:J86" si="9">PRODUCT(G84,H84,I84)</f>
        <v>4950.1980000000003</v>
      </c>
      <c r="K84" s="420"/>
      <c r="L84" s="420"/>
      <c r="M84" s="420"/>
      <c r="N84" s="420"/>
      <c r="O84" s="420"/>
      <c r="P84" s="420"/>
      <c r="Q84" s="419"/>
      <c r="R84" s="420"/>
      <c r="S84" s="420"/>
      <c r="T84" s="420"/>
      <c r="U84" s="420"/>
      <c r="V84" s="420"/>
      <c r="W84" s="420"/>
      <c r="X84" s="420"/>
      <c r="Y84" s="420"/>
      <c r="Z84" s="420"/>
      <c r="AA84" s="420"/>
    </row>
    <row r="85" spans="1:27" s="410" customFormat="1">
      <c r="A85" s="413"/>
      <c r="B85" s="414"/>
      <c r="C85" s="413" t="str">
        <f>'5.Tiên lượng'!C61</f>
        <v>AL.16201</v>
      </c>
      <c r="D85" s="413"/>
      <c r="E85" s="415" t="str">
        <f>'5.Tiên lượng'!D61</f>
        <v>Rải giấy dầu lớp cách ly</v>
      </c>
      <c r="F85" s="414" t="str">
        <f>'5.Tiên lượng'!E61</f>
        <v>100m2</v>
      </c>
      <c r="G85" s="419">
        <f>'5.Tiên lượng'!M61</f>
        <v>0.63819999999999999</v>
      </c>
      <c r="H85" s="419">
        <f>PTVT!G188</f>
        <v>110</v>
      </c>
      <c r="I85" s="419">
        <f>'5.Tiên lượng'!V61</f>
        <v>1</v>
      </c>
      <c r="J85" s="419">
        <f t="shared" si="9"/>
        <v>70.201999999999998</v>
      </c>
      <c r="K85" s="420"/>
      <c r="L85" s="420"/>
      <c r="M85" s="420"/>
      <c r="N85" s="420"/>
      <c r="O85" s="420"/>
      <c r="P85" s="420"/>
      <c r="Q85" s="419"/>
      <c r="R85" s="420"/>
      <c r="S85" s="420"/>
      <c r="T85" s="420"/>
      <c r="U85" s="420"/>
      <c r="V85" s="420"/>
      <c r="W85" s="420"/>
      <c r="X85" s="420"/>
      <c r="Y85" s="420"/>
      <c r="Z85" s="420"/>
      <c r="AA85" s="420"/>
    </row>
    <row r="86" spans="1:27" s="410" customFormat="1">
      <c r="A86" s="413"/>
      <c r="B86" s="414"/>
      <c r="C86" s="413" t="str">
        <f>'5.Tiên lượng'!C154</f>
        <v>AL.16201</v>
      </c>
      <c r="D86" s="413"/>
      <c r="E86" s="415" t="str">
        <f>'5.Tiên lượng'!D154</f>
        <v>Ni lông chống thấm</v>
      </c>
      <c r="F86" s="414" t="str">
        <f>'5.Tiên lượng'!E154</f>
        <v>100m2</v>
      </c>
      <c r="G86" s="419">
        <f>'5.Tiên lượng'!M154</f>
        <v>0.13200000000000001</v>
      </c>
      <c r="H86" s="419">
        <f>PTVT!G606</f>
        <v>110</v>
      </c>
      <c r="I86" s="419">
        <f>'5.Tiên lượng'!V154</f>
        <v>1</v>
      </c>
      <c r="J86" s="419">
        <f t="shared" si="9"/>
        <v>14.520000000000001</v>
      </c>
      <c r="K86" s="420"/>
      <c r="L86" s="420"/>
      <c r="M86" s="420"/>
      <c r="N86" s="420"/>
      <c r="O86" s="420"/>
      <c r="P86" s="420"/>
      <c r="Q86" s="419"/>
      <c r="R86" s="420"/>
      <c r="S86" s="420"/>
      <c r="T86" s="420"/>
      <c r="U86" s="420"/>
      <c r="V86" s="420"/>
      <c r="W86" s="420"/>
      <c r="X86" s="420"/>
      <c r="Y86" s="420"/>
      <c r="Z86" s="420"/>
      <c r="AA86" s="420"/>
    </row>
    <row r="87" spans="1:27">
      <c r="A87" s="246" t="s">
        <v>759</v>
      </c>
      <c r="B87" s="265">
        <v>21</v>
      </c>
      <c r="C87" s="670" t="s">
        <v>618</v>
      </c>
      <c r="D87" s="246"/>
      <c r="E87" s="266" t="str">
        <f>'Giá VL'!E25</f>
        <v>Gỗ làm khe co dãn</v>
      </c>
      <c r="F87" s="265" t="str">
        <f>'Giá VL'!F25</f>
        <v>m3</v>
      </c>
      <c r="G87" s="268"/>
      <c r="H87" s="268"/>
      <c r="I87" s="268"/>
      <c r="J87" s="268">
        <f>SUM(J88:J89)</f>
        <v>12.779199999999999</v>
      </c>
      <c r="K87" s="421">
        <f>'Giá VL'!G25</f>
        <v>2500000</v>
      </c>
      <c r="L87" s="421">
        <f>J87*K87</f>
        <v>31948000</v>
      </c>
      <c r="M87" s="421">
        <f>'Giá VL'!J25</f>
        <v>2800000</v>
      </c>
      <c r="N87" s="421">
        <f>J87*M87</f>
        <v>35781760</v>
      </c>
      <c r="O87" s="540">
        <f>M87-K87</f>
        <v>300000</v>
      </c>
      <c r="P87" s="421">
        <f>J87*O87</f>
        <v>3833760</v>
      </c>
      <c r="Q87" s="268">
        <v>1</v>
      </c>
      <c r="R87" s="421">
        <f>M87*Q87</f>
        <v>2800000</v>
      </c>
      <c r="S87" s="421">
        <f>J87*R87</f>
        <v>35781760</v>
      </c>
      <c r="T87" s="540">
        <v>0</v>
      </c>
      <c r="U87" s="421">
        <v>0</v>
      </c>
      <c r="V87" s="421">
        <v>44105.853628300101</v>
      </c>
      <c r="W87" s="421">
        <v>563637.52468677296</v>
      </c>
      <c r="X87" s="421">
        <f>'Giá VL'!V25</f>
        <v>2844105.8536283039</v>
      </c>
      <c r="Y87" s="421">
        <f>J87*X87</f>
        <v>36345397.524686821</v>
      </c>
      <c r="Z87" s="421">
        <f>X87-K87</f>
        <v>344105.85362830386</v>
      </c>
      <c r="AA87" s="421">
        <f>J87*Z87</f>
        <v>4397397.5246868208</v>
      </c>
    </row>
    <row r="88" spans="1:27" s="410" customFormat="1" ht="41.4">
      <c r="A88" s="413"/>
      <c r="B88" s="414"/>
      <c r="C88" s="413" t="str">
        <f>'5.Tiên lượng'!C46</f>
        <v>AF.15433</v>
      </c>
      <c r="D88" s="413"/>
      <c r="E88" s="415" t="str">
        <f>'5.Tiên lượng'!D46</f>
        <v>Bê tông sản xuất bằng máy trộn và đổ bằng thủ công, bê tông mặt đường dày mặt đường ≤25cm, bê tông M250, đá 2x4, PCB40</v>
      </c>
      <c r="F88" s="414" t="str">
        <f>'5.Tiên lượng'!E46</f>
        <v>m3</v>
      </c>
      <c r="G88" s="419">
        <f>'5.Tiên lượng'!M46</f>
        <v>900.03599999999994</v>
      </c>
      <c r="H88" s="419">
        <f>PTVT!G119</f>
        <v>1.4E-2</v>
      </c>
      <c r="I88" s="419">
        <f>'5.Tiên lượng'!V46</f>
        <v>1</v>
      </c>
      <c r="J88" s="419">
        <f t="shared" ref="J88:J89" si="10">PRODUCT(G88,H88,I88)</f>
        <v>12.600503999999999</v>
      </c>
      <c r="K88" s="420"/>
      <c r="L88" s="420"/>
      <c r="M88" s="420"/>
      <c r="N88" s="420"/>
      <c r="O88" s="420"/>
      <c r="P88" s="420"/>
      <c r="Q88" s="419"/>
      <c r="R88" s="420"/>
      <c r="S88" s="420"/>
      <c r="T88" s="420"/>
      <c r="U88" s="420"/>
      <c r="V88" s="420"/>
      <c r="W88" s="420"/>
      <c r="X88" s="420"/>
      <c r="Y88" s="420"/>
      <c r="Z88" s="420"/>
      <c r="AA88" s="420"/>
    </row>
    <row r="89" spans="1:27" s="410" customFormat="1" ht="41.4">
      <c r="A89" s="413"/>
      <c r="B89" s="414"/>
      <c r="C89" s="413" t="str">
        <f>'5.Tiên lượng'!C59</f>
        <v>AF.15433</v>
      </c>
      <c r="D89" s="413"/>
      <c r="E89" s="415" t="str">
        <f>'5.Tiên lượng'!D59</f>
        <v>Bê tông sản xuất bằng máy trộn và đổ bằng thủ công, bê tông mặt đường dày mặt đường ≤25cm, bê tông M250, đá 2x4, PCB40</v>
      </c>
      <c r="F89" s="414" t="str">
        <f>'5.Tiên lượng'!E59</f>
        <v>m3</v>
      </c>
      <c r="G89" s="419">
        <f>'5.Tiên lượng'!M59</f>
        <v>12.764000000000001</v>
      </c>
      <c r="H89" s="419">
        <f>PTVT!G176</f>
        <v>1.4E-2</v>
      </c>
      <c r="I89" s="419">
        <f>'5.Tiên lượng'!V59</f>
        <v>1</v>
      </c>
      <c r="J89" s="419">
        <f t="shared" si="10"/>
        <v>0.17869600000000002</v>
      </c>
      <c r="K89" s="420"/>
      <c r="L89" s="420"/>
      <c r="M89" s="420"/>
      <c r="N89" s="420"/>
      <c r="O89" s="420"/>
      <c r="P89" s="420"/>
      <c r="Q89" s="419"/>
      <c r="R89" s="420"/>
      <c r="S89" s="420"/>
      <c r="T89" s="420"/>
      <c r="U89" s="420"/>
      <c r="V89" s="420"/>
      <c r="W89" s="420"/>
      <c r="X89" s="420"/>
      <c r="Y89" s="420"/>
      <c r="Z89" s="420"/>
      <c r="AA89" s="420"/>
    </row>
    <row r="90" spans="1:27">
      <c r="A90" s="246" t="s">
        <v>759</v>
      </c>
      <c r="B90" s="265">
        <v>22</v>
      </c>
      <c r="C90" s="670" t="s">
        <v>682</v>
      </c>
      <c r="D90" s="246" t="s">
        <v>682</v>
      </c>
      <c r="E90" s="266" t="str">
        <f>'Giá VL'!E26</f>
        <v>Gỗ ván</v>
      </c>
      <c r="F90" s="265" t="str">
        <f>'Giá VL'!F26</f>
        <v>m3</v>
      </c>
      <c r="G90" s="268"/>
      <c r="H90" s="268"/>
      <c r="I90" s="268"/>
      <c r="J90" s="268">
        <f>SUM(J91:J91)</f>
        <v>0.01</v>
      </c>
      <c r="K90" s="421">
        <f>'Giá VL'!G26</f>
        <v>2500000</v>
      </c>
      <c r="L90" s="421">
        <f>J90*K90</f>
        <v>25000</v>
      </c>
      <c r="M90" s="421">
        <f>'Giá VL'!J26</f>
        <v>2800000</v>
      </c>
      <c r="N90" s="421">
        <f>J90*M90</f>
        <v>28000</v>
      </c>
      <c r="O90" s="540">
        <f>M90-K90</f>
        <v>300000</v>
      </c>
      <c r="P90" s="421">
        <f>J90*O90</f>
        <v>3000</v>
      </c>
      <c r="Q90" s="268">
        <v>1</v>
      </c>
      <c r="R90" s="421">
        <f>M90*Q90</f>
        <v>2800000</v>
      </c>
      <c r="S90" s="421">
        <f>J90*R90</f>
        <v>28000</v>
      </c>
      <c r="T90" s="540">
        <v>0</v>
      </c>
      <c r="U90" s="421">
        <v>0</v>
      </c>
      <c r="V90" s="421">
        <v>44105.853628300101</v>
      </c>
      <c r="W90" s="421">
        <v>441.05853628300099</v>
      </c>
      <c r="X90" s="421">
        <f>'Giá VL'!V26</f>
        <v>2844105.8536283039</v>
      </c>
      <c r="Y90" s="421">
        <f>J90*X90</f>
        <v>28441.058536283039</v>
      </c>
      <c r="Z90" s="421">
        <f>X90-K90</f>
        <v>344105.85362830386</v>
      </c>
      <c r="AA90" s="421">
        <f>J90*Z90</f>
        <v>3441.0585362830388</v>
      </c>
    </row>
    <row r="91" spans="1:27" s="410" customFormat="1">
      <c r="A91" s="413"/>
      <c r="B91" s="414"/>
      <c r="C91" s="413" t="str">
        <f>'5.Tiên lượng'!C190</f>
        <v>TT</v>
      </c>
      <c r="D91" s="413"/>
      <c r="E91" s="415" t="str">
        <f>'5.Tiên lượng'!D190</f>
        <v>Tấm gỗ chắn nước</v>
      </c>
      <c r="F91" s="414" t="str">
        <f>'5.Tiên lượng'!E190</f>
        <v>m3</v>
      </c>
      <c r="G91" s="419">
        <f>'5.Tiên lượng'!M190</f>
        <v>0.01</v>
      </c>
      <c r="H91" s="419">
        <f>PTVT!G766</f>
        <v>1</v>
      </c>
      <c r="I91" s="419">
        <f>'5.Tiên lượng'!V190</f>
        <v>1</v>
      </c>
      <c r="J91" s="419">
        <f>PRODUCT(G91,H91,I91)</f>
        <v>0.01</v>
      </c>
      <c r="K91" s="420"/>
      <c r="L91" s="420"/>
      <c r="M91" s="420"/>
      <c r="N91" s="420"/>
      <c r="O91" s="420"/>
      <c r="P91" s="420"/>
      <c r="Q91" s="419"/>
      <c r="R91" s="420"/>
      <c r="S91" s="420"/>
      <c r="T91" s="420"/>
      <c r="U91" s="420"/>
      <c r="V91" s="420"/>
      <c r="W91" s="420"/>
      <c r="X91" s="420"/>
      <c r="Y91" s="420"/>
      <c r="Z91" s="420"/>
      <c r="AA91" s="420"/>
    </row>
    <row r="92" spans="1:27">
      <c r="A92" s="246" t="s">
        <v>759</v>
      </c>
      <c r="B92" s="265">
        <v>23</v>
      </c>
      <c r="C92" s="670" t="s">
        <v>636</v>
      </c>
      <c r="D92" s="246"/>
      <c r="E92" s="266" t="str">
        <f>'Giá VL'!E27</f>
        <v>Lưỡi cắt D350mm</v>
      </c>
      <c r="F92" s="265" t="str">
        <f>'Giá VL'!F27</f>
        <v>cái</v>
      </c>
      <c r="G92" s="268"/>
      <c r="H92" s="268"/>
      <c r="I92" s="268"/>
      <c r="J92" s="268">
        <f>SUM(J93:J93)</f>
        <v>1.1286350000000001</v>
      </c>
      <c r="K92" s="421">
        <f>'Giá VL'!G27</f>
        <v>45000</v>
      </c>
      <c r="L92" s="421">
        <f>J92*K92</f>
        <v>50788.575000000004</v>
      </c>
      <c r="M92" s="421">
        <f>'Giá VL'!J27</f>
        <v>45000</v>
      </c>
      <c r="N92" s="421">
        <f>J92*M92</f>
        <v>50788.575000000004</v>
      </c>
      <c r="O92" s="540">
        <f>M92-K92</f>
        <v>0</v>
      </c>
      <c r="P92" s="421">
        <f>J92*O92</f>
        <v>0</v>
      </c>
      <c r="Q92" s="268">
        <v>1</v>
      </c>
      <c r="R92" s="421">
        <f>M92*Q92</f>
        <v>45000</v>
      </c>
      <c r="S92" s="421">
        <f>J92*R92</f>
        <v>50788.575000000004</v>
      </c>
      <c r="T92" s="540">
        <v>0</v>
      </c>
      <c r="U92" s="421">
        <v>0</v>
      </c>
      <c r="V92" s="421">
        <v>0</v>
      </c>
      <c r="W92" s="421">
        <v>0</v>
      </c>
      <c r="X92" s="421">
        <f>'Giá VL'!V27</f>
        <v>45000</v>
      </c>
      <c r="Y92" s="421">
        <f>J92*X92</f>
        <v>50788.575000000004</v>
      </c>
      <c r="Z92" s="540">
        <f>X92-K92</f>
        <v>0</v>
      </c>
      <c r="AA92" s="421">
        <f>J92*Z92</f>
        <v>0</v>
      </c>
    </row>
    <row r="93" spans="1:27" s="410" customFormat="1">
      <c r="A93" s="413"/>
      <c r="B93" s="414"/>
      <c r="C93" s="413" t="str">
        <f>'5.Tiên lượng'!C70</f>
        <v>AL.24310</v>
      </c>
      <c r="D93" s="413"/>
      <c r="E93" s="415" t="str">
        <f>'5.Tiên lượng'!D70</f>
        <v>Cắt khe</v>
      </c>
      <c r="F93" s="414" t="str">
        <f>'5.Tiên lượng'!E70</f>
        <v>100m</v>
      </c>
      <c r="G93" s="419">
        <f>'5.Tiên lượng'!M70</f>
        <v>21.295000000000002</v>
      </c>
      <c r="H93" s="419">
        <f>PTVT!G254</f>
        <v>5.2999999999999999E-2</v>
      </c>
      <c r="I93" s="419">
        <f>'5.Tiên lượng'!V70</f>
        <v>1</v>
      </c>
      <c r="J93" s="419">
        <f>PRODUCT(G93,H93,I93)</f>
        <v>1.1286350000000001</v>
      </c>
      <c r="K93" s="420"/>
      <c r="L93" s="420"/>
      <c r="M93" s="420"/>
      <c r="N93" s="420"/>
      <c r="O93" s="420"/>
      <c r="P93" s="420"/>
      <c r="Q93" s="419"/>
      <c r="R93" s="420"/>
      <c r="S93" s="420"/>
      <c r="T93" s="420"/>
      <c r="U93" s="420"/>
      <c r="V93" s="420"/>
      <c r="W93" s="420"/>
      <c r="X93" s="420"/>
      <c r="Y93" s="420"/>
      <c r="Z93" s="420"/>
      <c r="AA93" s="420"/>
    </row>
    <row r="94" spans="1:27">
      <c r="A94" s="246" t="s">
        <v>759</v>
      </c>
      <c r="B94" s="265">
        <v>24</v>
      </c>
      <c r="C94" s="670" t="s">
        <v>631</v>
      </c>
      <c r="D94" s="246"/>
      <c r="E94" s="266" t="str">
        <f>'Giá VL'!E28</f>
        <v>Ma tít chèn khe</v>
      </c>
      <c r="F94" s="265" t="str">
        <f>'Giá VL'!F28</f>
        <v>kg</v>
      </c>
      <c r="G94" s="268"/>
      <c r="H94" s="268"/>
      <c r="I94" s="268"/>
      <c r="J94" s="268">
        <f>SUM(J95:J97)</f>
        <v>2282.9917999999998</v>
      </c>
      <c r="K94" s="421">
        <f>'Giá VL'!G28</f>
        <v>4000</v>
      </c>
      <c r="L94" s="421">
        <f>J94*K94</f>
        <v>9131967.1999999993</v>
      </c>
      <c r="M94" s="421">
        <f>'Giá VL'!J28</f>
        <v>4000</v>
      </c>
      <c r="N94" s="421">
        <f>J94*M94</f>
        <v>9131967.1999999993</v>
      </c>
      <c r="O94" s="540">
        <f>M94-K94</f>
        <v>0</v>
      </c>
      <c r="P94" s="421">
        <f>J94*O94</f>
        <v>0</v>
      </c>
      <c r="Q94" s="268">
        <v>1</v>
      </c>
      <c r="R94" s="421">
        <f>M94*Q94</f>
        <v>4000</v>
      </c>
      <c r="S94" s="421">
        <f>J94*R94</f>
        <v>9131967.1999999993</v>
      </c>
      <c r="T94" s="540">
        <v>0</v>
      </c>
      <c r="U94" s="421">
        <v>0</v>
      </c>
      <c r="V94" s="421">
        <v>0</v>
      </c>
      <c r="W94" s="421">
        <v>0</v>
      </c>
      <c r="X94" s="421">
        <f>'Giá VL'!V28</f>
        <v>4000</v>
      </c>
      <c r="Y94" s="421">
        <f>J94*X94</f>
        <v>9131967.1999999993</v>
      </c>
      <c r="Z94" s="540">
        <f>X94-K94</f>
        <v>0</v>
      </c>
      <c r="AA94" s="421">
        <f>J94*Z94</f>
        <v>0</v>
      </c>
    </row>
    <row r="95" spans="1:27" s="410" customFormat="1">
      <c r="A95" s="413"/>
      <c r="B95" s="414"/>
      <c r="C95" s="413" t="str">
        <f>'5.Tiên lượng'!C67</f>
        <v>AL.24111</v>
      </c>
      <c r="D95" s="413"/>
      <c r="E95" s="415" t="str">
        <f>'5.Tiên lượng'!D67</f>
        <v>Thi công khe co không có thanh TL</v>
      </c>
      <c r="F95" s="414" t="str">
        <f>'5.Tiên lượng'!E67</f>
        <v>m</v>
      </c>
      <c r="G95" s="419">
        <f>'5.Tiên lượng'!M67</f>
        <v>1026</v>
      </c>
      <c r="H95" s="419">
        <f>PTVT!G216</f>
        <v>1.36</v>
      </c>
      <c r="I95" s="419">
        <f>'5.Tiên lượng'!V67</f>
        <v>1</v>
      </c>
      <c r="J95" s="419">
        <f t="shared" ref="J95:J97" si="11">PRODUCT(G95,H95,I95)</f>
        <v>1395.3600000000001</v>
      </c>
      <c r="K95" s="420"/>
      <c r="L95" s="420"/>
      <c r="M95" s="420"/>
      <c r="N95" s="420"/>
      <c r="O95" s="420"/>
      <c r="P95" s="420"/>
      <c r="Q95" s="419"/>
      <c r="R95" s="420"/>
      <c r="S95" s="420"/>
      <c r="T95" s="420"/>
      <c r="U95" s="420"/>
      <c r="V95" s="420"/>
      <c r="W95" s="420"/>
      <c r="X95" s="420"/>
      <c r="Y95" s="420"/>
      <c r="Z95" s="420"/>
      <c r="AA95" s="420"/>
    </row>
    <row r="96" spans="1:27" s="410" customFormat="1">
      <c r="A96" s="413"/>
      <c r="B96" s="414"/>
      <c r="C96" s="413" t="str">
        <f>'5.Tiên lượng'!C68</f>
        <v>AL.24112(VD)</v>
      </c>
      <c r="D96" s="413"/>
      <c r="E96" s="415" t="str">
        <f>'5.Tiên lượng'!D68</f>
        <v>Thi công khe giãn</v>
      </c>
      <c r="F96" s="414" t="str">
        <f>'5.Tiên lượng'!E68</f>
        <v>m</v>
      </c>
      <c r="G96" s="419">
        <f>'5.Tiên lượng'!M68</f>
        <v>103.46</v>
      </c>
      <c r="H96" s="419">
        <f>PTVT!G228</f>
        <v>1.33</v>
      </c>
      <c r="I96" s="419">
        <f>'5.Tiên lượng'!V68</f>
        <v>1</v>
      </c>
      <c r="J96" s="419">
        <f t="shared" si="11"/>
        <v>137.6018</v>
      </c>
      <c r="K96" s="420"/>
      <c r="L96" s="420"/>
      <c r="M96" s="420"/>
      <c r="N96" s="420"/>
      <c r="O96" s="420"/>
      <c r="P96" s="420"/>
      <c r="Q96" s="419"/>
      <c r="R96" s="420"/>
      <c r="S96" s="420"/>
      <c r="T96" s="420"/>
      <c r="U96" s="420"/>
      <c r="V96" s="420"/>
      <c r="W96" s="420"/>
      <c r="X96" s="420"/>
      <c r="Y96" s="420"/>
      <c r="Z96" s="420"/>
      <c r="AA96" s="420"/>
    </row>
    <row r="97" spans="1:27" s="410" customFormat="1">
      <c r="A97" s="413"/>
      <c r="B97" s="414"/>
      <c r="C97" s="413" t="str">
        <f>'5.Tiên lượng'!C69</f>
        <v>AL.24113(VD)</v>
      </c>
      <c r="D97" s="413"/>
      <c r="E97" s="415" t="str">
        <f>'5.Tiên lượng'!D69</f>
        <v>Thi công  khe dọc</v>
      </c>
      <c r="F97" s="414" t="str">
        <f>'5.Tiên lượng'!E69</f>
        <v>m</v>
      </c>
      <c r="G97" s="419">
        <f>'5.Tiên lượng'!M69</f>
        <v>1000.04</v>
      </c>
      <c r="H97" s="419">
        <f>PTVT!G243</f>
        <v>0.75</v>
      </c>
      <c r="I97" s="419">
        <f>'5.Tiên lượng'!V69</f>
        <v>1</v>
      </c>
      <c r="J97" s="419">
        <f t="shared" si="11"/>
        <v>750.03</v>
      </c>
      <c r="K97" s="420"/>
      <c r="L97" s="420"/>
      <c r="M97" s="420"/>
      <c r="N97" s="420"/>
      <c r="O97" s="420"/>
      <c r="P97" s="420"/>
      <c r="Q97" s="419"/>
      <c r="R97" s="420"/>
      <c r="S97" s="420"/>
      <c r="T97" s="420"/>
      <c r="U97" s="420"/>
      <c r="V97" s="420"/>
      <c r="W97" s="420"/>
      <c r="X97" s="420"/>
      <c r="Y97" s="420"/>
      <c r="Z97" s="420"/>
      <c r="AA97" s="420"/>
    </row>
    <row r="98" spans="1:27">
      <c r="A98" s="246" t="s">
        <v>759</v>
      </c>
      <c r="B98" s="265">
        <v>25</v>
      </c>
      <c r="C98" s="670" t="s">
        <v>681</v>
      </c>
      <c r="D98" s="246"/>
      <c r="E98" s="266" t="str">
        <f>'Giá VL'!E29</f>
        <v>Măng sông thép tráng kẽm D200mm</v>
      </c>
      <c r="F98" s="265" t="str">
        <f>'Giá VL'!F29</f>
        <v>cái</v>
      </c>
      <c r="G98" s="268"/>
      <c r="H98" s="268"/>
      <c r="I98" s="268"/>
      <c r="J98" s="268">
        <f>SUM(J99:J99)</f>
        <v>0.98399999999999987</v>
      </c>
      <c r="K98" s="421">
        <f>'Giá VL'!G29</f>
        <v>266200</v>
      </c>
      <c r="L98" s="421">
        <f>J98*K98</f>
        <v>261940.79999999996</v>
      </c>
      <c r="M98" s="421">
        <f>'Giá VL'!J29</f>
        <v>266200</v>
      </c>
      <c r="N98" s="421">
        <f>J98*M98</f>
        <v>261940.79999999996</v>
      </c>
      <c r="O98" s="540">
        <f>M98-K98</f>
        <v>0</v>
      </c>
      <c r="P98" s="421">
        <f>J98*O98</f>
        <v>0</v>
      </c>
      <c r="Q98" s="268">
        <v>1</v>
      </c>
      <c r="R98" s="421">
        <f>M98*Q98</f>
        <v>266200</v>
      </c>
      <c r="S98" s="421">
        <f>J98*R98</f>
        <v>261940.79999999996</v>
      </c>
      <c r="T98" s="540">
        <v>0</v>
      </c>
      <c r="U98" s="421">
        <v>0</v>
      </c>
      <c r="V98" s="421">
        <v>0</v>
      </c>
      <c r="W98" s="421">
        <v>0</v>
      </c>
      <c r="X98" s="421">
        <f>'Giá VL'!V29</f>
        <v>266200</v>
      </c>
      <c r="Y98" s="421">
        <f>J98*X98</f>
        <v>261940.79999999996</v>
      </c>
      <c r="Z98" s="540">
        <f>X98-K98</f>
        <v>0</v>
      </c>
      <c r="AA98" s="421">
        <f>J98*Z98</f>
        <v>0</v>
      </c>
    </row>
    <row r="99" spans="1:27" s="410" customFormat="1" ht="27.6">
      <c r="A99" s="413"/>
      <c r="B99" s="414"/>
      <c r="C99" s="413" t="str">
        <f>'5.Tiên lượng'!C188</f>
        <v>BB.33011</v>
      </c>
      <c r="D99" s="413"/>
      <c r="E99" s="415" t="str">
        <f>'5.Tiên lượng'!D188</f>
        <v>Khối xây gia cố bằng đá hộc - Chiều dày ≤60cm, vữa XM M100, PCB40</v>
      </c>
      <c r="F99" s="414" t="str">
        <f>'5.Tiên lượng'!E188</f>
        <v>100m</v>
      </c>
      <c r="G99" s="419">
        <f>'5.Tiên lượng'!M188</f>
        <v>8.199999999999999E-2</v>
      </c>
      <c r="H99" s="419">
        <f>PTVT!G760</f>
        <v>12</v>
      </c>
      <c r="I99" s="419">
        <f>'5.Tiên lượng'!V188</f>
        <v>1</v>
      </c>
      <c r="J99" s="419">
        <f>PRODUCT(G99,H99,I99)</f>
        <v>0.98399999999999987</v>
      </c>
      <c r="K99" s="420"/>
      <c r="L99" s="420"/>
      <c r="M99" s="420"/>
      <c r="N99" s="420"/>
      <c r="O99" s="420"/>
      <c r="P99" s="420"/>
      <c r="Q99" s="419"/>
      <c r="R99" s="420"/>
      <c r="S99" s="420"/>
      <c r="T99" s="420"/>
      <c r="U99" s="420"/>
      <c r="V99" s="420"/>
      <c r="W99" s="420"/>
      <c r="X99" s="420"/>
      <c r="Y99" s="420"/>
      <c r="Z99" s="420"/>
      <c r="AA99" s="420"/>
    </row>
    <row r="100" spans="1:27">
      <c r="A100" s="246" t="s">
        <v>759</v>
      </c>
      <c r="B100" s="265">
        <v>26</v>
      </c>
      <c r="C100" s="670" t="s">
        <v>729</v>
      </c>
      <c r="D100" s="246"/>
      <c r="E100" s="266" t="str">
        <f>'Giá VL'!E30</f>
        <v>Mùn cưa</v>
      </c>
      <c r="F100" s="265" t="str">
        <f>'Giá VL'!F30</f>
        <v>kg</v>
      </c>
      <c r="G100" s="268"/>
      <c r="H100" s="268"/>
      <c r="I100" s="268"/>
      <c r="J100" s="268">
        <f>SUM(J101:J101)</f>
        <v>44.4878</v>
      </c>
      <c r="K100" s="540">
        <f>'Giá VL'!G30</f>
        <v>200</v>
      </c>
      <c r="L100" s="421">
        <f>J100*K100</f>
        <v>8897.56</v>
      </c>
      <c r="M100" s="540">
        <f>'Giá VL'!J30</f>
        <v>200</v>
      </c>
      <c r="N100" s="421">
        <f>J100*M100</f>
        <v>8897.56</v>
      </c>
      <c r="O100" s="540">
        <f>M100-K100</f>
        <v>0</v>
      </c>
      <c r="P100" s="421">
        <f>J100*O100</f>
        <v>0</v>
      </c>
      <c r="Q100" s="268">
        <v>1</v>
      </c>
      <c r="R100" s="540">
        <f>M100*Q100</f>
        <v>200</v>
      </c>
      <c r="S100" s="421">
        <f>J100*R100</f>
        <v>8897.56</v>
      </c>
      <c r="T100" s="540">
        <v>0</v>
      </c>
      <c r="U100" s="421">
        <v>0</v>
      </c>
      <c r="V100" s="421">
        <v>0</v>
      </c>
      <c r="W100" s="421">
        <v>0</v>
      </c>
      <c r="X100" s="540">
        <f>'Giá VL'!V30</f>
        <v>200</v>
      </c>
      <c r="Y100" s="421">
        <f>J100*X100</f>
        <v>8897.56</v>
      </c>
      <c r="Z100" s="540">
        <f>X100-K100</f>
        <v>0</v>
      </c>
      <c r="AA100" s="421">
        <f>J100*Z100</f>
        <v>0</v>
      </c>
    </row>
    <row r="101" spans="1:27" s="410" customFormat="1">
      <c r="A101" s="413"/>
      <c r="B101" s="414"/>
      <c r="C101" s="413" t="str">
        <f>'5.Tiên lượng'!C68</f>
        <v>AL.24112(VD)</v>
      </c>
      <c r="D101" s="413"/>
      <c r="E101" s="415" t="str">
        <f>'5.Tiên lượng'!D68</f>
        <v>Thi công khe giãn</v>
      </c>
      <c r="F101" s="414" t="str">
        <f>'5.Tiên lượng'!E68</f>
        <v>m</v>
      </c>
      <c r="G101" s="419">
        <f>'5.Tiên lượng'!M68</f>
        <v>103.46</v>
      </c>
      <c r="H101" s="419">
        <f>PTVT!G231</f>
        <v>0.43</v>
      </c>
      <c r="I101" s="419">
        <f>'5.Tiên lượng'!V68</f>
        <v>1</v>
      </c>
      <c r="J101" s="419">
        <f>PRODUCT(G101,H101,I101)</f>
        <v>44.4878</v>
      </c>
      <c r="K101" s="420"/>
      <c r="L101" s="420"/>
      <c r="M101" s="420"/>
      <c r="N101" s="420"/>
      <c r="O101" s="420"/>
      <c r="P101" s="420"/>
      <c r="Q101" s="419"/>
      <c r="R101" s="420"/>
      <c r="S101" s="420"/>
      <c r="T101" s="420"/>
      <c r="U101" s="420"/>
      <c r="V101" s="420"/>
      <c r="W101" s="420"/>
      <c r="X101" s="420"/>
      <c r="Y101" s="420"/>
      <c r="Z101" s="420"/>
      <c r="AA101" s="420"/>
    </row>
    <row r="102" spans="1:27">
      <c r="A102" s="246" t="s">
        <v>759</v>
      </c>
      <c r="B102" s="265">
        <v>27</v>
      </c>
      <c r="C102" s="670" t="s">
        <v>619</v>
      </c>
      <c r="D102" s="246"/>
      <c r="E102" s="266" t="str">
        <f>'Giá VL'!E31</f>
        <v>Nhựa đường</v>
      </c>
      <c r="F102" s="265" t="str">
        <f>'Giá VL'!F31</f>
        <v>kg</v>
      </c>
      <c r="G102" s="268"/>
      <c r="H102" s="268"/>
      <c r="I102" s="268"/>
      <c r="J102" s="268">
        <f>SUM(J103:J106)</f>
        <v>3354.0449999999996</v>
      </c>
      <c r="K102" s="421">
        <f>'Giá VL'!G31</f>
        <v>11901.316415683899</v>
      </c>
      <c r="L102" s="421">
        <f>J102*K102</f>
        <v>39917550.817442499</v>
      </c>
      <c r="M102" s="421">
        <f>'Giá VL'!J31</f>
        <v>13600</v>
      </c>
      <c r="N102" s="421">
        <f>J102*M102</f>
        <v>45615011.999999993</v>
      </c>
      <c r="O102" s="540">
        <f>M102-K102</f>
        <v>1698.6835843161007</v>
      </c>
      <c r="P102" s="421">
        <f>J102*O102</f>
        <v>5697461.1825574953</v>
      </c>
      <c r="Q102" s="268">
        <v>1</v>
      </c>
      <c r="R102" s="421">
        <f>M102*Q102</f>
        <v>13600</v>
      </c>
      <c r="S102" s="421">
        <f>J102*R102</f>
        <v>45615011.999999993</v>
      </c>
      <c r="T102" s="540">
        <v>0</v>
      </c>
      <c r="U102" s="421">
        <v>0</v>
      </c>
      <c r="V102" s="421">
        <v>83.316415683901099</v>
      </c>
      <c r="W102" s="421">
        <v>279447.00744250999</v>
      </c>
      <c r="X102" s="421">
        <f>'Giá VL'!V31</f>
        <v>13717.500872863939</v>
      </c>
      <c r="Y102" s="421">
        <f>J102*X102</f>
        <v>46009115.215124927</v>
      </c>
      <c r="Z102" s="540">
        <f>X102-K102</f>
        <v>1816.1844571800393</v>
      </c>
      <c r="AA102" s="421">
        <f>J102*Z102</f>
        <v>6091564.3976824246</v>
      </c>
    </row>
    <row r="103" spans="1:27" s="410" customFormat="1" ht="41.4">
      <c r="A103" s="413"/>
      <c r="B103" s="414"/>
      <c r="C103" s="413" t="str">
        <f>'5.Tiên lượng'!C46</f>
        <v>AF.15433</v>
      </c>
      <c r="D103" s="413"/>
      <c r="E103" s="415" t="str">
        <f>'5.Tiên lượng'!D46</f>
        <v>Bê tông sản xuất bằng máy trộn và đổ bằng thủ công, bê tông mặt đường dày mặt đường ≤25cm, bê tông M250, đá 2x4, PCB40</v>
      </c>
      <c r="F103" s="414" t="str">
        <f>'5.Tiên lượng'!E46</f>
        <v>m3</v>
      </c>
      <c r="G103" s="419">
        <f>'5.Tiên lượng'!M46</f>
        <v>900.03599999999994</v>
      </c>
      <c r="H103" s="419">
        <f>PTVT!G120</f>
        <v>3.5</v>
      </c>
      <c r="I103" s="419">
        <f>'5.Tiên lượng'!V46</f>
        <v>1</v>
      </c>
      <c r="J103" s="419">
        <f t="shared" ref="J103:J106" si="12">PRODUCT(G103,H103,I103)</f>
        <v>3150.1259999999997</v>
      </c>
      <c r="K103" s="420"/>
      <c r="L103" s="420"/>
      <c r="M103" s="420"/>
      <c r="N103" s="420"/>
      <c r="O103" s="420"/>
      <c r="P103" s="420"/>
      <c r="Q103" s="419"/>
      <c r="R103" s="420"/>
      <c r="S103" s="420"/>
      <c r="T103" s="420"/>
      <c r="U103" s="420"/>
      <c r="V103" s="420"/>
      <c r="W103" s="420"/>
      <c r="X103" s="420"/>
      <c r="Y103" s="420"/>
      <c r="Z103" s="420"/>
      <c r="AA103" s="420"/>
    </row>
    <row r="104" spans="1:27" s="410" customFormat="1" ht="41.4">
      <c r="A104" s="413"/>
      <c r="B104" s="414"/>
      <c r="C104" s="413" t="str">
        <f>'5.Tiên lượng'!C59</f>
        <v>AF.15433</v>
      </c>
      <c r="D104" s="413"/>
      <c r="E104" s="415" t="str">
        <f>'5.Tiên lượng'!D59</f>
        <v>Bê tông sản xuất bằng máy trộn và đổ bằng thủ công, bê tông mặt đường dày mặt đường ≤25cm, bê tông M250, đá 2x4, PCB40</v>
      </c>
      <c r="F104" s="414" t="str">
        <f>'5.Tiên lượng'!E59</f>
        <v>m3</v>
      </c>
      <c r="G104" s="419">
        <f>'5.Tiên lượng'!M59</f>
        <v>12.764000000000001</v>
      </c>
      <c r="H104" s="419">
        <f>PTVT!G177</f>
        <v>3.5</v>
      </c>
      <c r="I104" s="419">
        <f>'5.Tiên lượng'!V59</f>
        <v>1</v>
      </c>
      <c r="J104" s="419">
        <f t="shared" si="12"/>
        <v>44.674000000000007</v>
      </c>
      <c r="K104" s="420"/>
      <c r="L104" s="420"/>
      <c r="M104" s="420"/>
      <c r="N104" s="420"/>
      <c r="O104" s="420"/>
      <c r="P104" s="420"/>
      <c r="Q104" s="419"/>
      <c r="R104" s="420"/>
      <c r="S104" s="420"/>
      <c r="T104" s="420"/>
      <c r="U104" s="420"/>
      <c r="V104" s="420"/>
      <c r="W104" s="420"/>
      <c r="X104" s="420"/>
      <c r="Y104" s="420"/>
      <c r="Z104" s="420"/>
      <c r="AA104" s="420"/>
    </row>
    <row r="105" spans="1:27" s="410" customFormat="1">
      <c r="A105" s="413"/>
      <c r="B105" s="414"/>
      <c r="C105" s="413" t="str">
        <f>'5.Tiên lượng'!C67</f>
        <v>AL.24111</v>
      </c>
      <c r="D105" s="413"/>
      <c r="E105" s="415" t="str">
        <f>'5.Tiên lượng'!D67</f>
        <v>Thi công khe co không có thanh TL</v>
      </c>
      <c r="F105" s="414" t="str">
        <f>'5.Tiên lượng'!E67</f>
        <v>m</v>
      </c>
      <c r="G105" s="419">
        <f>'5.Tiên lượng'!M67</f>
        <v>1026</v>
      </c>
      <c r="H105" s="419">
        <f>PTVT!G217</f>
        <v>0.13</v>
      </c>
      <c r="I105" s="419">
        <f>'5.Tiên lượng'!V67</f>
        <v>1</v>
      </c>
      <c r="J105" s="419">
        <f t="shared" si="12"/>
        <v>133.38</v>
      </c>
      <c r="K105" s="420"/>
      <c r="L105" s="420"/>
      <c r="M105" s="420"/>
      <c r="N105" s="420"/>
      <c r="O105" s="420"/>
      <c r="P105" s="420"/>
      <c r="Q105" s="419"/>
      <c r="R105" s="420"/>
      <c r="S105" s="420"/>
      <c r="T105" s="420"/>
      <c r="U105" s="420"/>
      <c r="V105" s="420"/>
      <c r="W105" s="420"/>
      <c r="X105" s="420"/>
      <c r="Y105" s="420"/>
      <c r="Z105" s="420"/>
      <c r="AA105" s="420"/>
    </row>
    <row r="106" spans="1:27" s="410" customFormat="1">
      <c r="A106" s="413"/>
      <c r="B106" s="414"/>
      <c r="C106" s="413" t="str">
        <f>'5.Tiên lượng'!C68</f>
        <v>AL.24112(VD)</v>
      </c>
      <c r="D106" s="413"/>
      <c r="E106" s="415" t="str">
        <f>'5.Tiên lượng'!D68</f>
        <v>Thi công khe giãn</v>
      </c>
      <c r="F106" s="414" t="str">
        <f>'5.Tiên lượng'!E68</f>
        <v>m</v>
      </c>
      <c r="G106" s="419">
        <f>'5.Tiên lượng'!M68</f>
        <v>103.46</v>
      </c>
      <c r="H106" s="419">
        <f>PTVT!G229</f>
        <v>0.25</v>
      </c>
      <c r="I106" s="419">
        <f>'5.Tiên lượng'!V68</f>
        <v>1</v>
      </c>
      <c r="J106" s="419">
        <f t="shared" si="12"/>
        <v>25.864999999999998</v>
      </c>
      <c r="K106" s="420"/>
      <c r="L106" s="420"/>
      <c r="M106" s="420"/>
      <c r="N106" s="420"/>
      <c r="O106" s="420"/>
      <c r="P106" s="420"/>
      <c r="Q106" s="419"/>
      <c r="R106" s="420"/>
      <c r="S106" s="420"/>
      <c r="T106" s="420"/>
      <c r="U106" s="420"/>
      <c r="V106" s="420"/>
      <c r="W106" s="420"/>
      <c r="X106" s="420"/>
      <c r="Y106" s="420"/>
      <c r="Z106" s="420"/>
      <c r="AA106" s="420"/>
    </row>
    <row r="107" spans="1:27">
      <c r="A107" s="246" t="s">
        <v>759</v>
      </c>
      <c r="B107" s="265">
        <v>28</v>
      </c>
      <c r="C107" s="670" t="s">
        <v>646</v>
      </c>
      <c r="D107" s="246"/>
      <c r="E107" s="266" t="str">
        <f>'Giá VL'!E32</f>
        <v>Nhựa nhũ tương gốc axít 60%</v>
      </c>
      <c r="F107" s="265" t="str">
        <f>'Giá VL'!F32</f>
        <v>kg</v>
      </c>
      <c r="G107" s="268"/>
      <c r="H107" s="268"/>
      <c r="I107" s="268"/>
      <c r="J107" s="268">
        <f>SUM(J108:J111)</f>
        <v>62266.692499999997</v>
      </c>
      <c r="K107" s="421">
        <f>'Giá VL'!G32</f>
        <v>13600</v>
      </c>
      <c r="L107" s="421">
        <f>J107*K107</f>
        <v>846827018</v>
      </c>
      <c r="M107" s="421">
        <f>'Giá VL'!J32</f>
        <v>13600</v>
      </c>
      <c r="N107" s="421">
        <f>J107*M107</f>
        <v>846827018</v>
      </c>
      <c r="O107" s="540">
        <f>M107-K107</f>
        <v>0</v>
      </c>
      <c r="P107" s="421">
        <f>J107*O107</f>
        <v>0</v>
      </c>
      <c r="Q107" s="268">
        <v>1</v>
      </c>
      <c r="R107" s="421">
        <f>M107*Q107</f>
        <v>13600</v>
      </c>
      <c r="S107" s="421">
        <f>J107*R107</f>
        <v>846827018</v>
      </c>
      <c r="T107" s="540">
        <v>0</v>
      </c>
      <c r="U107" s="421">
        <v>0</v>
      </c>
      <c r="V107" s="421">
        <v>83.316415683899294</v>
      </c>
      <c r="W107" s="421">
        <v>5187837.6355915396</v>
      </c>
      <c r="X107" s="421">
        <f>'Giá VL'!V32</f>
        <v>13717.500872863939</v>
      </c>
      <c r="Y107" s="421">
        <f>J107*X107</f>
        <v>854143408.71910048</v>
      </c>
      <c r="Z107" s="540">
        <f>X107-K107</f>
        <v>117.50087286393864</v>
      </c>
      <c r="AA107" s="421">
        <f>J107*Z107</f>
        <v>7316390.7191004613</v>
      </c>
    </row>
    <row r="108" spans="1:27" s="410" customFormat="1" ht="27.6">
      <c r="A108" s="413"/>
      <c r="B108" s="414"/>
      <c r="C108" s="413" t="str">
        <f>'5.Tiên lượng'!C113</f>
        <v>AD.24223</v>
      </c>
      <c r="D108" s="413"/>
      <c r="E108" s="415" t="str">
        <f>'5.Tiên lượng'!D113</f>
        <v>Tưới lớp dính bám mặt đường, nhũ tương CSS1, lượng nhũ tương 1kg/m2</v>
      </c>
      <c r="F108" s="414" t="str">
        <f>'5.Tiên lượng'!E113</f>
        <v>100m2</v>
      </c>
      <c r="G108" s="419">
        <f>'5.Tiên lượng'!M113</f>
        <v>106.9627</v>
      </c>
      <c r="H108" s="419">
        <f>PTVT!G395</f>
        <v>102.5</v>
      </c>
      <c r="I108" s="419">
        <f>'5.Tiên lượng'!V113</f>
        <v>1</v>
      </c>
      <c r="J108" s="419">
        <f t="shared" ref="J108:J111" si="13">PRODUCT(G108,H108,I108)</f>
        <v>10963.676750000001</v>
      </c>
      <c r="K108" s="420"/>
      <c r="L108" s="420"/>
      <c r="M108" s="420"/>
      <c r="N108" s="420"/>
      <c r="O108" s="420"/>
      <c r="P108" s="420"/>
      <c r="Q108" s="419"/>
      <c r="R108" s="420"/>
      <c r="S108" s="420"/>
      <c r="T108" s="420"/>
      <c r="U108" s="420"/>
      <c r="V108" s="420"/>
      <c r="W108" s="420"/>
      <c r="X108" s="420"/>
      <c r="Y108" s="420"/>
      <c r="Z108" s="420"/>
      <c r="AA108" s="420"/>
    </row>
    <row r="109" spans="1:27" s="410" customFormat="1" ht="27.6">
      <c r="A109" s="413"/>
      <c r="B109" s="414"/>
      <c r="C109" s="413" t="str">
        <f>'5.Tiên lượng'!C115</f>
        <v>AD.24132</v>
      </c>
      <c r="D109" s="413"/>
      <c r="E109" s="415" t="str">
        <f>'5.Tiên lượng'!D115</f>
        <v>Thi công mặt đường láng nhũ tương 03 lớp - Tiêu chuẩn nhựa 4,5kg/m2</v>
      </c>
      <c r="F109" s="414" t="str">
        <f>'5.Tiên lượng'!E115</f>
        <v>100m2</v>
      </c>
      <c r="G109" s="419">
        <f>'5.Tiên lượng'!M115</f>
        <v>106.9627</v>
      </c>
      <c r="H109" s="419">
        <f>PTVT!G407</f>
        <v>472.5</v>
      </c>
      <c r="I109" s="419">
        <f>'5.Tiên lượng'!V115</f>
        <v>1</v>
      </c>
      <c r="J109" s="419">
        <f t="shared" si="13"/>
        <v>50539.875749999999</v>
      </c>
      <c r="K109" s="420"/>
      <c r="L109" s="420"/>
      <c r="M109" s="420"/>
      <c r="N109" s="420"/>
      <c r="O109" s="420"/>
      <c r="P109" s="420"/>
      <c r="Q109" s="419"/>
      <c r="R109" s="420"/>
      <c r="S109" s="420"/>
      <c r="T109" s="420"/>
      <c r="U109" s="420"/>
      <c r="V109" s="420"/>
      <c r="W109" s="420"/>
      <c r="X109" s="420"/>
      <c r="Y109" s="420"/>
      <c r="Z109" s="420"/>
      <c r="AA109" s="420"/>
    </row>
    <row r="110" spans="1:27" s="410" customFormat="1" ht="27.6">
      <c r="A110" s="413"/>
      <c r="B110" s="414"/>
      <c r="C110" s="413" t="str">
        <f>'5.Tiên lượng'!C120</f>
        <v>AD.24223</v>
      </c>
      <c r="D110" s="413"/>
      <c r="E110" s="415" t="str">
        <f>'5.Tiên lượng'!D120</f>
        <v>Tưới lớp dính bám mặt đường, nhũ tương CSS1, lượng nhũ tương 1kg/m2</v>
      </c>
      <c r="F110" s="414" t="str">
        <f>'5.Tiên lượng'!E120</f>
        <v>100m2</v>
      </c>
      <c r="G110" s="419">
        <f>'5.Tiên lượng'!M120</f>
        <v>1.3271999999999999</v>
      </c>
      <c r="H110" s="419">
        <f>PTVT!G436</f>
        <v>102.5</v>
      </c>
      <c r="I110" s="419">
        <f>'5.Tiên lượng'!V120</f>
        <v>1</v>
      </c>
      <c r="J110" s="419">
        <f t="shared" si="13"/>
        <v>136.03799999999998</v>
      </c>
      <c r="K110" s="420"/>
      <c r="L110" s="420"/>
      <c r="M110" s="420"/>
      <c r="N110" s="420"/>
      <c r="O110" s="420"/>
      <c r="P110" s="420"/>
      <c r="Q110" s="419"/>
      <c r="R110" s="420"/>
      <c r="S110" s="420"/>
      <c r="T110" s="420"/>
      <c r="U110" s="420"/>
      <c r="V110" s="420"/>
      <c r="W110" s="420"/>
      <c r="X110" s="420"/>
      <c r="Y110" s="420"/>
      <c r="Z110" s="420"/>
      <c r="AA110" s="420"/>
    </row>
    <row r="111" spans="1:27" s="410" customFormat="1" ht="27.6">
      <c r="A111" s="413"/>
      <c r="B111" s="414"/>
      <c r="C111" s="413" t="str">
        <f>'5.Tiên lượng'!C122</f>
        <v>AD.24132</v>
      </c>
      <c r="D111" s="413"/>
      <c r="E111" s="415" t="str">
        <f>'5.Tiên lượng'!D122</f>
        <v>Thi công mặt đường láng nhũ tương 03 lớp - Tiêu chuẩn nhựa 4,5kg/m2</v>
      </c>
      <c r="F111" s="414" t="str">
        <f>'5.Tiên lượng'!E122</f>
        <v>100m2</v>
      </c>
      <c r="G111" s="419">
        <f>'5.Tiên lượng'!M122</f>
        <v>1.3271999999999999</v>
      </c>
      <c r="H111" s="419">
        <f>PTVT!G448</f>
        <v>472.5</v>
      </c>
      <c r="I111" s="419">
        <f>'5.Tiên lượng'!V122</f>
        <v>1</v>
      </c>
      <c r="J111" s="419">
        <f t="shared" si="13"/>
        <v>627.10199999999998</v>
      </c>
      <c r="K111" s="420"/>
      <c r="L111" s="420"/>
      <c r="M111" s="420"/>
      <c r="N111" s="420"/>
      <c r="O111" s="420"/>
      <c r="P111" s="420"/>
      <c r="Q111" s="419"/>
      <c r="R111" s="420"/>
      <c r="S111" s="420"/>
      <c r="T111" s="420"/>
      <c r="U111" s="420"/>
      <c r="V111" s="420"/>
      <c r="W111" s="420"/>
      <c r="X111" s="420"/>
      <c r="Y111" s="420"/>
      <c r="Z111" s="420"/>
      <c r="AA111" s="420"/>
    </row>
    <row r="112" spans="1:27">
      <c r="A112" s="246" t="s">
        <v>759</v>
      </c>
      <c r="B112" s="265">
        <v>29</v>
      </c>
      <c r="C112" s="670" t="s">
        <v>617</v>
      </c>
      <c r="D112" s="246"/>
      <c r="E112" s="266" t="str">
        <f>'Giá VL'!E33</f>
        <v>Nước</v>
      </c>
      <c r="F112" s="265" t="str">
        <f>'Giá VL'!F33</f>
        <v>lít</v>
      </c>
      <c r="G112" s="268"/>
      <c r="H112" s="268"/>
      <c r="I112" s="268"/>
      <c r="J112" s="268">
        <f>SUM(J113:J133)</f>
        <v>400838.91899000003</v>
      </c>
      <c r="K112" s="540">
        <f>'Giá VL'!G33</f>
        <v>15</v>
      </c>
      <c r="L112" s="421">
        <f>J112*K112</f>
        <v>6012583.7848500004</v>
      </c>
      <c r="M112" s="540">
        <f>'Giá VL'!J33</f>
        <v>15</v>
      </c>
      <c r="N112" s="421">
        <f>J112*M112</f>
        <v>6012583.7848500004</v>
      </c>
      <c r="O112" s="540">
        <f>M112-K112</f>
        <v>0</v>
      </c>
      <c r="P112" s="421">
        <f>J112*O112</f>
        <v>0</v>
      </c>
      <c r="Q112" s="268">
        <v>1</v>
      </c>
      <c r="R112" s="540">
        <f>M112*Q112</f>
        <v>15</v>
      </c>
      <c r="S112" s="421">
        <f>J112*R112</f>
        <v>6012583.7848500004</v>
      </c>
      <c r="T112" s="540">
        <v>0</v>
      </c>
      <c r="U112" s="421">
        <v>0</v>
      </c>
      <c r="V112" s="421">
        <v>0</v>
      </c>
      <c r="W112" s="421">
        <v>0</v>
      </c>
      <c r="X112" s="540">
        <f>'Giá VL'!V33</f>
        <v>15</v>
      </c>
      <c r="Y112" s="421">
        <f>J112*X112</f>
        <v>6012583.7848500004</v>
      </c>
      <c r="Z112" s="540">
        <f>X112-K112</f>
        <v>0</v>
      </c>
      <c r="AA112" s="421">
        <f>J112*Z112</f>
        <v>0</v>
      </c>
    </row>
    <row r="113" spans="1:27" s="410" customFormat="1" ht="41.4">
      <c r="A113" s="413"/>
      <c r="B113" s="414"/>
      <c r="C113" s="413" t="str">
        <f>'5.Tiên lượng'!C46</f>
        <v>AF.15433</v>
      </c>
      <c r="D113" s="413"/>
      <c r="E113" s="415" t="str">
        <f>'5.Tiên lượng'!D46</f>
        <v>Bê tông sản xuất bằng máy trộn và đổ bằng thủ công, bê tông mặt đường dày mặt đường ≤25cm, bê tông M250, đá 2x4, PCB40</v>
      </c>
      <c r="F113" s="414" t="str">
        <f>'5.Tiên lượng'!E46</f>
        <v>m3</v>
      </c>
      <c r="G113" s="419">
        <f>'5.Tiên lượng'!M46</f>
        <v>900.03599999999994</v>
      </c>
      <c r="H113" s="419">
        <f>PTVT!G118</f>
        <v>177.32499999999999</v>
      </c>
      <c r="I113" s="419">
        <f>'5.Tiên lượng'!V46</f>
        <v>1</v>
      </c>
      <c r="J113" s="419">
        <f t="shared" ref="J113:J133" si="14">PRODUCT(G113,H113,I113)</f>
        <v>159598.88369999998</v>
      </c>
      <c r="K113" s="420"/>
      <c r="L113" s="420"/>
      <c r="M113" s="420"/>
      <c r="N113" s="420"/>
      <c r="O113" s="420"/>
      <c r="P113" s="420"/>
      <c r="Q113" s="419"/>
      <c r="R113" s="420"/>
      <c r="S113" s="420"/>
      <c r="T113" s="420"/>
      <c r="U113" s="420"/>
      <c r="V113" s="420"/>
      <c r="W113" s="420"/>
      <c r="X113" s="420"/>
      <c r="Y113" s="420"/>
      <c r="Z113" s="420"/>
      <c r="AA113" s="420"/>
    </row>
    <row r="114" spans="1:27" s="410" customFormat="1" ht="41.4">
      <c r="A114" s="413"/>
      <c r="B114" s="414"/>
      <c r="C114" s="413" t="str">
        <f>'5.Tiên lượng'!C59</f>
        <v>AF.15433</v>
      </c>
      <c r="D114" s="413"/>
      <c r="E114" s="415" t="str">
        <f>'5.Tiên lượng'!D59</f>
        <v>Bê tông sản xuất bằng máy trộn và đổ bằng thủ công, bê tông mặt đường dày mặt đường ≤25cm, bê tông M250, đá 2x4, PCB40</v>
      </c>
      <c r="F114" s="414" t="str">
        <f>'5.Tiên lượng'!E59</f>
        <v>m3</v>
      </c>
      <c r="G114" s="419">
        <f>'5.Tiên lượng'!M59</f>
        <v>12.764000000000001</v>
      </c>
      <c r="H114" s="419">
        <f>PTVT!G175</f>
        <v>177.32499999999999</v>
      </c>
      <c r="I114" s="419">
        <f>'5.Tiên lượng'!V59</f>
        <v>1</v>
      </c>
      <c r="J114" s="419">
        <f t="shared" si="14"/>
        <v>2263.3762999999999</v>
      </c>
      <c r="K114" s="420"/>
      <c r="L114" s="420"/>
      <c r="M114" s="420"/>
      <c r="N114" s="420"/>
      <c r="O114" s="420"/>
      <c r="P114" s="420"/>
      <c r="Q114" s="419"/>
      <c r="R114" s="420"/>
      <c r="S114" s="420"/>
      <c r="T114" s="420"/>
      <c r="U114" s="420"/>
      <c r="V114" s="420"/>
      <c r="W114" s="420"/>
      <c r="X114" s="420"/>
      <c r="Y114" s="420"/>
      <c r="Z114" s="420"/>
      <c r="AA114" s="420"/>
    </row>
    <row r="115" spans="1:27" s="410" customFormat="1" ht="41.4">
      <c r="A115" s="413"/>
      <c r="B115" s="414"/>
      <c r="C115" s="413" t="str">
        <f>'5.Tiên lượng'!C111</f>
        <v>LS.11110(ĐM.1322)</v>
      </c>
      <c r="D115" s="413"/>
      <c r="E115" s="415" t="str">
        <f>'5.Tiên lượng'!D111</f>
        <v>Cào bóc tái sinh nguội tại chỗ bằng máy cào bóc tái sinh WR2400 trên mặt đường láng nhựa, chiều dày 18cm (4% xi măng rải thủ công)</v>
      </c>
      <c r="F115" s="414" t="str">
        <f>'5.Tiên lượng'!E111</f>
        <v>100m3</v>
      </c>
      <c r="G115" s="419">
        <f>'5.Tiên lượng'!M111</f>
        <v>19.253299999999999</v>
      </c>
      <c r="H115" s="419">
        <f>PTVT!G377</f>
        <v>12918</v>
      </c>
      <c r="I115" s="419">
        <f>'5.Tiên lượng'!V111</f>
        <v>0.9</v>
      </c>
      <c r="J115" s="419">
        <f t="shared" si="14"/>
        <v>223842.71646</v>
      </c>
      <c r="K115" s="420"/>
      <c r="L115" s="420"/>
      <c r="M115" s="420"/>
      <c r="N115" s="420"/>
      <c r="O115" s="420"/>
      <c r="P115" s="420"/>
      <c r="Q115" s="419"/>
      <c r="R115" s="420"/>
      <c r="S115" s="420"/>
      <c r="T115" s="420"/>
      <c r="U115" s="420"/>
      <c r="V115" s="420"/>
      <c r="W115" s="420"/>
      <c r="X115" s="420"/>
      <c r="Y115" s="420"/>
      <c r="Z115" s="420"/>
      <c r="AA115" s="420"/>
    </row>
    <row r="116" spans="1:27" s="410" customFormat="1" ht="41.4">
      <c r="A116" s="413"/>
      <c r="B116" s="414"/>
      <c r="C116" s="413" t="str">
        <f>'5.Tiên lượng'!C118</f>
        <v>LS.11110(ĐM.1322)</v>
      </c>
      <c r="D116" s="413"/>
      <c r="E116" s="415" t="str">
        <f>'5.Tiên lượng'!D118</f>
        <v>Cào bóc tái sinh nguội tại chỗ bằng máy cào bóc tái sinh WR2400 trên mặt đường láng nhựa, chiều dày 18cm (4% xi măng rải thủ công)</v>
      </c>
      <c r="F116" s="414" t="str">
        <f>'5.Tiên lượng'!E118</f>
        <v>100m3</v>
      </c>
      <c r="G116" s="419">
        <f>'5.Tiên lượng'!M118</f>
        <v>0.2389</v>
      </c>
      <c r="H116" s="419">
        <f>PTVT!G418</f>
        <v>12918</v>
      </c>
      <c r="I116" s="419">
        <f>'5.Tiên lượng'!V118</f>
        <v>0.9</v>
      </c>
      <c r="J116" s="419">
        <f t="shared" si="14"/>
        <v>2777.4991800000003</v>
      </c>
      <c r="K116" s="420"/>
      <c r="L116" s="420"/>
      <c r="M116" s="420"/>
      <c r="N116" s="420"/>
      <c r="O116" s="420"/>
      <c r="P116" s="420"/>
      <c r="Q116" s="419"/>
      <c r="R116" s="420"/>
      <c r="S116" s="420"/>
      <c r="T116" s="420"/>
      <c r="U116" s="420"/>
      <c r="V116" s="420"/>
      <c r="W116" s="420"/>
      <c r="X116" s="420"/>
      <c r="Y116" s="420"/>
      <c r="Z116" s="420"/>
      <c r="AA116" s="420"/>
    </row>
    <row r="117" spans="1:27" s="410" customFormat="1">
      <c r="A117" s="413"/>
      <c r="B117" s="414"/>
      <c r="C117" s="413" t="str">
        <f>'5.Tiên lượng'!C128</f>
        <v>AF.11231</v>
      </c>
      <c r="D117" s="413"/>
      <c r="E117" s="415" t="str">
        <f>'5.Tiên lượng'!D128</f>
        <v>BTXM móng rãnh, M150, đá 2x4, PCB40</v>
      </c>
      <c r="F117" s="414" t="str">
        <f>'5.Tiên lượng'!E128</f>
        <v>m3</v>
      </c>
      <c r="G117" s="419">
        <f>'5.Tiên lượng'!M128</f>
        <v>7.43</v>
      </c>
      <c r="H117" s="419">
        <f>PTVT!G468</f>
        <v>176.3</v>
      </c>
      <c r="I117" s="419">
        <f>'5.Tiên lượng'!V128</f>
        <v>1</v>
      </c>
      <c r="J117" s="419">
        <f t="shared" si="14"/>
        <v>1309.9090000000001</v>
      </c>
      <c r="K117" s="420"/>
      <c r="L117" s="420"/>
      <c r="M117" s="420"/>
      <c r="N117" s="420"/>
      <c r="O117" s="420"/>
      <c r="P117" s="420"/>
      <c r="Q117" s="419"/>
      <c r="R117" s="420"/>
      <c r="S117" s="420"/>
      <c r="T117" s="420"/>
      <c r="U117" s="420"/>
      <c r="V117" s="420"/>
      <c r="W117" s="420"/>
      <c r="X117" s="420"/>
      <c r="Y117" s="420"/>
      <c r="Z117" s="420"/>
      <c r="AA117" s="420"/>
    </row>
    <row r="118" spans="1:27" s="410" customFormat="1" ht="27.6">
      <c r="A118" s="413"/>
      <c r="B118" s="414"/>
      <c r="C118" s="413" t="str">
        <f>'5.Tiên lượng'!C129</f>
        <v>AE.26313</v>
      </c>
      <c r="D118" s="413"/>
      <c r="E118" s="415" t="str">
        <f>'5.Tiên lượng'!D129</f>
        <v>Xây rãnh thoát nước bằng gạch KN 6,5x10,5x22cm, vữa XM M75, PCB40</v>
      </c>
      <c r="F118" s="414" t="str">
        <f>'5.Tiên lượng'!E129</f>
        <v>m3</v>
      </c>
      <c r="G118" s="419">
        <f>'5.Tiên lượng'!M129</f>
        <v>10.43</v>
      </c>
      <c r="H118" s="419">
        <f>PTVT!G480</f>
        <v>91.575000000000003</v>
      </c>
      <c r="I118" s="419">
        <f>'5.Tiên lượng'!V129</f>
        <v>1</v>
      </c>
      <c r="J118" s="419">
        <f t="shared" si="14"/>
        <v>955.12725</v>
      </c>
      <c r="K118" s="420"/>
      <c r="L118" s="420"/>
      <c r="M118" s="420"/>
      <c r="N118" s="420"/>
      <c r="O118" s="420"/>
      <c r="P118" s="420"/>
      <c r="Q118" s="419"/>
      <c r="R118" s="420"/>
      <c r="S118" s="420"/>
      <c r="T118" s="420"/>
      <c r="U118" s="420"/>
      <c r="V118" s="420"/>
      <c r="W118" s="420"/>
      <c r="X118" s="420"/>
      <c r="Y118" s="420"/>
      <c r="Z118" s="420"/>
      <c r="AA118" s="420"/>
    </row>
    <row r="119" spans="1:27" s="410" customFormat="1">
      <c r="A119" s="413"/>
      <c r="B119" s="414"/>
      <c r="C119" s="413" t="str">
        <f>'5.Tiên lượng'!C130</f>
        <v>AK.21113</v>
      </c>
      <c r="D119" s="413"/>
      <c r="E119" s="415" t="str">
        <f>'5.Tiên lượng'!D130</f>
        <v>Trát tường ngoài dày 1cm, vữa XM M75, PCB40</v>
      </c>
      <c r="F119" s="414" t="str">
        <f>'5.Tiên lượng'!E130</f>
        <v>m2</v>
      </c>
      <c r="G119" s="419">
        <f>'5.Tiên lượng'!M130</f>
        <v>47.4</v>
      </c>
      <c r="H119" s="419">
        <f>PTVT!G490</f>
        <v>3.3359999999999999</v>
      </c>
      <c r="I119" s="419">
        <f>'5.Tiên lượng'!V130</f>
        <v>1</v>
      </c>
      <c r="J119" s="419">
        <f t="shared" si="14"/>
        <v>158.12639999999999</v>
      </c>
      <c r="K119" s="420"/>
      <c r="L119" s="420"/>
      <c r="M119" s="420"/>
      <c r="N119" s="420"/>
      <c r="O119" s="420"/>
      <c r="P119" s="420"/>
      <c r="Q119" s="419"/>
      <c r="R119" s="420"/>
      <c r="S119" s="420"/>
      <c r="T119" s="420"/>
      <c r="U119" s="420"/>
      <c r="V119" s="420"/>
      <c r="W119" s="420"/>
      <c r="X119" s="420"/>
      <c r="Y119" s="420"/>
      <c r="Z119" s="420"/>
      <c r="AA119" s="420"/>
    </row>
    <row r="120" spans="1:27" s="410" customFormat="1" ht="41.4">
      <c r="A120" s="413"/>
      <c r="B120" s="414"/>
      <c r="C120" s="413" t="str">
        <f>'5.Tiên lượng'!C132</f>
        <v>AF.14212</v>
      </c>
      <c r="D120" s="413"/>
      <c r="E120" s="415" t="str">
        <f>'5.Tiên lượng'!D132</f>
        <v>Bê tông mũ mố, mũ trụ trên cạn SX bằng máy trộn, đổ bằng thủ công, bê tông M200, đá 1x2, PCB40</v>
      </c>
      <c r="F120" s="414" t="str">
        <f>'5.Tiên lượng'!E132</f>
        <v>m3</v>
      </c>
      <c r="G120" s="419">
        <f>'5.Tiên lượng'!M132</f>
        <v>5.91</v>
      </c>
      <c r="H120" s="419">
        <f>PTVT!G501</f>
        <v>187.57499999999999</v>
      </c>
      <c r="I120" s="419">
        <f>'5.Tiên lượng'!V132</f>
        <v>1</v>
      </c>
      <c r="J120" s="419">
        <f t="shared" si="14"/>
        <v>1108.56825</v>
      </c>
      <c r="K120" s="420"/>
      <c r="L120" s="420"/>
      <c r="M120" s="420"/>
      <c r="N120" s="420"/>
      <c r="O120" s="420"/>
      <c r="P120" s="420"/>
      <c r="Q120" s="419"/>
      <c r="R120" s="420"/>
      <c r="S120" s="420"/>
      <c r="T120" s="420"/>
      <c r="U120" s="420"/>
      <c r="V120" s="420"/>
      <c r="W120" s="420"/>
      <c r="X120" s="420"/>
      <c r="Y120" s="420"/>
      <c r="Z120" s="420"/>
      <c r="AA120" s="420"/>
    </row>
    <row r="121" spans="1:27" s="410" customFormat="1" ht="41.4">
      <c r="A121" s="413"/>
      <c r="B121" s="414"/>
      <c r="C121" s="413" t="str">
        <f>'5.Tiên lượng'!C138</f>
        <v>AG.11413</v>
      </c>
      <c r="D121" s="413"/>
      <c r="E121" s="415" t="str">
        <f>'5.Tiên lượng'!D138</f>
        <v>Bê tông tấm đan, mái hắt, lanh tô, bê tông M250, đá 1x2, PCB40 - Đổ bê tông đúc sẵn bằng thủ công (vữa bê tông sản xuất bằng máy trộn)</v>
      </c>
      <c r="F121" s="414" t="str">
        <f>'5.Tiên lượng'!E138</f>
        <v>m3</v>
      </c>
      <c r="G121" s="419">
        <f>'5.Tiên lượng'!M138</f>
        <v>6.64</v>
      </c>
      <c r="H121" s="419">
        <f>PTVT!G534</f>
        <v>185.745</v>
      </c>
      <c r="I121" s="419">
        <f>'5.Tiên lượng'!V138</f>
        <v>1</v>
      </c>
      <c r="J121" s="419">
        <f t="shared" si="14"/>
        <v>1233.3468</v>
      </c>
      <c r="K121" s="420"/>
      <c r="L121" s="420"/>
      <c r="M121" s="420"/>
      <c r="N121" s="420"/>
      <c r="O121" s="420"/>
      <c r="P121" s="420"/>
      <c r="Q121" s="419"/>
      <c r="R121" s="420"/>
      <c r="S121" s="420"/>
      <c r="T121" s="420"/>
      <c r="U121" s="420"/>
      <c r="V121" s="420"/>
      <c r="W121" s="420"/>
      <c r="X121" s="420"/>
      <c r="Y121" s="420"/>
      <c r="Z121" s="420"/>
      <c r="AA121" s="420"/>
    </row>
    <row r="122" spans="1:27" s="410" customFormat="1" ht="27.6">
      <c r="A122" s="413"/>
      <c r="B122" s="414"/>
      <c r="C122" s="413" t="str">
        <f>'5.Tiên lượng'!C148</f>
        <v>BB.13502</v>
      </c>
      <c r="D122" s="413"/>
      <c r="E122" s="415" t="str">
        <f>'5.Tiên lượng'!D148</f>
        <v xml:space="preserve">Nối ống bê tông bằng phương pháp xảm - Đường kính 300mm </v>
      </c>
      <c r="F122" s="414" t="str">
        <f>'5.Tiên lượng'!E148</f>
        <v>mối nối</v>
      </c>
      <c r="G122" s="419">
        <f>'5.Tiên lượng'!M148</f>
        <v>64</v>
      </c>
      <c r="H122" s="419">
        <f>PTVT!G580</f>
        <v>1.2767999999999999</v>
      </c>
      <c r="I122" s="419">
        <f>'5.Tiên lượng'!V148</f>
        <v>1</v>
      </c>
      <c r="J122" s="419">
        <f t="shared" si="14"/>
        <v>81.715199999999996</v>
      </c>
      <c r="K122" s="420"/>
      <c r="L122" s="420"/>
      <c r="M122" s="420"/>
      <c r="N122" s="420"/>
      <c r="O122" s="420"/>
      <c r="P122" s="420"/>
      <c r="Q122" s="419"/>
      <c r="R122" s="420"/>
      <c r="S122" s="420"/>
      <c r="T122" s="420"/>
      <c r="U122" s="420"/>
      <c r="V122" s="420"/>
      <c r="W122" s="420"/>
      <c r="X122" s="420"/>
      <c r="Y122" s="420"/>
      <c r="Z122" s="420"/>
      <c r="AA122" s="420"/>
    </row>
    <row r="123" spans="1:27" s="410" customFormat="1">
      <c r="A123" s="413"/>
      <c r="B123" s="414"/>
      <c r="C123" s="413" t="str">
        <f>'5.Tiên lượng'!C152</f>
        <v>AF.13211</v>
      </c>
      <c r="D123" s="413"/>
      <c r="E123" s="415" t="str">
        <f>'5.Tiên lượng'!D152</f>
        <v>BTXM rãnh dọc, M150, đá 1x2, PCB40</v>
      </c>
      <c r="F123" s="414" t="str">
        <f>'5.Tiên lượng'!E152</f>
        <v>m3</v>
      </c>
      <c r="G123" s="419">
        <f>'5.Tiên lượng'!M152</f>
        <v>3.3</v>
      </c>
      <c r="H123" s="419">
        <f>PTVT!G597</f>
        <v>187.57499999999999</v>
      </c>
      <c r="I123" s="419">
        <f>'5.Tiên lượng'!V152</f>
        <v>1</v>
      </c>
      <c r="J123" s="419">
        <f t="shared" si="14"/>
        <v>618.99749999999995</v>
      </c>
      <c r="K123" s="420"/>
      <c r="L123" s="420"/>
      <c r="M123" s="420"/>
      <c r="N123" s="420"/>
      <c r="O123" s="420"/>
      <c r="P123" s="420"/>
      <c r="Q123" s="419"/>
      <c r="R123" s="420"/>
      <c r="S123" s="420"/>
      <c r="T123" s="420"/>
      <c r="U123" s="420"/>
      <c r="V123" s="420"/>
      <c r="W123" s="420"/>
      <c r="X123" s="420"/>
      <c r="Y123" s="420"/>
      <c r="Z123" s="420"/>
      <c r="AA123" s="420"/>
    </row>
    <row r="124" spans="1:27" s="410" customFormat="1" ht="27.6">
      <c r="A124" s="413"/>
      <c r="B124" s="414"/>
      <c r="C124" s="413" t="str">
        <f>'5.Tiên lượng'!C163</f>
        <v>AE.11114</v>
      </c>
      <c r="D124" s="413"/>
      <c r="E124" s="415" t="str">
        <f>'5.Tiên lượng'!D163</f>
        <v>Khối xây bó nền bằng đá hộc - Chiều dày ≤60cm, vữa XM M100, PCB40</v>
      </c>
      <c r="F124" s="414" t="str">
        <f>'5.Tiên lượng'!E163</f>
        <v>m3</v>
      </c>
      <c r="G124" s="419">
        <f>'5.Tiên lượng'!M163</f>
        <v>3.6</v>
      </c>
      <c r="H124" s="419">
        <f>PTVT!G639</f>
        <v>113.4</v>
      </c>
      <c r="I124" s="419">
        <f>'5.Tiên lượng'!V163</f>
        <v>1</v>
      </c>
      <c r="J124" s="419">
        <f t="shared" si="14"/>
        <v>408.24</v>
      </c>
      <c r="K124" s="420"/>
      <c r="L124" s="420"/>
      <c r="M124" s="420"/>
      <c r="N124" s="420"/>
      <c r="O124" s="420"/>
      <c r="P124" s="420"/>
      <c r="Q124" s="419"/>
      <c r="R124" s="420"/>
      <c r="S124" s="420"/>
      <c r="T124" s="420"/>
      <c r="U124" s="420"/>
      <c r="V124" s="420"/>
      <c r="W124" s="420"/>
      <c r="X124" s="420"/>
      <c r="Y124" s="420"/>
      <c r="Z124" s="420"/>
      <c r="AA124" s="420"/>
    </row>
    <row r="125" spans="1:27" s="410" customFormat="1">
      <c r="A125" s="413"/>
      <c r="B125" s="414"/>
      <c r="C125" s="413" t="str">
        <f>'5.Tiên lượng'!C178</f>
        <v>AE.12314</v>
      </c>
      <c r="D125" s="413"/>
      <c r="E125" s="415" t="str">
        <f>'5.Tiên lượng'!D178</f>
        <v>Xây cống, vữa XM M100, PCB40</v>
      </c>
      <c r="F125" s="414" t="str">
        <f>'5.Tiên lượng'!E178</f>
        <v>m3</v>
      </c>
      <c r="G125" s="419">
        <f>'5.Tiên lượng'!M178</f>
        <v>41.57</v>
      </c>
      <c r="H125" s="419">
        <f>PTVT!G679</f>
        <v>113.4</v>
      </c>
      <c r="I125" s="419">
        <f>'5.Tiên lượng'!V178</f>
        <v>1</v>
      </c>
      <c r="J125" s="419">
        <f t="shared" si="14"/>
        <v>4714.0380000000005</v>
      </c>
      <c r="K125" s="420"/>
      <c r="L125" s="420"/>
      <c r="M125" s="420"/>
      <c r="N125" s="420"/>
      <c r="O125" s="420"/>
      <c r="P125" s="420"/>
      <c r="Q125" s="419"/>
      <c r="R125" s="420"/>
      <c r="S125" s="420"/>
      <c r="T125" s="420"/>
      <c r="U125" s="420"/>
      <c r="V125" s="420"/>
      <c r="W125" s="420"/>
      <c r="X125" s="420"/>
      <c r="Y125" s="420"/>
      <c r="Z125" s="420"/>
      <c r="AA125" s="420"/>
    </row>
    <row r="126" spans="1:27" s="410" customFormat="1" ht="27.6">
      <c r="A126" s="413"/>
      <c r="B126" s="414"/>
      <c r="C126" s="413" t="str">
        <f>'5.Tiên lượng'!C185</f>
        <v>BB.13503</v>
      </c>
      <c r="D126" s="413"/>
      <c r="E126" s="415" t="str">
        <f>'5.Tiên lượng'!D185</f>
        <v>Nối ống bê tông bằng phương pháp xảm - Đường kính 400mm</v>
      </c>
      <c r="F126" s="414" t="str">
        <f>'5.Tiên lượng'!E185</f>
        <v>mối nối</v>
      </c>
      <c r="G126" s="419">
        <f>'5.Tiên lượng'!M185</f>
        <v>13</v>
      </c>
      <c r="H126" s="419">
        <f>PTVT!G739</f>
        <v>1.7023999999999999</v>
      </c>
      <c r="I126" s="419">
        <f>'5.Tiên lượng'!V185</f>
        <v>1</v>
      </c>
      <c r="J126" s="419">
        <f t="shared" si="14"/>
        <v>22.1312</v>
      </c>
      <c r="K126" s="420"/>
      <c r="L126" s="420"/>
      <c r="M126" s="420"/>
      <c r="N126" s="420"/>
      <c r="O126" s="420"/>
      <c r="P126" s="420"/>
      <c r="Q126" s="419"/>
      <c r="R126" s="420"/>
      <c r="S126" s="420"/>
      <c r="T126" s="420"/>
      <c r="U126" s="420"/>
      <c r="V126" s="420"/>
      <c r="W126" s="420"/>
      <c r="X126" s="420"/>
      <c r="Y126" s="420"/>
      <c r="Z126" s="420"/>
      <c r="AA126" s="420"/>
    </row>
    <row r="127" spans="1:27" s="410" customFormat="1" ht="27.6">
      <c r="A127" s="413"/>
      <c r="B127" s="414"/>
      <c r="C127" s="413" t="str">
        <f>'5.Tiên lượng'!C186</f>
        <v>BB.13505</v>
      </c>
      <c r="D127" s="413"/>
      <c r="E127" s="415" t="str">
        <f>'5.Tiên lượng'!D186</f>
        <v>Nối ống bê tông bằng phương pháp xảm - Đường kính 600mm</v>
      </c>
      <c r="F127" s="414" t="str">
        <f>'5.Tiên lượng'!E186</f>
        <v>mối nối</v>
      </c>
      <c r="G127" s="419">
        <f>'5.Tiên lượng'!M186</f>
        <v>2</v>
      </c>
      <c r="H127" s="419">
        <f>PTVT!G746</f>
        <v>2.5535999999999999</v>
      </c>
      <c r="I127" s="419">
        <f>'5.Tiên lượng'!V186</f>
        <v>1</v>
      </c>
      <c r="J127" s="419">
        <f t="shared" si="14"/>
        <v>5.1071999999999997</v>
      </c>
      <c r="K127" s="420"/>
      <c r="L127" s="420"/>
      <c r="M127" s="420"/>
      <c r="N127" s="420"/>
      <c r="O127" s="420"/>
      <c r="P127" s="420"/>
      <c r="Q127" s="419"/>
      <c r="R127" s="420"/>
      <c r="S127" s="420"/>
      <c r="T127" s="420"/>
      <c r="U127" s="420"/>
      <c r="V127" s="420"/>
      <c r="W127" s="420"/>
      <c r="X127" s="420"/>
      <c r="Y127" s="420"/>
      <c r="Z127" s="420"/>
      <c r="AA127" s="420"/>
    </row>
    <row r="128" spans="1:27" s="410" customFormat="1" ht="27.6">
      <c r="A128" s="413"/>
      <c r="B128" s="414"/>
      <c r="C128" s="413" t="str">
        <f>'5.Tiên lượng'!C187</f>
        <v>BB.13507</v>
      </c>
      <c r="D128" s="413"/>
      <c r="E128" s="415" t="str">
        <f>'5.Tiên lượng'!D187</f>
        <v>Nối ống bê tông bằng phương pháp xảm - Đường kính 800mm</v>
      </c>
      <c r="F128" s="414" t="str">
        <f>'5.Tiên lượng'!E187</f>
        <v>mối nối</v>
      </c>
      <c r="G128" s="419">
        <f>'5.Tiên lượng'!M187</f>
        <v>1</v>
      </c>
      <c r="H128" s="419">
        <f>PTVT!G753</f>
        <v>3.3782000000000001</v>
      </c>
      <c r="I128" s="419">
        <f>'5.Tiên lượng'!V187</f>
        <v>1</v>
      </c>
      <c r="J128" s="419">
        <f t="shared" si="14"/>
        <v>3.3782000000000001</v>
      </c>
      <c r="K128" s="420"/>
      <c r="L128" s="420"/>
      <c r="M128" s="420"/>
      <c r="N128" s="420"/>
      <c r="O128" s="420"/>
      <c r="P128" s="420"/>
      <c r="Q128" s="419"/>
      <c r="R128" s="420"/>
      <c r="S128" s="420"/>
      <c r="T128" s="420"/>
      <c r="U128" s="420"/>
      <c r="V128" s="420"/>
      <c r="W128" s="420"/>
      <c r="X128" s="420"/>
      <c r="Y128" s="420"/>
      <c r="Z128" s="420"/>
      <c r="AA128" s="420"/>
    </row>
    <row r="129" spans="1:27" s="410" customFormat="1" ht="27.6">
      <c r="A129" s="413"/>
      <c r="B129" s="414"/>
      <c r="C129" s="413" t="str">
        <f>'5.Tiên lượng'!C192</f>
        <v>AF.12151</v>
      </c>
      <c r="D129" s="413"/>
      <c r="E129" s="415" t="str">
        <f>'5.Tiên lượng'!D192</f>
        <v>BTXM đầu cống - Chiều dày ≤45cm, chiều cao ≤6m, M150, đá 2x4, PCB40</v>
      </c>
      <c r="F129" s="414" t="str">
        <f>'5.Tiên lượng'!E192</f>
        <v>m3</v>
      </c>
      <c r="G129" s="419">
        <f>'5.Tiên lượng'!M192</f>
        <v>2.29</v>
      </c>
      <c r="H129" s="419">
        <f>PTVT!G773</f>
        <v>176.3</v>
      </c>
      <c r="I129" s="419">
        <f>'5.Tiên lượng'!V192</f>
        <v>1</v>
      </c>
      <c r="J129" s="419">
        <f t="shared" si="14"/>
        <v>403.72700000000003</v>
      </c>
      <c r="K129" s="420"/>
      <c r="L129" s="420"/>
      <c r="M129" s="420"/>
      <c r="N129" s="420"/>
      <c r="O129" s="420"/>
      <c r="P129" s="420"/>
      <c r="Q129" s="419"/>
      <c r="R129" s="420"/>
      <c r="S129" s="420"/>
      <c r="T129" s="420"/>
      <c r="U129" s="420"/>
      <c r="V129" s="420"/>
      <c r="W129" s="420"/>
      <c r="X129" s="420"/>
      <c r="Y129" s="420"/>
      <c r="Z129" s="420"/>
      <c r="AA129" s="420"/>
    </row>
    <row r="130" spans="1:27" s="410" customFormat="1" ht="27.6">
      <c r="A130" s="413"/>
      <c r="B130" s="414"/>
      <c r="C130" s="413" t="str">
        <f>'5.Tiên lượng'!C193</f>
        <v>AF.12152</v>
      </c>
      <c r="D130" s="413"/>
      <c r="E130" s="415" t="str">
        <f>'5.Tiên lượng'!D193</f>
        <v>BTXM thân cống - Chiều dày ≤45cm, chiều cao ≤6m, M200, đá 2x4, PCB40</v>
      </c>
      <c r="F130" s="414" t="str">
        <f>'5.Tiên lượng'!E193</f>
        <v>m3</v>
      </c>
      <c r="G130" s="419">
        <f>'5.Tiên lượng'!M193</f>
        <v>1.0900000000000001</v>
      </c>
      <c r="H130" s="419">
        <f>PTVT!G785</f>
        <v>177.32499999999999</v>
      </c>
      <c r="I130" s="419">
        <f>'5.Tiên lượng'!V193</f>
        <v>1</v>
      </c>
      <c r="J130" s="419">
        <f t="shared" si="14"/>
        <v>193.28425000000001</v>
      </c>
      <c r="K130" s="420"/>
      <c r="L130" s="420"/>
      <c r="M130" s="420"/>
      <c r="N130" s="420"/>
      <c r="O130" s="420"/>
      <c r="P130" s="420"/>
      <c r="Q130" s="419"/>
      <c r="R130" s="420"/>
      <c r="S130" s="420"/>
      <c r="T130" s="420"/>
      <c r="U130" s="420"/>
      <c r="V130" s="420"/>
      <c r="W130" s="420"/>
      <c r="X130" s="420"/>
      <c r="Y130" s="420"/>
      <c r="Z130" s="420"/>
      <c r="AA130" s="420"/>
    </row>
    <row r="131" spans="1:27" s="410" customFormat="1">
      <c r="A131" s="413"/>
      <c r="B131" s="414"/>
      <c r="C131" s="413" t="str">
        <f>'5.Tiên lượng'!C194</f>
        <v>AF.11231</v>
      </c>
      <c r="D131" s="413"/>
      <c r="E131" s="415" t="str">
        <f>'5.Tiên lượng'!D194</f>
        <v>BTXM móng cống, M150, đá 2x4, PCB40</v>
      </c>
      <c r="F131" s="414" t="str">
        <f>'5.Tiên lượng'!E194</f>
        <v>m3</v>
      </c>
      <c r="G131" s="419">
        <f>'5.Tiên lượng'!M194</f>
        <v>4.38</v>
      </c>
      <c r="H131" s="419">
        <f>PTVT!G797</f>
        <v>176.3</v>
      </c>
      <c r="I131" s="419">
        <f>'5.Tiên lượng'!V194</f>
        <v>1</v>
      </c>
      <c r="J131" s="419">
        <f t="shared" si="14"/>
        <v>772.19400000000007</v>
      </c>
      <c r="K131" s="420"/>
      <c r="L131" s="420"/>
      <c r="M131" s="420"/>
      <c r="N131" s="420"/>
      <c r="O131" s="420"/>
      <c r="P131" s="420"/>
      <c r="Q131" s="419"/>
      <c r="R131" s="420"/>
      <c r="S131" s="420"/>
      <c r="T131" s="420"/>
      <c r="U131" s="420"/>
      <c r="V131" s="420"/>
      <c r="W131" s="420"/>
      <c r="X131" s="420"/>
      <c r="Y131" s="420"/>
      <c r="Z131" s="420"/>
      <c r="AA131" s="420"/>
    </row>
    <row r="132" spans="1:27" s="410" customFormat="1" ht="41.4">
      <c r="A132" s="413"/>
      <c r="B132" s="414"/>
      <c r="C132" s="413" t="str">
        <f>'5.Tiên lượng'!C195</f>
        <v>AG.11413</v>
      </c>
      <c r="D132" s="413"/>
      <c r="E132" s="415" t="str">
        <f>'5.Tiên lượng'!D195</f>
        <v>BTCT tấm bản mặt, M250, đá 1x2, PCB40 - Đổ bê tông đúc sẵn bằng thủ công (vữa bê tông sản xuất bằng máy trộn)</v>
      </c>
      <c r="F132" s="414" t="str">
        <f>'5.Tiên lượng'!E195</f>
        <v>m3</v>
      </c>
      <c r="G132" s="419">
        <f>'5.Tiên lượng'!M195</f>
        <v>1.23</v>
      </c>
      <c r="H132" s="419">
        <f>PTVT!G809</f>
        <v>185.745</v>
      </c>
      <c r="I132" s="419">
        <f>'5.Tiên lượng'!V195</f>
        <v>1</v>
      </c>
      <c r="J132" s="419">
        <f t="shared" si="14"/>
        <v>228.46635000000001</v>
      </c>
      <c r="K132" s="420"/>
      <c r="L132" s="420"/>
      <c r="M132" s="420"/>
      <c r="N132" s="420"/>
      <c r="O132" s="420"/>
      <c r="P132" s="420"/>
      <c r="Q132" s="419"/>
      <c r="R132" s="420"/>
      <c r="S132" s="420"/>
      <c r="T132" s="420"/>
      <c r="U132" s="420"/>
      <c r="V132" s="420"/>
      <c r="W132" s="420"/>
      <c r="X132" s="420"/>
      <c r="Y132" s="420"/>
      <c r="Z132" s="420"/>
      <c r="AA132" s="420"/>
    </row>
    <row r="133" spans="1:27" s="410" customFormat="1">
      <c r="A133" s="413"/>
      <c r="B133" s="414"/>
      <c r="C133" s="413" t="str">
        <f>'5.Tiên lượng'!C197</f>
        <v>AF.14232</v>
      </c>
      <c r="D133" s="413"/>
      <c r="E133" s="415" t="str">
        <f>'5.Tiên lượng'!D197</f>
        <v>BTCT mũ mố, M200, đá 2x4, PCB40</v>
      </c>
      <c r="F133" s="414" t="str">
        <f>'5.Tiên lượng'!E197</f>
        <v>m3</v>
      </c>
      <c r="G133" s="419">
        <f>'5.Tiên lượng'!M197</f>
        <v>0.79</v>
      </c>
      <c r="H133" s="419">
        <f>PTVT!G825</f>
        <v>177.32499999999999</v>
      </c>
      <c r="I133" s="419">
        <f>'5.Tiên lượng'!V197</f>
        <v>1</v>
      </c>
      <c r="J133" s="419">
        <f t="shared" si="14"/>
        <v>140.08674999999999</v>
      </c>
      <c r="K133" s="420"/>
      <c r="L133" s="420"/>
      <c r="M133" s="420"/>
      <c r="N133" s="420"/>
      <c r="O133" s="420"/>
      <c r="P133" s="420"/>
      <c r="Q133" s="419"/>
      <c r="R133" s="420"/>
      <c r="S133" s="420"/>
      <c r="T133" s="420"/>
      <c r="U133" s="420"/>
      <c r="V133" s="420"/>
      <c r="W133" s="420"/>
      <c r="X133" s="420"/>
      <c r="Y133" s="420"/>
      <c r="Z133" s="420"/>
      <c r="AA133" s="420"/>
    </row>
    <row r="134" spans="1:27">
      <c r="A134" s="246" t="s">
        <v>759</v>
      </c>
      <c r="B134" s="265">
        <v>30</v>
      </c>
      <c r="C134" s="670" t="s">
        <v>735</v>
      </c>
      <c r="D134" s="246"/>
      <c r="E134" s="266" t="str">
        <f>'Giá VL'!E34</f>
        <v>Ống nhựa khe co giãn Fi 42</v>
      </c>
      <c r="F134" s="265" t="str">
        <f>'Giá VL'!F34</f>
        <v>m</v>
      </c>
      <c r="G134" s="268"/>
      <c r="H134" s="268"/>
      <c r="I134" s="268"/>
      <c r="J134" s="268">
        <f>SUM(J135:J135)</f>
        <v>164.50139999999999</v>
      </c>
      <c r="K134" s="421">
        <f>'Giá VL'!G34</f>
        <v>12000</v>
      </c>
      <c r="L134" s="421">
        <f>J134*K134</f>
        <v>1974016.7999999998</v>
      </c>
      <c r="M134" s="421">
        <f>'Giá VL'!J34</f>
        <v>12000</v>
      </c>
      <c r="N134" s="421">
        <f>J134*M134</f>
        <v>1974016.7999999998</v>
      </c>
      <c r="O134" s="540">
        <f>M134-K134</f>
        <v>0</v>
      </c>
      <c r="P134" s="421">
        <f>J134*O134</f>
        <v>0</v>
      </c>
      <c r="Q134" s="268">
        <v>1</v>
      </c>
      <c r="R134" s="421">
        <f>M134*Q134</f>
        <v>12000</v>
      </c>
      <c r="S134" s="421">
        <f>J134*R134</f>
        <v>1974016.7999999998</v>
      </c>
      <c r="T134" s="540">
        <v>0</v>
      </c>
      <c r="U134" s="421">
        <v>0</v>
      </c>
      <c r="V134" s="421">
        <v>0</v>
      </c>
      <c r="W134" s="421">
        <v>0</v>
      </c>
      <c r="X134" s="421">
        <f>'Giá VL'!V34</f>
        <v>12000</v>
      </c>
      <c r="Y134" s="421">
        <f>J134*X134</f>
        <v>1974016.7999999998</v>
      </c>
      <c r="Z134" s="540">
        <f>X134-K134</f>
        <v>0</v>
      </c>
      <c r="AA134" s="421">
        <f>J134*Z134</f>
        <v>0</v>
      </c>
    </row>
    <row r="135" spans="1:27" s="410" customFormat="1">
      <c r="A135" s="413"/>
      <c r="B135" s="414"/>
      <c r="C135" s="413" t="str">
        <f>'5.Tiên lượng'!C68</f>
        <v>AL.24112(VD)</v>
      </c>
      <c r="D135" s="413"/>
      <c r="E135" s="415" t="str">
        <f>'5.Tiên lượng'!D68</f>
        <v>Thi công khe giãn</v>
      </c>
      <c r="F135" s="414" t="str">
        <f>'5.Tiên lượng'!E68</f>
        <v>m</v>
      </c>
      <c r="G135" s="419">
        <f>'5.Tiên lượng'!M68</f>
        <v>103.46</v>
      </c>
      <c r="H135" s="419">
        <f>PTVT!G233</f>
        <v>1.59</v>
      </c>
      <c r="I135" s="419">
        <f>'5.Tiên lượng'!V68</f>
        <v>1</v>
      </c>
      <c r="J135" s="419">
        <f>PRODUCT(G135,H135,I135)</f>
        <v>164.50139999999999</v>
      </c>
      <c r="K135" s="420"/>
      <c r="L135" s="420"/>
      <c r="M135" s="420"/>
      <c r="N135" s="420"/>
      <c r="O135" s="420"/>
      <c r="P135" s="420"/>
      <c r="Q135" s="419"/>
      <c r="R135" s="420"/>
      <c r="S135" s="420"/>
      <c r="T135" s="420"/>
      <c r="U135" s="420"/>
      <c r="V135" s="420"/>
      <c r="W135" s="420"/>
      <c r="X135" s="420"/>
      <c r="Y135" s="420"/>
      <c r="Z135" s="420"/>
      <c r="AA135" s="420"/>
    </row>
    <row r="136" spans="1:27">
      <c r="A136" s="246" t="s">
        <v>759</v>
      </c>
      <c r="B136" s="265">
        <v>31</v>
      </c>
      <c r="C136" s="670" t="s">
        <v>680</v>
      </c>
      <c r="D136" s="246"/>
      <c r="E136" s="266" t="str">
        <f>'Giá VL'!E35</f>
        <v>Ống thép tráng kẽm D200mm, L=8m</v>
      </c>
      <c r="F136" s="265" t="str">
        <f>'Giá VL'!F35</f>
        <v>m</v>
      </c>
      <c r="G136" s="268"/>
      <c r="H136" s="268"/>
      <c r="I136" s="268"/>
      <c r="J136" s="268">
        <f>SUM(J137:J137)</f>
        <v>8.2409999999999997</v>
      </c>
      <c r="K136" s="421">
        <f>'Giá VL'!G35</f>
        <v>391025</v>
      </c>
      <c r="L136" s="421">
        <f>J136*K136</f>
        <v>3222437.0249999999</v>
      </c>
      <c r="M136" s="421">
        <f>'Giá VL'!J35</f>
        <v>391025</v>
      </c>
      <c r="N136" s="421">
        <f>J136*M136</f>
        <v>3222437.0249999999</v>
      </c>
      <c r="O136" s="540">
        <f>M136-K136</f>
        <v>0</v>
      </c>
      <c r="P136" s="421">
        <f>J136*O136</f>
        <v>0</v>
      </c>
      <c r="Q136" s="268">
        <v>1</v>
      </c>
      <c r="R136" s="421">
        <f>M136*Q136</f>
        <v>391025</v>
      </c>
      <c r="S136" s="421">
        <f>J136*R136</f>
        <v>3222437.0249999999</v>
      </c>
      <c r="T136" s="540">
        <v>0</v>
      </c>
      <c r="U136" s="421">
        <v>0</v>
      </c>
      <c r="V136" s="421">
        <v>0</v>
      </c>
      <c r="W136" s="421">
        <v>0</v>
      </c>
      <c r="X136" s="421">
        <f>'Giá VL'!V35</f>
        <v>391025</v>
      </c>
      <c r="Y136" s="421">
        <f>J136*X136</f>
        <v>3222437.0249999999</v>
      </c>
      <c r="Z136" s="540">
        <f>X136-K136</f>
        <v>0</v>
      </c>
      <c r="AA136" s="421">
        <f>J136*Z136</f>
        <v>0</v>
      </c>
    </row>
    <row r="137" spans="1:27" s="410" customFormat="1" ht="27.6">
      <c r="A137" s="413"/>
      <c r="B137" s="414"/>
      <c r="C137" s="413" t="str">
        <f>'5.Tiên lượng'!C188</f>
        <v>BB.33011</v>
      </c>
      <c r="D137" s="413"/>
      <c r="E137" s="415" t="str">
        <f>'5.Tiên lượng'!D188</f>
        <v>Khối xây gia cố bằng đá hộc - Chiều dày ≤60cm, vữa XM M100, PCB40</v>
      </c>
      <c r="F137" s="414" t="str">
        <f>'5.Tiên lượng'!E188</f>
        <v>100m</v>
      </c>
      <c r="G137" s="419">
        <f>'5.Tiên lượng'!M188</f>
        <v>8.199999999999999E-2</v>
      </c>
      <c r="H137" s="419">
        <f>PTVT!G759</f>
        <v>100.5</v>
      </c>
      <c r="I137" s="419">
        <f>'5.Tiên lượng'!V188</f>
        <v>1</v>
      </c>
      <c r="J137" s="419">
        <f>PRODUCT(G137,H137,I137)</f>
        <v>8.2409999999999997</v>
      </c>
      <c r="K137" s="420"/>
      <c r="L137" s="420"/>
      <c r="M137" s="420"/>
      <c r="N137" s="420"/>
      <c r="O137" s="420"/>
      <c r="P137" s="420"/>
      <c r="Q137" s="419"/>
      <c r="R137" s="420"/>
      <c r="S137" s="420"/>
      <c r="T137" s="420"/>
      <c r="U137" s="420"/>
      <c r="V137" s="420"/>
      <c r="W137" s="420"/>
      <c r="X137" s="420"/>
      <c r="Y137" s="420"/>
      <c r="Z137" s="420"/>
      <c r="AA137" s="420"/>
    </row>
    <row r="138" spans="1:27">
      <c r="A138" s="246" t="s">
        <v>759</v>
      </c>
      <c r="B138" s="265">
        <v>32</v>
      </c>
      <c r="C138" s="670" t="s">
        <v>639</v>
      </c>
      <c r="D138" s="246" t="s">
        <v>639</v>
      </c>
      <c r="E138" s="266" t="str">
        <f>'Giá VL'!E36</f>
        <v>Phụ gia chống trương nở đất TS</v>
      </c>
      <c r="F138" s="265" t="str">
        <f>'Giá VL'!F36</f>
        <v>kg</v>
      </c>
      <c r="G138" s="268"/>
      <c r="H138" s="268"/>
      <c r="I138" s="268"/>
      <c r="J138" s="268">
        <f>SUM(J139:J140)</f>
        <v>4912.0344000000005</v>
      </c>
      <c r="K138" s="421">
        <f>'Giá VL'!G36</f>
        <v>23569</v>
      </c>
      <c r="L138" s="421">
        <f>J138*K138</f>
        <v>115771738.77360001</v>
      </c>
      <c r="M138" s="421">
        <f>'Giá VL'!J36</f>
        <v>23569</v>
      </c>
      <c r="N138" s="421">
        <f>J138*M138</f>
        <v>115771738.77360001</v>
      </c>
      <c r="O138" s="540">
        <f>M138-K138</f>
        <v>0</v>
      </c>
      <c r="P138" s="421">
        <f>J138*O138</f>
        <v>0</v>
      </c>
      <c r="Q138" s="268">
        <v>1</v>
      </c>
      <c r="R138" s="421">
        <f>M138*Q138</f>
        <v>23569</v>
      </c>
      <c r="S138" s="421">
        <f>J138*R138</f>
        <v>115771738.77360001</v>
      </c>
      <c r="T138" s="540">
        <v>0</v>
      </c>
      <c r="U138" s="421">
        <v>0</v>
      </c>
      <c r="V138" s="421">
        <v>137.930507025201</v>
      </c>
      <c r="W138" s="421">
        <v>752799.32813025604</v>
      </c>
      <c r="X138" s="421">
        <f>'Giá VL'!V36</f>
        <v>23745.717985167823</v>
      </c>
      <c r="Y138" s="421">
        <f>J138*X138</f>
        <v>116639783.59584305</v>
      </c>
      <c r="Z138" s="540">
        <f>X138-K138</f>
        <v>176.71798516782292</v>
      </c>
      <c r="AA138" s="421">
        <f>J138*Z138</f>
        <v>868044.822243036</v>
      </c>
    </row>
    <row r="139" spans="1:27" s="410" customFormat="1" ht="41.4">
      <c r="A139" s="413"/>
      <c r="B139" s="414"/>
      <c r="C139" s="413" t="str">
        <f>'5.Tiên lượng'!C111</f>
        <v>LS.11110(ĐM.1322)</v>
      </c>
      <c r="D139" s="413"/>
      <c r="E139" s="415" t="str">
        <f>'5.Tiên lượng'!D111</f>
        <v>Cào bóc tái sinh nguội tại chỗ bằng máy cào bóc tái sinh WR2400 trên mặt đường láng nhựa, chiều dày 18cm (4% xi măng rải thủ công)</v>
      </c>
      <c r="F139" s="414" t="str">
        <f>'5.Tiên lượng'!E111</f>
        <v>100m3</v>
      </c>
      <c r="G139" s="419">
        <f>'5.Tiên lượng'!M111</f>
        <v>19.253299999999999</v>
      </c>
      <c r="H139" s="419">
        <f>PTVT!G378</f>
        <v>280</v>
      </c>
      <c r="I139" s="419">
        <f>'5.Tiên lượng'!V111</f>
        <v>0.9</v>
      </c>
      <c r="J139" s="419">
        <f t="shared" ref="J139:J140" si="15">PRODUCT(G139,H139,I139)</f>
        <v>4851.8316000000004</v>
      </c>
      <c r="K139" s="420"/>
      <c r="L139" s="420"/>
      <c r="M139" s="420"/>
      <c r="N139" s="420"/>
      <c r="O139" s="420"/>
      <c r="P139" s="420"/>
      <c r="Q139" s="419"/>
      <c r="R139" s="420"/>
      <c r="S139" s="420"/>
      <c r="T139" s="420"/>
      <c r="U139" s="420"/>
      <c r="V139" s="420"/>
      <c r="W139" s="420"/>
      <c r="X139" s="420"/>
      <c r="Y139" s="420"/>
      <c r="Z139" s="420"/>
      <c r="AA139" s="420"/>
    </row>
    <row r="140" spans="1:27" s="410" customFormat="1" ht="41.4">
      <c r="A140" s="413"/>
      <c r="B140" s="414"/>
      <c r="C140" s="413" t="str">
        <f>'5.Tiên lượng'!C118</f>
        <v>LS.11110(ĐM.1322)</v>
      </c>
      <c r="D140" s="413"/>
      <c r="E140" s="415" t="str">
        <f>'5.Tiên lượng'!D118</f>
        <v>Cào bóc tái sinh nguội tại chỗ bằng máy cào bóc tái sinh WR2400 trên mặt đường láng nhựa, chiều dày 18cm (4% xi măng rải thủ công)</v>
      </c>
      <c r="F140" s="414" t="str">
        <f>'5.Tiên lượng'!E118</f>
        <v>100m3</v>
      </c>
      <c r="G140" s="419">
        <f>'5.Tiên lượng'!M118</f>
        <v>0.2389</v>
      </c>
      <c r="H140" s="419">
        <f>PTVT!G419</f>
        <v>280</v>
      </c>
      <c r="I140" s="419">
        <f>'5.Tiên lượng'!V118</f>
        <v>0.9</v>
      </c>
      <c r="J140" s="419">
        <f t="shared" si="15"/>
        <v>60.202799999999996</v>
      </c>
      <c r="K140" s="420"/>
      <c r="L140" s="420"/>
      <c r="M140" s="420"/>
      <c r="N140" s="420"/>
      <c r="O140" s="420"/>
      <c r="P140" s="420"/>
      <c r="Q140" s="419"/>
      <c r="R140" s="420"/>
      <c r="S140" s="420"/>
      <c r="T140" s="420"/>
      <c r="U140" s="420"/>
      <c r="V140" s="420"/>
      <c r="W140" s="420"/>
      <c r="X140" s="420"/>
      <c r="Y140" s="420"/>
      <c r="Z140" s="420"/>
      <c r="AA140" s="420"/>
    </row>
    <row r="141" spans="1:27">
      <c r="A141" s="246" t="s">
        <v>759</v>
      </c>
      <c r="B141" s="265">
        <v>33</v>
      </c>
      <c r="C141" s="670" t="s">
        <v>628</v>
      </c>
      <c r="D141" s="246"/>
      <c r="E141" s="266" t="str">
        <f>'Giá VL'!E37</f>
        <v>Que hàn</v>
      </c>
      <c r="F141" s="265" t="str">
        <f>'Giá VL'!F37</f>
        <v>kg</v>
      </c>
      <c r="G141" s="268"/>
      <c r="H141" s="268"/>
      <c r="I141" s="268"/>
      <c r="J141" s="268">
        <f>SUM(J142:J148)</f>
        <v>12.404494000000001</v>
      </c>
      <c r="K141" s="421">
        <f>'Giá VL'!G37</f>
        <v>22000</v>
      </c>
      <c r="L141" s="421">
        <f>J141*K141</f>
        <v>272898.86800000002</v>
      </c>
      <c r="M141" s="421">
        <f>'Giá VL'!J37</f>
        <v>22000</v>
      </c>
      <c r="N141" s="421">
        <f>J141*M141</f>
        <v>272898.86800000002</v>
      </c>
      <c r="O141" s="540">
        <f>M141-K141</f>
        <v>0</v>
      </c>
      <c r="P141" s="421">
        <f>J141*O141</f>
        <v>0</v>
      </c>
      <c r="Q141" s="268">
        <v>1</v>
      </c>
      <c r="R141" s="421">
        <f>M141*Q141</f>
        <v>22000</v>
      </c>
      <c r="S141" s="421">
        <f>J141*R141</f>
        <v>272898.86800000002</v>
      </c>
      <c r="T141" s="540">
        <v>0</v>
      </c>
      <c r="U141" s="421">
        <v>0</v>
      </c>
      <c r="V141" s="421">
        <v>0</v>
      </c>
      <c r="W141" s="421">
        <v>0</v>
      </c>
      <c r="X141" s="421">
        <f>'Giá VL'!V37</f>
        <v>22000</v>
      </c>
      <c r="Y141" s="421">
        <f>J141*X141</f>
        <v>272898.86800000002</v>
      </c>
      <c r="Z141" s="540">
        <f>X141-K141</f>
        <v>0</v>
      </c>
      <c r="AA141" s="421">
        <f>J141*Z141</f>
        <v>0</v>
      </c>
    </row>
    <row r="142" spans="1:27" s="410" customFormat="1">
      <c r="A142" s="413"/>
      <c r="B142" s="414"/>
      <c r="C142" s="413" t="str">
        <f>'5.Tiên lượng'!C56</f>
        <v>AF.82411</v>
      </c>
      <c r="D142" s="413"/>
      <c r="E142" s="415" t="str">
        <f>'5.Tiên lượng'!D56</f>
        <v>Ván khuôn thép mặt đường bê tông</v>
      </c>
      <c r="F142" s="414" t="str">
        <f>'5.Tiên lượng'!E56</f>
        <v>100m2</v>
      </c>
      <c r="G142" s="419">
        <f>'5.Tiên lượng'!M56</f>
        <v>3.6397000000000004</v>
      </c>
      <c r="H142" s="419">
        <f>PTVT!G162</f>
        <v>1.58</v>
      </c>
      <c r="I142" s="419">
        <f>'5.Tiên lượng'!V56</f>
        <v>1</v>
      </c>
      <c r="J142" s="419">
        <f t="shared" ref="J142:J148" si="16">PRODUCT(G142,H142,I142)</f>
        <v>5.7507260000000011</v>
      </c>
      <c r="K142" s="420"/>
      <c r="L142" s="420"/>
      <c r="M142" s="420"/>
      <c r="N142" s="420"/>
      <c r="O142" s="420"/>
      <c r="P142" s="420"/>
      <c r="Q142" s="419"/>
      <c r="R142" s="420"/>
      <c r="S142" s="420"/>
      <c r="T142" s="420"/>
      <c r="U142" s="420"/>
      <c r="V142" s="420"/>
      <c r="W142" s="420"/>
      <c r="X142" s="420"/>
      <c r="Y142" s="420"/>
      <c r="Z142" s="420"/>
      <c r="AA142" s="420"/>
    </row>
    <row r="143" spans="1:27" s="410" customFormat="1">
      <c r="A143" s="413"/>
      <c r="B143" s="414"/>
      <c r="C143" s="413" t="str">
        <f>'5.Tiên lượng'!C65</f>
        <v>AF.82411</v>
      </c>
      <c r="D143" s="413"/>
      <c r="E143" s="415" t="str">
        <f>'5.Tiên lượng'!D65</f>
        <v>Ván khuôn thép mặt đường bê tông</v>
      </c>
      <c r="F143" s="414" t="str">
        <f>'5.Tiên lượng'!E65</f>
        <v>100m2</v>
      </c>
      <c r="G143" s="419">
        <f>'5.Tiên lượng'!M65</f>
        <v>0.14080000000000001</v>
      </c>
      <c r="H143" s="419">
        <f>PTVT!G207</f>
        <v>1.58</v>
      </c>
      <c r="I143" s="419">
        <f>'5.Tiên lượng'!V65</f>
        <v>1</v>
      </c>
      <c r="J143" s="419">
        <f t="shared" si="16"/>
        <v>0.22246400000000002</v>
      </c>
      <c r="K143" s="420"/>
      <c r="L143" s="420"/>
      <c r="M143" s="420"/>
      <c r="N143" s="420"/>
      <c r="O143" s="420"/>
      <c r="P143" s="420"/>
      <c r="Q143" s="419"/>
      <c r="R143" s="420"/>
      <c r="S143" s="420"/>
      <c r="T143" s="420"/>
      <c r="U143" s="420"/>
      <c r="V143" s="420"/>
      <c r="W143" s="420"/>
      <c r="X143" s="420"/>
      <c r="Y143" s="420"/>
      <c r="Z143" s="420"/>
      <c r="AA143" s="420"/>
    </row>
    <row r="144" spans="1:27" s="410" customFormat="1">
      <c r="A144" s="413"/>
      <c r="B144" s="414"/>
      <c r="C144" s="413" t="str">
        <f>'5.Tiên lượng'!C135</f>
        <v>AF.82511</v>
      </c>
      <c r="D144" s="413"/>
      <c r="E144" s="415" t="str">
        <f>'5.Tiên lượng'!D135</f>
        <v>Ván khuôn thép mũ  mố</v>
      </c>
      <c r="F144" s="414" t="str">
        <f>'5.Tiên lượng'!E135</f>
        <v>100m2</v>
      </c>
      <c r="G144" s="419">
        <f>'5.Tiên lượng'!M135</f>
        <v>0.93220000000000003</v>
      </c>
      <c r="H144" s="419">
        <f>PTVT!G522</f>
        <v>3.26</v>
      </c>
      <c r="I144" s="419">
        <f>'5.Tiên lượng'!V135</f>
        <v>1</v>
      </c>
      <c r="J144" s="419">
        <f t="shared" si="16"/>
        <v>3.0389719999999998</v>
      </c>
      <c r="K144" s="420"/>
      <c r="L144" s="420"/>
      <c r="M144" s="420"/>
      <c r="N144" s="420"/>
      <c r="O144" s="420"/>
      <c r="P144" s="420"/>
      <c r="Q144" s="419"/>
      <c r="R144" s="420"/>
      <c r="S144" s="420"/>
      <c r="T144" s="420"/>
      <c r="U144" s="420"/>
      <c r="V144" s="420"/>
      <c r="W144" s="420"/>
      <c r="X144" s="420"/>
      <c r="Y144" s="420"/>
      <c r="Z144" s="420"/>
      <c r="AA144" s="420"/>
    </row>
    <row r="145" spans="1:27" s="410" customFormat="1">
      <c r="A145" s="413"/>
      <c r="B145" s="414"/>
      <c r="C145" s="413" t="str">
        <f>'5.Tiên lượng'!C143</f>
        <v>AG.32511</v>
      </c>
      <c r="D145" s="413"/>
      <c r="E145" s="415" t="str">
        <f>'5.Tiên lượng'!D143</f>
        <v>Ván khuôn thép tấm đậy</v>
      </c>
      <c r="F145" s="414" t="str">
        <f>'5.Tiên lượng'!E143</f>
        <v>100m2</v>
      </c>
      <c r="G145" s="419">
        <f>'5.Tiên lượng'!M143</f>
        <v>0.35389999999999999</v>
      </c>
      <c r="H145" s="419">
        <f>PTVT!G557</f>
        <v>1.2</v>
      </c>
      <c r="I145" s="419">
        <f>'5.Tiên lượng'!V143</f>
        <v>1</v>
      </c>
      <c r="J145" s="419">
        <f t="shared" si="16"/>
        <v>0.42468</v>
      </c>
      <c r="K145" s="420"/>
      <c r="L145" s="420"/>
      <c r="M145" s="420"/>
      <c r="N145" s="420"/>
      <c r="O145" s="420"/>
      <c r="P145" s="420"/>
      <c r="Q145" s="419"/>
      <c r="R145" s="420"/>
      <c r="S145" s="420"/>
      <c r="T145" s="420"/>
      <c r="U145" s="420"/>
      <c r="V145" s="420"/>
      <c r="W145" s="420"/>
      <c r="X145" s="420"/>
      <c r="Y145" s="420"/>
      <c r="Z145" s="420"/>
      <c r="AA145" s="420"/>
    </row>
    <row r="146" spans="1:27" s="410" customFormat="1">
      <c r="A146" s="413"/>
      <c r="B146" s="414"/>
      <c r="C146" s="413" t="str">
        <f>'5.Tiên lượng'!C158</f>
        <v>AF.82511</v>
      </c>
      <c r="D146" s="413"/>
      <c r="E146" s="415" t="str">
        <f>'5.Tiên lượng'!D158</f>
        <v>Ván khuôn thép rãnh</v>
      </c>
      <c r="F146" s="414" t="str">
        <f>'5.Tiên lượng'!E158</f>
        <v>100m2</v>
      </c>
      <c r="G146" s="419">
        <f>'5.Tiên lượng'!M158</f>
        <v>0.61380000000000001</v>
      </c>
      <c r="H146" s="419">
        <f>PTVT!G620</f>
        <v>3.26</v>
      </c>
      <c r="I146" s="419">
        <f>'5.Tiên lượng'!V158</f>
        <v>1</v>
      </c>
      <c r="J146" s="419">
        <f t="shared" si="16"/>
        <v>2.000988</v>
      </c>
      <c r="K146" s="420"/>
      <c r="L146" s="420"/>
      <c r="M146" s="420"/>
      <c r="N146" s="420"/>
      <c r="O146" s="420"/>
      <c r="P146" s="420"/>
      <c r="Q146" s="419"/>
      <c r="R146" s="420"/>
      <c r="S146" s="420"/>
      <c r="T146" s="420"/>
      <c r="U146" s="420"/>
      <c r="V146" s="420"/>
      <c r="W146" s="420"/>
      <c r="X146" s="420"/>
      <c r="Y146" s="420"/>
      <c r="Z146" s="420"/>
      <c r="AA146" s="420"/>
    </row>
    <row r="147" spans="1:27" s="410" customFormat="1">
      <c r="A147" s="413"/>
      <c r="B147" s="414"/>
      <c r="C147" s="413" t="str">
        <f>'5.Tiên lượng'!C200</f>
        <v>AG.32511</v>
      </c>
      <c r="D147" s="413"/>
      <c r="E147" s="415" t="str">
        <f>'5.Tiên lượng'!D200</f>
        <v>Ván khuôn thép tấm bản</v>
      </c>
      <c r="F147" s="414" t="str">
        <f>'5.Tiên lượng'!E200</f>
        <v>100m2</v>
      </c>
      <c r="G147" s="419">
        <f>'5.Tiên lượng'!M200</f>
        <v>6.0100000000000001E-2</v>
      </c>
      <c r="H147" s="419">
        <f>PTVT!G846</f>
        <v>1.2</v>
      </c>
      <c r="I147" s="419">
        <f>'5.Tiên lượng'!V200</f>
        <v>1</v>
      </c>
      <c r="J147" s="419">
        <f t="shared" si="16"/>
        <v>7.2120000000000004E-2</v>
      </c>
      <c r="K147" s="420"/>
      <c r="L147" s="420"/>
      <c r="M147" s="420"/>
      <c r="N147" s="420"/>
      <c r="O147" s="420"/>
      <c r="P147" s="420"/>
      <c r="Q147" s="419"/>
      <c r="R147" s="420"/>
      <c r="S147" s="420"/>
      <c r="T147" s="420"/>
      <c r="U147" s="420"/>
      <c r="V147" s="420"/>
      <c r="W147" s="420"/>
      <c r="X147" s="420"/>
      <c r="Y147" s="420"/>
      <c r="Z147" s="420"/>
      <c r="AA147" s="420"/>
    </row>
    <row r="148" spans="1:27" s="410" customFormat="1">
      <c r="A148" s="413"/>
      <c r="B148" s="414"/>
      <c r="C148" s="413" t="str">
        <f>'5.Tiên lượng'!C202</f>
        <v>AF.82511</v>
      </c>
      <c r="D148" s="413"/>
      <c r="E148" s="415" t="str">
        <f>'5.Tiên lượng'!D202</f>
        <v>Ván khuôn thép cống</v>
      </c>
      <c r="F148" s="414" t="str">
        <f>'5.Tiên lượng'!E202</f>
        <v>100m2</v>
      </c>
      <c r="G148" s="419">
        <f>'5.Tiên lượng'!M202</f>
        <v>0.27440000000000003</v>
      </c>
      <c r="H148" s="419">
        <f>PTVT!G857</f>
        <v>3.26</v>
      </c>
      <c r="I148" s="419">
        <f>'5.Tiên lượng'!V202</f>
        <v>1</v>
      </c>
      <c r="J148" s="419">
        <f t="shared" si="16"/>
        <v>0.89454400000000001</v>
      </c>
      <c r="K148" s="420"/>
      <c r="L148" s="420"/>
      <c r="M148" s="420"/>
      <c r="N148" s="420"/>
      <c r="O148" s="420"/>
      <c r="P148" s="420"/>
      <c r="Q148" s="419"/>
      <c r="R148" s="420"/>
      <c r="S148" s="420"/>
      <c r="T148" s="420"/>
      <c r="U148" s="420"/>
      <c r="V148" s="420"/>
      <c r="W148" s="420"/>
      <c r="X148" s="420"/>
      <c r="Y148" s="420"/>
      <c r="Z148" s="420"/>
      <c r="AA148" s="420"/>
    </row>
    <row r="149" spans="1:27">
      <c r="A149" s="246" t="s">
        <v>759</v>
      </c>
      <c r="B149" s="265">
        <v>34</v>
      </c>
      <c r="C149" s="670" t="s">
        <v>632</v>
      </c>
      <c r="D149" s="246"/>
      <c r="E149" s="266" t="str">
        <f>'Giá VL'!E38</f>
        <v>Thép Fi 25</v>
      </c>
      <c r="F149" s="265" t="str">
        <f>'Giá VL'!F38</f>
        <v>kg</v>
      </c>
      <c r="G149" s="268"/>
      <c r="H149" s="268"/>
      <c r="I149" s="268"/>
      <c r="J149" s="268">
        <f>SUM(J150:J152)</f>
        <v>5790.3129999999992</v>
      </c>
      <c r="K149" s="421">
        <f>'Giá VL'!G38</f>
        <v>17500</v>
      </c>
      <c r="L149" s="421">
        <f>J149*K149</f>
        <v>101330477.49999999</v>
      </c>
      <c r="M149" s="421">
        <f>'Giá VL'!J38</f>
        <v>17500</v>
      </c>
      <c r="N149" s="421">
        <f>J149*M149</f>
        <v>101330477.49999999</v>
      </c>
      <c r="O149" s="540">
        <f>M149-K149</f>
        <v>0</v>
      </c>
      <c r="P149" s="421">
        <f>J149*O149</f>
        <v>0</v>
      </c>
      <c r="Q149" s="268">
        <v>1</v>
      </c>
      <c r="R149" s="421">
        <f>M149*Q149</f>
        <v>17500</v>
      </c>
      <c r="S149" s="421">
        <f>J149*R149</f>
        <v>101330477.49999999</v>
      </c>
      <c r="T149" s="540">
        <v>0</v>
      </c>
      <c r="U149" s="421">
        <v>0</v>
      </c>
      <c r="V149" s="421">
        <v>41.694379947100998</v>
      </c>
      <c r="W149" s="421">
        <v>241423.510234638</v>
      </c>
      <c r="X149" s="421">
        <f>'Giá VL'!V38</f>
        <v>17587.694379947148</v>
      </c>
      <c r="Y149" s="421">
        <f>J149*X149</f>
        <v>101838255.40823489</v>
      </c>
      <c r="Z149" s="540">
        <f>X149-K149</f>
        <v>87.694379947148263</v>
      </c>
      <c r="AA149" s="421">
        <f>J149*Z149</f>
        <v>507777.90823491185</v>
      </c>
    </row>
    <row r="150" spans="1:27" s="410" customFormat="1">
      <c r="A150" s="413"/>
      <c r="B150" s="414"/>
      <c r="C150" s="413" t="str">
        <f>'5.Tiên lượng'!C67</f>
        <v>AL.24111</v>
      </c>
      <c r="D150" s="413"/>
      <c r="E150" s="415" t="str">
        <f>'5.Tiên lượng'!D67</f>
        <v>Thi công khe co không có thanh TL</v>
      </c>
      <c r="F150" s="414" t="str">
        <f>'5.Tiên lượng'!E67</f>
        <v>m</v>
      </c>
      <c r="G150" s="419">
        <f>'5.Tiên lượng'!M67</f>
        <v>1026</v>
      </c>
      <c r="H150" s="419">
        <f>PTVT!G218</f>
        <v>3.8</v>
      </c>
      <c r="I150" s="419">
        <f>'5.Tiên lượng'!V67</f>
        <v>1</v>
      </c>
      <c r="J150" s="419">
        <f t="shared" ref="J150:J152" si="17">PRODUCT(G150,H150,I150)</f>
        <v>3898.7999999999997</v>
      </c>
      <c r="K150" s="420"/>
      <c r="L150" s="420"/>
      <c r="M150" s="420"/>
      <c r="N150" s="420"/>
      <c r="O150" s="420"/>
      <c r="P150" s="420"/>
      <c r="Q150" s="419"/>
      <c r="R150" s="420"/>
      <c r="S150" s="420"/>
      <c r="T150" s="420"/>
      <c r="U150" s="420"/>
      <c r="V150" s="420"/>
      <c r="W150" s="420"/>
      <c r="X150" s="420"/>
      <c r="Y150" s="420"/>
      <c r="Z150" s="420"/>
      <c r="AA150" s="420"/>
    </row>
    <row r="151" spans="1:27" s="410" customFormat="1">
      <c r="A151" s="413"/>
      <c r="B151" s="414"/>
      <c r="C151" s="413" t="str">
        <f>'5.Tiên lượng'!C68</f>
        <v>AL.24112(VD)</v>
      </c>
      <c r="D151" s="413"/>
      <c r="E151" s="415" t="str">
        <f>'5.Tiên lượng'!D68</f>
        <v>Thi công khe giãn</v>
      </c>
      <c r="F151" s="414" t="str">
        <f>'5.Tiên lượng'!E68</f>
        <v>m</v>
      </c>
      <c r="G151" s="419">
        <f>'5.Tiên lượng'!M68</f>
        <v>103.46</v>
      </c>
      <c r="H151" s="419">
        <f>PTVT!G230</f>
        <v>7.65</v>
      </c>
      <c r="I151" s="419">
        <f>'5.Tiên lượng'!V68</f>
        <v>1</v>
      </c>
      <c r="J151" s="419">
        <f t="shared" si="17"/>
        <v>791.46899999999994</v>
      </c>
      <c r="K151" s="420"/>
      <c r="L151" s="420"/>
      <c r="M151" s="420"/>
      <c r="N151" s="420"/>
      <c r="O151" s="420"/>
      <c r="P151" s="420"/>
      <c r="Q151" s="419"/>
      <c r="R151" s="420"/>
      <c r="S151" s="420"/>
      <c r="T151" s="420"/>
      <c r="U151" s="420"/>
      <c r="V151" s="420"/>
      <c r="W151" s="420"/>
      <c r="X151" s="420"/>
      <c r="Y151" s="420"/>
      <c r="Z151" s="420"/>
      <c r="AA151" s="420"/>
    </row>
    <row r="152" spans="1:27" s="410" customFormat="1">
      <c r="A152" s="413"/>
      <c r="B152" s="414"/>
      <c r="C152" s="413" t="str">
        <f>'5.Tiên lượng'!C69</f>
        <v>AL.24113(VD)</v>
      </c>
      <c r="D152" s="413"/>
      <c r="E152" s="415" t="str">
        <f>'5.Tiên lượng'!D69</f>
        <v>Thi công  khe dọc</v>
      </c>
      <c r="F152" s="414" t="str">
        <f>'5.Tiên lượng'!E69</f>
        <v>m</v>
      </c>
      <c r="G152" s="419">
        <f>'5.Tiên lượng'!M69</f>
        <v>1000.04</v>
      </c>
      <c r="H152" s="419">
        <f>PTVT!G244</f>
        <v>1.1000000000000001</v>
      </c>
      <c r="I152" s="419">
        <f>'5.Tiên lượng'!V69</f>
        <v>1</v>
      </c>
      <c r="J152" s="419">
        <f t="shared" si="17"/>
        <v>1100.0440000000001</v>
      </c>
      <c r="K152" s="420"/>
      <c r="L152" s="420"/>
      <c r="M152" s="420"/>
      <c r="N152" s="420"/>
      <c r="O152" s="420"/>
      <c r="P152" s="420"/>
      <c r="Q152" s="419"/>
      <c r="R152" s="420"/>
      <c r="S152" s="420"/>
      <c r="T152" s="420"/>
      <c r="U152" s="420"/>
      <c r="V152" s="420"/>
      <c r="W152" s="420"/>
      <c r="X152" s="420"/>
      <c r="Y152" s="420"/>
      <c r="Z152" s="420"/>
      <c r="AA152" s="420"/>
    </row>
    <row r="153" spans="1:27">
      <c r="A153" s="246" t="s">
        <v>759</v>
      </c>
      <c r="B153" s="265">
        <v>35</v>
      </c>
      <c r="C153" s="670" t="s">
        <v>664</v>
      </c>
      <c r="D153" s="246"/>
      <c r="E153" s="266" t="str">
        <f>'Giá VL'!E39</f>
        <v>Thép hình</v>
      </c>
      <c r="F153" s="265" t="str">
        <f>'Giá VL'!F39</f>
        <v>kg</v>
      </c>
      <c r="G153" s="268"/>
      <c r="H153" s="268"/>
      <c r="I153" s="268"/>
      <c r="J153" s="268">
        <f>SUM(J154:J158)</f>
        <v>63.952728000000008</v>
      </c>
      <c r="K153" s="421">
        <f>'Giá VL'!G39</f>
        <v>17500</v>
      </c>
      <c r="L153" s="421">
        <f>J153*K153</f>
        <v>1119172.7400000002</v>
      </c>
      <c r="M153" s="421">
        <f>'Giá VL'!J39</f>
        <v>17500</v>
      </c>
      <c r="N153" s="421">
        <f>J153*M153</f>
        <v>1119172.7400000002</v>
      </c>
      <c r="O153" s="540">
        <f>M153-K153</f>
        <v>0</v>
      </c>
      <c r="P153" s="421">
        <f>J153*O153</f>
        <v>0</v>
      </c>
      <c r="Q153" s="268">
        <v>1</v>
      </c>
      <c r="R153" s="421">
        <f>M153*Q153</f>
        <v>17500</v>
      </c>
      <c r="S153" s="421">
        <f>J153*R153</f>
        <v>1119172.7400000002</v>
      </c>
      <c r="T153" s="540">
        <v>0</v>
      </c>
      <c r="U153" s="421">
        <v>0</v>
      </c>
      <c r="V153" s="421">
        <v>41.694379947100998</v>
      </c>
      <c r="W153" s="421">
        <v>2666.4693398856002</v>
      </c>
      <c r="X153" s="421">
        <f>'Giá VL'!V39</f>
        <v>17587.694379947148</v>
      </c>
      <c r="Y153" s="421">
        <f>J153*X153</f>
        <v>1124781.0348278887</v>
      </c>
      <c r="Z153" s="540">
        <f>X153-K153</f>
        <v>87.694379947148263</v>
      </c>
      <c r="AA153" s="421">
        <f>J153*Z153</f>
        <v>5608.2948278886279</v>
      </c>
    </row>
    <row r="154" spans="1:27" s="410" customFormat="1">
      <c r="A154" s="413"/>
      <c r="B154" s="414"/>
      <c r="C154" s="413" t="str">
        <f>'5.Tiên lượng'!C135</f>
        <v>AF.82511</v>
      </c>
      <c r="D154" s="413"/>
      <c r="E154" s="415" t="str">
        <f>'5.Tiên lượng'!D135</f>
        <v>Ván khuôn thép mũ  mố</v>
      </c>
      <c r="F154" s="414" t="str">
        <f>'5.Tiên lượng'!E135</f>
        <v>100m2</v>
      </c>
      <c r="G154" s="419">
        <f>'5.Tiên lượng'!M135</f>
        <v>0.93220000000000003</v>
      </c>
      <c r="H154" s="419">
        <f>PTVT!G521</f>
        <v>32.020000000000003</v>
      </c>
      <c r="I154" s="419">
        <f>'5.Tiên lượng'!V135</f>
        <v>1</v>
      </c>
      <c r="J154" s="419">
        <f t="shared" ref="J154:J158" si="18">PRODUCT(G154,H154,I154)</f>
        <v>29.849044000000003</v>
      </c>
      <c r="K154" s="420"/>
      <c r="L154" s="420"/>
      <c r="M154" s="420"/>
      <c r="N154" s="420"/>
      <c r="O154" s="420"/>
      <c r="P154" s="420"/>
      <c r="Q154" s="419"/>
      <c r="R154" s="420"/>
      <c r="S154" s="420"/>
      <c r="T154" s="420"/>
      <c r="U154" s="420"/>
      <c r="V154" s="420"/>
      <c r="W154" s="420"/>
      <c r="X154" s="420"/>
      <c r="Y154" s="420"/>
      <c r="Z154" s="420"/>
      <c r="AA154" s="420"/>
    </row>
    <row r="155" spans="1:27" s="410" customFormat="1">
      <c r="A155" s="413"/>
      <c r="B155" s="414"/>
      <c r="C155" s="413" t="str">
        <f>'5.Tiên lượng'!C143</f>
        <v>AG.32511</v>
      </c>
      <c r="D155" s="413"/>
      <c r="E155" s="415" t="str">
        <f>'5.Tiên lượng'!D143</f>
        <v>Ván khuôn thép tấm đậy</v>
      </c>
      <c r="F155" s="414" t="str">
        <f>'5.Tiên lượng'!E143</f>
        <v>100m2</v>
      </c>
      <c r="G155" s="419">
        <f>'5.Tiên lượng'!M143</f>
        <v>0.35389999999999999</v>
      </c>
      <c r="H155" s="419">
        <f>PTVT!G556</f>
        <v>13.68</v>
      </c>
      <c r="I155" s="419">
        <f>'5.Tiên lượng'!V143</f>
        <v>1</v>
      </c>
      <c r="J155" s="419">
        <f t="shared" si="18"/>
        <v>4.8413519999999997</v>
      </c>
      <c r="K155" s="420"/>
      <c r="L155" s="420"/>
      <c r="M155" s="420"/>
      <c r="N155" s="420"/>
      <c r="O155" s="420"/>
      <c r="P155" s="420"/>
      <c r="Q155" s="419"/>
      <c r="R155" s="420"/>
      <c r="S155" s="420"/>
      <c r="T155" s="420"/>
      <c r="U155" s="420"/>
      <c r="V155" s="420"/>
      <c r="W155" s="420"/>
      <c r="X155" s="420"/>
      <c r="Y155" s="420"/>
      <c r="Z155" s="420"/>
      <c r="AA155" s="420"/>
    </row>
    <row r="156" spans="1:27" s="410" customFormat="1">
      <c r="A156" s="413"/>
      <c r="B156" s="414"/>
      <c r="C156" s="413" t="str">
        <f>'5.Tiên lượng'!C158</f>
        <v>AF.82511</v>
      </c>
      <c r="D156" s="413"/>
      <c r="E156" s="415" t="str">
        <f>'5.Tiên lượng'!D158</f>
        <v>Ván khuôn thép rãnh</v>
      </c>
      <c r="F156" s="414" t="str">
        <f>'5.Tiên lượng'!E158</f>
        <v>100m2</v>
      </c>
      <c r="G156" s="419">
        <f>'5.Tiên lượng'!M158</f>
        <v>0.61380000000000001</v>
      </c>
      <c r="H156" s="419">
        <f>PTVT!G619</f>
        <v>32.020000000000003</v>
      </c>
      <c r="I156" s="419">
        <f>'5.Tiên lượng'!V158</f>
        <v>1</v>
      </c>
      <c r="J156" s="419">
        <f t="shared" si="18"/>
        <v>19.653876000000004</v>
      </c>
      <c r="K156" s="420"/>
      <c r="L156" s="420"/>
      <c r="M156" s="420"/>
      <c r="N156" s="420"/>
      <c r="O156" s="420"/>
      <c r="P156" s="420"/>
      <c r="Q156" s="419"/>
      <c r="R156" s="420"/>
      <c r="S156" s="420"/>
      <c r="T156" s="420"/>
      <c r="U156" s="420"/>
      <c r="V156" s="420"/>
      <c r="W156" s="420"/>
      <c r="X156" s="420"/>
      <c r="Y156" s="420"/>
      <c r="Z156" s="420"/>
      <c r="AA156" s="420"/>
    </row>
    <row r="157" spans="1:27" s="410" customFormat="1">
      <c r="A157" s="413"/>
      <c r="B157" s="414"/>
      <c r="C157" s="413" t="str">
        <f>'5.Tiên lượng'!C200</f>
        <v>AG.32511</v>
      </c>
      <c r="D157" s="413"/>
      <c r="E157" s="415" t="str">
        <f>'5.Tiên lượng'!D200</f>
        <v>Ván khuôn thép tấm bản</v>
      </c>
      <c r="F157" s="414" t="str">
        <f>'5.Tiên lượng'!E200</f>
        <v>100m2</v>
      </c>
      <c r="G157" s="419">
        <f>'5.Tiên lượng'!M200</f>
        <v>6.0100000000000001E-2</v>
      </c>
      <c r="H157" s="419">
        <f>PTVT!G845</f>
        <v>13.68</v>
      </c>
      <c r="I157" s="419">
        <f>'5.Tiên lượng'!V200</f>
        <v>1</v>
      </c>
      <c r="J157" s="419">
        <f t="shared" si="18"/>
        <v>0.82216800000000001</v>
      </c>
      <c r="K157" s="420"/>
      <c r="L157" s="420"/>
      <c r="M157" s="420"/>
      <c r="N157" s="420"/>
      <c r="O157" s="420"/>
      <c r="P157" s="420"/>
      <c r="Q157" s="419"/>
      <c r="R157" s="420"/>
      <c r="S157" s="420"/>
      <c r="T157" s="420"/>
      <c r="U157" s="420"/>
      <c r="V157" s="420"/>
      <c r="W157" s="420"/>
      <c r="X157" s="420"/>
      <c r="Y157" s="420"/>
      <c r="Z157" s="420"/>
      <c r="AA157" s="420"/>
    </row>
    <row r="158" spans="1:27" s="410" customFormat="1">
      <c r="A158" s="413"/>
      <c r="B158" s="414"/>
      <c r="C158" s="413" t="str">
        <f>'5.Tiên lượng'!C202</f>
        <v>AF.82511</v>
      </c>
      <c r="D158" s="413"/>
      <c r="E158" s="415" t="str">
        <f>'5.Tiên lượng'!D202</f>
        <v>Ván khuôn thép cống</v>
      </c>
      <c r="F158" s="414" t="str">
        <f>'5.Tiên lượng'!E202</f>
        <v>100m2</v>
      </c>
      <c r="G158" s="419">
        <f>'5.Tiên lượng'!M202</f>
        <v>0.27440000000000003</v>
      </c>
      <c r="H158" s="419">
        <f>PTVT!G856</f>
        <v>32.020000000000003</v>
      </c>
      <c r="I158" s="419">
        <f>'5.Tiên lượng'!V202</f>
        <v>1</v>
      </c>
      <c r="J158" s="419">
        <f t="shared" si="18"/>
        <v>8.7862880000000025</v>
      </c>
      <c r="K158" s="420"/>
      <c r="L158" s="420"/>
      <c r="M158" s="420"/>
      <c r="N158" s="420"/>
      <c r="O158" s="420"/>
      <c r="P158" s="420"/>
      <c r="Q158" s="419"/>
      <c r="R158" s="420"/>
      <c r="S158" s="420"/>
      <c r="T158" s="420"/>
      <c r="U158" s="420"/>
      <c r="V158" s="420"/>
      <c r="W158" s="420"/>
      <c r="X158" s="420"/>
      <c r="Y158" s="420"/>
      <c r="Z158" s="420"/>
      <c r="AA158" s="420"/>
    </row>
    <row r="159" spans="1:27">
      <c r="A159" s="246" t="s">
        <v>759</v>
      </c>
      <c r="B159" s="265">
        <v>36</v>
      </c>
      <c r="C159" s="670" t="s">
        <v>627</v>
      </c>
      <c r="D159" s="246"/>
      <c r="E159" s="266" t="str">
        <f>'Giá VL'!E40</f>
        <v>Thép hình, thép tấm</v>
      </c>
      <c r="F159" s="265" t="str">
        <f>'Giá VL'!F40</f>
        <v>kg</v>
      </c>
      <c r="G159" s="268"/>
      <c r="H159" s="268"/>
      <c r="I159" s="268"/>
      <c r="J159" s="268">
        <f>SUM(J160:J161)</f>
        <v>119.08575</v>
      </c>
      <c r="K159" s="421">
        <f>'Giá VL'!G40</f>
        <v>17500</v>
      </c>
      <c r="L159" s="421">
        <f>J159*K159</f>
        <v>2084000.625</v>
      </c>
      <c r="M159" s="421">
        <f>'Giá VL'!J40</f>
        <v>17500</v>
      </c>
      <c r="N159" s="421">
        <f>J159*M159</f>
        <v>2084000.625</v>
      </c>
      <c r="O159" s="540">
        <f>M159-K159</f>
        <v>0</v>
      </c>
      <c r="P159" s="421">
        <f>J159*O159</f>
        <v>0</v>
      </c>
      <c r="Q159" s="268">
        <v>1</v>
      </c>
      <c r="R159" s="421">
        <f>M159*Q159</f>
        <v>17500</v>
      </c>
      <c r="S159" s="421">
        <f>J159*R159</f>
        <v>2084000.625</v>
      </c>
      <c r="T159" s="540">
        <v>0</v>
      </c>
      <c r="U159" s="421">
        <v>0</v>
      </c>
      <c r="V159" s="421">
        <v>41.694379947100998</v>
      </c>
      <c r="W159" s="421">
        <v>4965.2065067854801</v>
      </c>
      <c r="X159" s="421">
        <f>'Giá VL'!V40</f>
        <v>17587.694379947148</v>
      </c>
      <c r="Y159" s="421">
        <f>J159*X159</f>
        <v>2094443.7760067913</v>
      </c>
      <c r="Z159" s="540">
        <f>X159-K159</f>
        <v>87.694379947148263</v>
      </c>
      <c r="AA159" s="421">
        <f>J159*Z159</f>
        <v>10443.151006791111</v>
      </c>
    </row>
    <row r="160" spans="1:27" s="410" customFormat="1">
      <c r="A160" s="413"/>
      <c r="B160" s="414"/>
      <c r="C160" s="413" t="str">
        <f>'5.Tiên lượng'!C56</f>
        <v>AF.82411</v>
      </c>
      <c r="D160" s="413"/>
      <c r="E160" s="415" t="str">
        <f>'5.Tiên lượng'!D56</f>
        <v>Ván khuôn thép mặt đường bê tông</v>
      </c>
      <c r="F160" s="414" t="str">
        <f>'5.Tiên lượng'!E56</f>
        <v>100m2</v>
      </c>
      <c r="G160" s="419">
        <f>'5.Tiên lượng'!M56</f>
        <v>3.6397000000000004</v>
      </c>
      <c r="H160" s="419">
        <f>PTVT!G161</f>
        <v>31.5</v>
      </c>
      <c r="I160" s="419">
        <f>'5.Tiên lượng'!V56</f>
        <v>1</v>
      </c>
      <c r="J160" s="419">
        <f t="shared" ref="J160:J161" si="19">PRODUCT(G160,H160,I160)</f>
        <v>114.65055000000001</v>
      </c>
      <c r="K160" s="420"/>
      <c r="L160" s="420"/>
      <c r="M160" s="420"/>
      <c r="N160" s="420"/>
      <c r="O160" s="420"/>
      <c r="P160" s="420"/>
      <c r="Q160" s="419"/>
      <c r="R160" s="420"/>
      <c r="S160" s="420"/>
      <c r="T160" s="420"/>
      <c r="U160" s="420"/>
      <c r="V160" s="420"/>
      <c r="W160" s="420"/>
      <c r="X160" s="420"/>
      <c r="Y160" s="420"/>
      <c r="Z160" s="420"/>
      <c r="AA160" s="420"/>
    </row>
    <row r="161" spans="1:27" s="410" customFormat="1">
      <c r="A161" s="413"/>
      <c r="B161" s="414"/>
      <c r="C161" s="413" t="str">
        <f>'5.Tiên lượng'!C65</f>
        <v>AF.82411</v>
      </c>
      <c r="D161" s="413"/>
      <c r="E161" s="415" t="str">
        <f>'5.Tiên lượng'!D65</f>
        <v>Ván khuôn thép mặt đường bê tông</v>
      </c>
      <c r="F161" s="414" t="str">
        <f>'5.Tiên lượng'!E65</f>
        <v>100m2</v>
      </c>
      <c r="G161" s="419">
        <f>'5.Tiên lượng'!M65</f>
        <v>0.14080000000000001</v>
      </c>
      <c r="H161" s="419">
        <f>PTVT!G206</f>
        <v>31.5</v>
      </c>
      <c r="I161" s="419">
        <f>'5.Tiên lượng'!V65</f>
        <v>1</v>
      </c>
      <c r="J161" s="419">
        <f t="shared" si="19"/>
        <v>4.4352</v>
      </c>
      <c r="K161" s="420"/>
      <c r="L161" s="420"/>
      <c r="M161" s="420"/>
      <c r="N161" s="420"/>
      <c r="O161" s="420"/>
      <c r="P161" s="420"/>
      <c r="Q161" s="419"/>
      <c r="R161" s="420"/>
      <c r="S161" s="420"/>
      <c r="T161" s="420"/>
      <c r="U161" s="420"/>
      <c r="V161" s="420"/>
      <c r="W161" s="420"/>
      <c r="X161" s="420"/>
      <c r="Y161" s="420"/>
      <c r="Z161" s="420"/>
      <c r="AA161" s="420"/>
    </row>
    <row r="162" spans="1:27">
      <c r="A162" s="246" t="s">
        <v>759</v>
      </c>
      <c r="B162" s="265">
        <v>37</v>
      </c>
      <c r="C162" s="670" t="s">
        <v>663</v>
      </c>
      <c r="D162" s="246"/>
      <c r="E162" s="266" t="str">
        <f>'Giá VL'!E41</f>
        <v>Thép tấm</v>
      </c>
      <c r="F162" s="265" t="str">
        <f>'Giá VL'!F41</f>
        <v>kg</v>
      </c>
      <c r="G162" s="268"/>
      <c r="H162" s="268"/>
      <c r="I162" s="268"/>
      <c r="J162" s="268">
        <f>SUM(J163:J167)</f>
        <v>103.849344</v>
      </c>
      <c r="K162" s="421">
        <f>'Giá VL'!G41</f>
        <v>17500</v>
      </c>
      <c r="L162" s="421">
        <f>J162*K162</f>
        <v>1817363.52</v>
      </c>
      <c r="M162" s="421">
        <f>'Giá VL'!J41</f>
        <v>17500</v>
      </c>
      <c r="N162" s="421">
        <f>J162*M162</f>
        <v>1817363.52</v>
      </c>
      <c r="O162" s="540">
        <f>M162-K162</f>
        <v>0</v>
      </c>
      <c r="P162" s="421">
        <f>J162*O162</f>
        <v>0</v>
      </c>
      <c r="Q162" s="268">
        <v>1</v>
      </c>
      <c r="R162" s="421">
        <f>M162*Q162</f>
        <v>17500</v>
      </c>
      <c r="S162" s="421">
        <f>J162*R162</f>
        <v>1817363.52</v>
      </c>
      <c r="T162" s="540">
        <v>0</v>
      </c>
      <c r="U162" s="421">
        <v>0</v>
      </c>
      <c r="V162" s="421">
        <v>41.694379947100998</v>
      </c>
      <c r="W162" s="421">
        <v>4329.9340059931901</v>
      </c>
      <c r="X162" s="421">
        <f>'Giá VL'!V41</f>
        <v>17587.694379947148</v>
      </c>
      <c r="Y162" s="421">
        <f>J162*X162</f>
        <v>1826470.5238299982</v>
      </c>
      <c r="Z162" s="540">
        <f>X162-K162</f>
        <v>87.694379947148263</v>
      </c>
      <c r="AA162" s="421">
        <f>J162*Z162</f>
        <v>9107.0038299981024</v>
      </c>
    </row>
    <row r="163" spans="1:27" s="410" customFormat="1">
      <c r="A163" s="413"/>
      <c r="B163" s="414"/>
      <c r="C163" s="413" t="str">
        <f>'5.Tiên lượng'!C135</f>
        <v>AF.82511</v>
      </c>
      <c r="D163" s="413"/>
      <c r="E163" s="415" t="str">
        <f>'5.Tiên lượng'!D135</f>
        <v>Ván khuôn thép mũ  mố</v>
      </c>
      <c r="F163" s="414" t="str">
        <f>'5.Tiên lượng'!E135</f>
        <v>100m2</v>
      </c>
      <c r="G163" s="419">
        <f>'5.Tiên lượng'!M135</f>
        <v>0.93220000000000003</v>
      </c>
      <c r="H163" s="419">
        <f>PTVT!G520</f>
        <v>51.81</v>
      </c>
      <c r="I163" s="419">
        <f>'5.Tiên lượng'!V135</f>
        <v>1</v>
      </c>
      <c r="J163" s="419">
        <f t="shared" ref="J163:J167" si="20">PRODUCT(G163,H163,I163)</f>
        <v>48.297282000000003</v>
      </c>
      <c r="K163" s="420"/>
      <c r="L163" s="420"/>
      <c r="M163" s="420"/>
      <c r="N163" s="420"/>
      <c r="O163" s="420"/>
      <c r="P163" s="420"/>
      <c r="Q163" s="419"/>
      <c r="R163" s="420"/>
      <c r="S163" s="420"/>
      <c r="T163" s="420"/>
      <c r="U163" s="420"/>
      <c r="V163" s="420"/>
      <c r="W163" s="420"/>
      <c r="X163" s="420"/>
      <c r="Y163" s="420"/>
      <c r="Z163" s="420"/>
      <c r="AA163" s="420"/>
    </row>
    <row r="164" spans="1:27" s="410" customFormat="1">
      <c r="A164" s="413"/>
      <c r="B164" s="414"/>
      <c r="C164" s="413" t="str">
        <f>'5.Tiên lượng'!C143</f>
        <v>AG.32511</v>
      </c>
      <c r="D164" s="413"/>
      <c r="E164" s="415" t="str">
        <f>'5.Tiên lượng'!D143</f>
        <v>Ván khuôn thép tấm đậy</v>
      </c>
      <c r="F164" s="414" t="str">
        <f>'5.Tiên lượng'!E143</f>
        <v>100m2</v>
      </c>
      <c r="G164" s="419">
        <f>'5.Tiên lượng'!M143</f>
        <v>0.35389999999999999</v>
      </c>
      <c r="H164" s="419">
        <f>PTVT!G555</f>
        <v>23.03</v>
      </c>
      <c r="I164" s="419">
        <f>'5.Tiên lượng'!V143</f>
        <v>1</v>
      </c>
      <c r="J164" s="419">
        <f t="shared" si="20"/>
        <v>8.1503169999999994</v>
      </c>
      <c r="K164" s="420"/>
      <c r="L164" s="420"/>
      <c r="M164" s="420"/>
      <c r="N164" s="420"/>
      <c r="O164" s="420"/>
      <c r="P164" s="420"/>
      <c r="Q164" s="419"/>
      <c r="R164" s="420"/>
      <c r="S164" s="420"/>
      <c r="T164" s="420"/>
      <c r="U164" s="420"/>
      <c r="V164" s="420"/>
      <c r="W164" s="420"/>
      <c r="X164" s="420"/>
      <c r="Y164" s="420"/>
      <c r="Z164" s="420"/>
      <c r="AA164" s="420"/>
    </row>
    <row r="165" spans="1:27" s="410" customFormat="1">
      <c r="A165" s="413"/>
      <c r="B165" s="414"/>
      <c r="C165" s="413" t="str">
        <f>'5.Tiên lượng'!C158</f>
        <v>AF.82511</v>
      </c>
      <c r="D165" s="413"/>
      <c r="E165" s="415" t="str">
        <f>'5.Tiên lượng'!D158</f>
        <v>Ván khuôn thép rãnh</v>
      </c>
      <c r="F165" s="414" t="str">
        <f>'5.Tiên lượng'!E158</f>
        <v>100m2</v>
      </c>
      <c r="G165" s="419">
        <f>'5.Tiên lượng'!M158</f>
        <v>0.61380000000000001</v>
      </c>
      <c r="H165" s="419">
        <f>PTVT!G618</f>
        <v>51.81</v>
      </c>
      <c r="I165" s="419">
        <f>'5.Tiên lượng'!V158</f>
        <v>1</v>
      </c>
      <c r="J165" s="419">
        <f t="shared" si="20"/>
        <v>31.800978000000001</v>
      </c>
      <c r="K165" s="420"/>
      <c r="L165" s="420"/>
      <c r="M165" s="420"/>
      <c r="N165" s="420"/>
      <c r="O165" s="420"/>
      <c r="P165" s="420"/>
      <c r="Q165" s="419"/>
      <c r="R165" s="420"/>
      <c r="S165" s="420"/>
      <c r="T165" s="420"/>
      <c r="U165" s="420"/>
      <c r="V165" s="420"/>
      <c r="W165" s="420"/>
      <c r="X165" s="420"/>
      <c r="Y165" s="420"/>
      <c r="Z165" s="420"/>
      <c r="AA165" s="420"/>
    </row>
    <row r="166" spans="1:27" s="410" customFormat="1">
      <c r="A166" s="413"/>
      <c r="B166" s="414"/>
      <c r="C166" s="413" t="str">
        <f>'5.Tiên lượng'!C200</f>
        <v>AG.32511</v>
      </c>
      <c r="D166" s="413"/>
      <c r="E166" s="415" t="str">
        <f>'5.Tiên lượng'!D200</f>
        <v>Ván khuôn thép tấm bản</v>
      </c>
      <c r="F166" s="414" t="str">
        <f>'5.Tiên lượng'!E200</f>
        <v>100m2</v>
      </c>
      <c r="G166" s="419">
        <f>'5.Tiên lượng'!M200</f>
        <v>6.0100000000000001E-2</v>
      </c>
      <c r="H166" s="419">
        <f>PTVT!G844</f>
        <v>23.03</v>
      </c>
      <c r="I166" s="419">
        <f>'5.Tiên lượng'!V200</f>
        <v>1</v>
      </c>
      <c r="J166" s="419">
        <f t="shared" si="20"/>
        <v>1.3841030000000001</v>
      </c>
      <c r="K166" s="420"/>
      <c r="L166" s="420"/>
      <c r="M166" s="420"/>
      <c r="N166" s="420"/>
      <c r="O166" s="420"/>
      <c r="P166" s="420"/>
      <c r="Q166" s="419"/>
      <c r="R166" s="420"/>
      <c r="S166" s="420"/>
      <c r="T166" s="420"/>
      <c r="U166" s="420"/>
      <c r="V166" s="420"/>
      <c r="W166" s="420"/>
      <c r="X166" s="420"/>
      <c r="Y166" s="420"/>
      <c r="Z166" s="420"/>
      <c r="AA166" s="420"/>
    </row>
    <row r="167" spans="1:27" s="410" customFormat="1">
      <c r="A167" s="413"/>
      <c r="B167" s="414"/>
      <c r="C167" s="413" t="str">
        <f>'5.Tiên lượng'!C202</f>
        <v>AF.82511</v>
      </c>
      <c r="D167" s="413"/>
      <c r="E167" s="415" t="str">
        <f>'5.Tiên lượng'!D202</f>
        <v>Ván khuôn thép cống</v>
      </c>
      <c r="F167" s="414" t="str">
        <f>'5.Tiên lượng'!E202</f>
        <v>100m2</v>
      </c>
      <c r="G167" s="419">
        <f>'5.Tiên lượng'!M202</f>
        <v>0.27440000000000003</v>
      </c>
      <c r="H167" s="419">
        <f>PTVT!G855</f>
        <v>51.81</v>
      </c>
      <c r="I167" s="419">
        <f>'5.Tiên lượng'!V202</f>
        <v>1</v>
      </c>
      <c r="J167" s="419">
        <f t="shared" si="20"/>
        <v>14.216664000000002</v>
      </c>
      <c r="K167" s="420"/>
      <c r="L167" s="420"/>
      <c r="M167" s="420"/>
      <c r="N167" s="420"/>
      <c r="O167" s="420"/>
      <c r="P167" s="420"/>
      <c r="Q167" s="419"/>
      <c r="R167" s="420"/>
      <c r="S167" s="420"/>
      <c r="T167" s="420"/>
      <c r="U167" s="420"/>
      <c r="V167" s="420"/>
      <c r="W167" s="420"/>
      <c r="X167" s="420"/>
      <c r="Y167" s="420"/>
      <c r="Z167" s="420"/>
      <c r="AA167" s="420"/>
    </row>
    <row r="168" spans="1:27">
      <c r="A168" s="246" t="s">
        <v>759</v>
      </c>
      <c r="B168" s="265">
        <v>38</v>
      </c>
      <c r="C168" s="670" t="s">
        <v>666</v>
      </c>
      <c r="D168" s="246"/>
      <c r="E168" s="266" t="str">
        <f>'Giá VL'!E42</f>
        <v>Thép tròn</v>
      </c>
      <c r="F168" s="265" t="str">
        <f>'Giá VL'!F42</f>
        <v>kg</v>
      </c>
      <c r="G168" s="268"/>
      <c r="H168" s="268"/>
      <c r="I168" s="268"/>
      <c r="J168" s="268">
        <f>SUM(J169:J170)</f>
        <v>1950.9642000000001</v>
      </c>
      <c r="K168" s="421">
        <f>'Giá VL'!G42</f>
        <v>17500</v>
      </c>
      <c r="L168" s="421">
        <f>J168*K168</f>
        <v>34141873.5</v>
      </c>
      <c r="M168" s="421">
        <f>'Giá VL'!J42</f>
        <v>17500</v>
      </c>
      <c r="N168" s="421">
        <f>J168*M168</f>
        <v>34141873.5</v>
      </c>
      <c r="O168" s="540">
        <f>M168-K168</f>
        <v>0</v>
      </c>
      <c r="P168" s="421">
        <f>J168*O168</f>
        <v>0</v>
      </c>
      <c r="Q168" s="268">
        <v>1</v>
      </c>
      <c r="R168" s="421">
        <f>M168*Q168</f>
        <v>17500</v>
      </c>
      <c r="S168" s="421">
        <f>J168*R168</f>
        <v>34141873.5</v>
      </c>
      <c r="T168" s="540">
        <v>0</v>
      </c>
      <c r="U168" s="421">
        <v>0</v>
      </c>
      <c r="V168" s="421">
        <v>41.694379947100998</v>
      </c>
      <c r="W168" s="421">
        <v>81344.242617991898</v>
      </c>
      <c r="X168" s="421">
        <f>'Giá VL'!V42</f>
        <v>17587.694379947148</v>
      </c>
      <c r="Y168" s="421">
        <f>J168*X168</f>
        <v>34312962.095818087</v>
      </c>
      <c r="Z168" s="540">
        <f>X168-K168</f>
        <v>87.694379947148263</v>
      </c>
      <c r="AA168" s="421">
        <f>J168*Z168</f>
        <v>171088.59581808417</v>
      </c>
    </row>
    <row r="169" spans="1:27" s="410" customFormat="1">
      <c r="A169" s="413"/>
      <c r="B169" s="414"/>
      <c r="C169" s="413" t="str">
        <f>'5.Tiên lượng'!C141</f>
        <v>AG.13231</v>
      </c>
      <c r="D169" s="413"/>
      <c r="E169" s="415" t="str">
        <f>'5.Tiên lượng'!D141</f>
        <v>Cốt thép tấm đậy</v>
      </c>
      <c r="F169" s="414" t="str">
        <f>'5.Tiên lượng'!E141</f>
        <v>tấn</v>
      </c>
      <c r="G169" s="419">
        <f>'5.Tiên lượng'!M141</f>
        <v>1.7095600000000002</v>
      </c>
      <c r="H169" s="419">
        <f>PTVT!G547</f>
        <v>1020</v>
      </c>
      <c r="I169" s="419">
        <f>'5.Tiên lượng'!V141</f>
        <v>1</v>
      </c>
      <c r="J169" s="419">
        <f t="shared" ref="J169:J170" si="21">PRODUCT(G169,H169,I169)</f>
        <v>1743.7512000000002</v>
      </c>
      <c r="K169" s="420"/>
      <c r="L169" s="420"/>
      <c r="M169" s="420"/>
      <c r="N169" s="420"/>
      <c r="O169" s="420"/>
      <c r="P169" s="420"/>
      <c r="Q169" s="419"/>
      <c r="R169" s="420"/>
      <c r="S169" s="420"/>
      <c r="T169" s="420"/>
      <c r="U169" s="420"/>
      <c r="V169" s="420"/>
      <c r="W169" s="420"/>
      <c r="X169" s="420"/>
      <c r="Y169" s="420"/>
      <c r="Z169" s="420"/>
      <c r="AA169" s="420"/>
    </row>
    <row r="170" spans="1:27" s="410" customFormat="1">
      <c r="A170" s="413"/>
      <c r="B170" s="414"/>
      <c r="C170" s="413" t="str">
        <f>'5.Tiên lượng'!C198</f>
        <v>AG.13231</v>
      </c>
      <c r="D170" s="413"/>
      <c r="E170" s="415" t="str">
        <f>'5.Tiên lượng'!D198</f>
        <v>Cốt thép tấm bản mặt</v>
      </c>
      <c r="F170" s="414" t="str">
        <f>'5.Tiên lượng'!E198</f>
        <v>tấn</v>
      </c>
      <c r="G170" s="419">
        <f>'5.Tiên lượng'!M198</f>
        <v>0.20314999999999997</v>
      </c>
      <c r="H170" s="419">
        <f>PTVT!G836</f>
        <v>1020</v>
      </c>
      <c r="I170" s="419">
        <f>'5.Tiên lượng'!V198</f>
        <v>1</v>
      </c>
      <c r="J170" s="419">
        <f t="shared" si="21"/>
        <v>207.21299999999997</v>
      </c>
      <c r="K170" s="420"/>
      <c r="L170" s="420"/>
      <c r="M170" s="420"/>
      <c r="N170" s="420"/>
      <c r="O170" s="420"/>
      <c r="P170" s="420"/>
      <c r="Q170" s="419"/>
      <c r="R170" s="420"/>
      <c r="S170" s="420"/>
      <c r="T170" s="420"/>
      <c r="U170" s="420"/>
      <c r="V170" s="420"/>
      <c r="W170" s="420"/>
      <c r="X170" s="420"/>
      <c r="Y170" s="420"/>
      <c r="Z170" s="420"/>
      <c r="AA170" s="420"/>
    </row>
    <row r="171" spans="1:27">
      <c r="A171" s="246" t="s">
        <v>759</v>
      </c>
      <c r="B171" s="265">
        <v>39</v>
      </c>
      <c r="C171" s="670" t="s">
        <v>661</v>
      </c>
      <c r="D171" s="246"/>
      <c r="E171" s="266" t="str">
        <f>'Giá VL'!E43</f>
        <v>Thép tròn Fi ≤10mm</v>
      </c>
      <c r="F171" s="265" t="str">
        <f>'Giá VL'!F43</f>
        <v>kg</v>
      </c>
      <c r="G171" s="268"/>
      <c r="H171" s="268"/>
      <c r="I171" s="268"/>
      <c r="J171" s="268">
        <f>SUM(J172:J172)</f>
        <v>246.12450000000001</v>
      </c>
      <c r="K171" s="421">
        <f>'Giá VL'!G43</f>
        <v>17500</v>
      </c>
      <c r="L171" s="421">
        <f>J171*K171</f>
        <v>4307178.75</v>
      </c>
      <c r="M171" s="421">
        <f>'Giá VL'!J43</f>
        <v>17500</v>
      </c>
      <c r="N171" s="421">
        <f>J171*M171</f>
        <v>4307178.75</v>
      </c>
      <c r="O171" s="540">
        <f>M171-K171</f>
        <v>0</v>
      </c>
      <c r="P171" s="421">
        <f>J171*O171</f>
        <v>0</v>
      </c>
      <c r="Q171" s="268">
        <v>1</v>
      </c>
      <c r="R171" s="421">
        <f>M171*Q171</f>
        <v>17500</v>
      </c>
      <c r="S171" s="421">
        <f>J171*R171</f>
        <v>4307178.75</v>
      </c>
      <c r="T171" s="540">
        <v>0</v>
      </c>
      <c r="U171" s="421">
        <v>0</v>
      </c>
      <c r="V171" s="421">
        <v>41.694379947100998</v>
      </c>
      <c r="W171" s="421">
        <v>10262.008417290301</v>
      </c>
      <c r="X171" s="421">
        <f>'Giá VL'!V43</f>
        <v>17587.694379947148</v>
      </c>
      <c r="Y171" s="421">
        <f>J171*X171</f>
        <v>4328762.4854173018</v>
      </c>
      <c r="Z171" s="540">
        <f>X171-K171</f>
        <v>87.694379947148263</v>
      </c>
      <c r="AA171" s="421">
        <f>J171*Z171</f>
        <v>21583.735417301894</v>
      </c>
    </row>
    <row r="172" spans="1:27" s="410" customFormat="1">
      <c r="A172" s="413"/>
      <c r="B172" s="414"/>
      <c r="C172" s="413" t="str">
        <f>'5.Tiên lượng'!C133</f>
        <v>AF.61110</v>
      </c>
      <c r="D172" s="413"/>
      <c r="E172" s="415" t="str">
        <f>'5.Tiên lượng'!D133</f>
        <v>Lắp dựng cốt thép móng, ĐK ≤10mm</v>
      </c>
      <c r="F172" s="414" t="str">
        <f>'5.Tiên lượng'!E133</f>
        <v>tấn</v>
      </c>
      <c r="G172" s="419">
        <f>'5.Tiên lượng'!M133</f>
        <v>0.24490000000000001</v>
      </c>
      <c r="H172" s="419">
        <f>PTVT!G512</f>
        <v>1005</v>
      </c>
      <c r="I172" s="419">
        <f>'5.Tiên lượng'!V133</f>
        <v>1</v>
      </c>
      <c r="J172" s="419">
        <f>PRODUCT(G172,H172,I172)</f>
        <v>246.12450000000001</v>
      </c>
      <c r="K172" s="420"/>
      <c r="L172" s="420"/>
      <c r="M172" s="420"/>
      <c r="N172" s="420"/>
      <c r="O172" s="420"/>
      <c r="P172" s="420"/>
      <c r="Q172" s="419"/>
      <c r="R172" s="420"/>
      <c r="S172" s="420"/>
      <c r="T172" s="420"/>
      <c r="U172" s="420"/>
      <c r="V172" s="420"/>
      <c r="W172" s="420"/>
      <c r="X172" s="420"/>
      <c r="Y172" s="420"/>
      <c r="Z172" s="420"/>
      <c r="AA172" s="420"/>
    </row>
    <row r="173" spans="1:27">
      <c r="A173" s="246" t="s">
        <v>759</v>
      </c>
      <c r="B173" s="265">
        <v>40</v>
      </c>
      <c r="C173" s="670" t="s">
        <v>670</v>
      </c>
      <c r="D173" s="246"/>
      <c r="E173" s="266" t="str">
        <f>'Giá VL'!E44</f>
        <v>Xi măng PCB30</v>
      </c>
      <c r="F173" s="265" t="str">
        <f>'Giá VL'!F44</f>
        <v>kg</v>
      </c>
      <c r="G173" s="268"/>
      <c r="H173" s="268"/>
      <c r="I173" s="268"/>
      <c r="J173" s="268">
        <f>SUM(J174:J177)</f>
        <v>201.43709999999999</v>
      </c>
      <c r="K173" s="421">
        <f>'Giá VL'!G44</f>
        <v>1280</v>
      </c>
      <c r="L173" s="421">
        <f>J173*K173</f>
        <v>257839.48799999998</v>
      </c>
      <c r="M173" s="421">
        <f>'Giá VL'!J44</f>
        <v>1550</v>
      </c>
      <c r="N173" s="421">
        <f>J173*M173</f>
        <v>312227.505</v>
      </c>
      <c r="O173" s="540">
        <f>M173-K173</f>
        <v>270</v>
      </c>
      <c r="P173" s="421">
        <f>J173*O173</f>
        <v>54388.017</v>
      </c>
      <c r="Q173" s="268">
        <v>1</v>
      </c>
      <c r="R173" s="421">
        <f>M173*Q173</f>
        <v>1550</v>
      </c>
      <c r="S173" s="421">
        <f>J173*R173</f>
        <v>312227.505</v>
      </c>
      <c r="T173" s="540">
        <v>0</v>
      </c>
      <c r="U173" s="421">
        <v>0</v>
      </c>
      <c r="V173" s="421">
        <v>84.811529366179897</v>
      </c>
      <c r="W173" s="421">
        <v>17084.188522088101</v>
      </c>
      <c r="X173" s="421">
        <f>'Giá VL'!V44</f>
        <v>1680</v>
      </c>
      <c r="Y173" s="421">
        <f>J173*X173</f>
        <v>338414.32799999998</v>
      </c>
      <c r="Z173" s="540">
        <f>X173-K173</f>
        <v>400</v>
      </c>
      <c r="AA173" s="421">
        <f>J173*Z173</f>
        <v>80574.84</v>
      </c>
    </row>
    <row r="174" spans="1:27" s="410" customFormat="1" ht="27.6">
      <c r="A174" s="413"/>
      <c r="B174" s="414"/>
      <c r="C174" s="413" t="str">
        <f>'5.Tiên lượng'!C148</f>
        <v>BB.13502</v>
      </c>
      <c r="D174" s="413"/>
      <c r="E174" s="415" t="str">
        <f>'5.Tiên lượng'!D148</f>
        <v xml:space="preserve">Nối ống bê tông bằng phương pháp xảm - Đường kính 300mm </v>
      </c>
      <c r="F174" s="414" t="str">
        <f>'5.Tiên lượng'!E148</f>
        <v>mối nối</v>
      </c>
      <c r="G174" s="419">
        <f>'5.Tiên lượng'!M148</f>
        <v>64</v>
      </c>
      <c r="H174" s="419">
        <f>PTVT!G581</f>
        <v>2.2896000000000001</v>
      </c>
      <c r="I174" s="419">
        <f>'5.Tiên lượng'!V148</f>
        <v>1</v>
      </c>
      <c r="J174" s="419">
        <f t="shared" ref="J174:J177" si="22">PRODUCT(G174,H174,I174)</f>
        <v>146.53440000000001</v>
      </c>
      <c r="K174" s="420"/>
      <c r="L174" s="420"/>
      <c r="M174" s="420"/>
      <c r="N174" s="420"/>
      <c r="O174" s="420"/>
      <c r="P174" s="420"/>
      <c r="Q174" s="419"/>
      <c r="R174" s="420"/>
      <c r="S174" s="420"/>
      <c r="T174" s="420"/>
      <c r="U174" s="420"/>
      <c r="V174" s="420"/>
      <c r="W174" s="420"/>
      <c r="X174" s="420"/>
      <c r="Y174" s="420"/>
      <c r="Z174" s="420"/>
      <c r="AA174" s="420"/>
    </row>
    <row r="175" spans="1:27" s="410" customFormat="1" ht="27.6">
      <c r="A175" s="413"/>
      <c r="B175" s="414"/>
      <c r="C175" s="413" t="str">
        <f>'5.Tiên lượng'!C185</f>
        <v>BB.13503</v>
      </c>
      <c r="D175" s="413"/>
      <c r="E175" s="415" t="str">
        <f>'5.Tiên lượng'!D185</f>
        <v>Nối ống bê tông bằng phương pháp xảm - Đường kính 400mm</v>
      </c>
      <c r="F175" s="414" t="str">
        <f>'5.Tiên lượng'!E185</f>
        <v>mối nối</v>
      </c>
      <c r="G175" s="419">
        <f>'5.Tiên lượng'!M185</f>
        <v>13</v>
      </c>
      <c r="H175" s="419">
        <f>PTVT!G740</f>
        <v>3.0528</v>
      </c>
      <c r="I175" s="419">
        <f>'5.Tiên lượng'!V185</f>
        <v>1</v>
      </c>
      <c r="J175" s="419">
        <f t="shared" si="22"/>
        <v>39.686399999999999</v>
      </c>
      <c r="K175" s="420"/>
      <c r="L175" s="420"/>
      <c r="M175" s="420"/>
      <c r="N175" s="420"/>
      <c r="O175" s="420"/>
      <c r="P175" s="420"/>
      <c r="Q175" s="419"/>
      <c r="R175" s="420"/>
      <c r="S175" s="420"/>
      <c r="T175" s="420"/>
      <c r="U175" s="420"/>
      <c r="V175" s="420"/>
      <c r="W175" s="420"/>
      <c r="X175" s="420"/>
      <c r="Y175" s="420"/>
      <c r="Z175" s="420"/>
      <c r="AA175" s="420"/>
    </row>
    <row r="176" spans="1:27" s="410" customFormat="1" ht="27.6">
      <c r="A176" s="413"/>
      <c r="B176" s="414"/>
      <c r="C176" s="413" t="str">
        <f>'5.Tiên lượng'!C186</f>
        <v>BB.13505</v>
      </c>
      <c r="D176" s="413"/>
      <c r="E176" s="415" t="str">
        <f>'5.Tiên lượng'!D186</f>
        <v>Nối ống bê tông bằng phương pháp xảm - Đường kính 600mm</v>
      </c>
      <c r="F176" s="414" t="str">
        <f>'5.Tiên lượng'!E186</f>
        <v>mối nối</v>
      </c>
      <c r="G176" s="419">
        <f>'5.Tiên lượng'!M186</f>
        <v>2</v>
      </c>
      <c r="H176" s="419">
        <f>PTVT!G747</f>
        <v>4.5792000000000002</v>
      </c>
      <c r="I176" s="419">
        <f>'5.Tiên lượng'!V186</f>
        <v>1</v>
      </c>
      <c r="J176" s="419">
        <f t="shared" si="22"/>
        <v>9.1584000000000003</v>
      </c>
      <c r="K176" s="420"/>
      <c r="L176" s="420"/>
      <c r="M176" s="420"/>
      <c r="N176" s="420"/>
      <c r="O176" s="420"/>
      <c r="P176" s="420"/>
      <c r="Q176" s="419"/>
      <c r="R176" s="420"/>
      <c r="S176" s="420"/>
      <c r="T176" s="420"/>
      <c r="U176" s="420"/>
      <c r="V176" s="420"/>
      <c r="W176" s="420"/>
      <c r="X176" s="420"/>
      <c r="Y176" s="420"/>
      <c r="Z176" s="420"/>
      <c r="AA176" s="420"/>
    </row>
    <row r="177" spans="1:27" s="410" customFormat="1" ht="27.6">
      <c r="A177" s="413"/>
      <c r="B177" s="414"/>
      <c r="C177" s="413" t="str">
        <f>'5.Tiên lượng'!C187</f>
        <v>BB.13507</v>
      </c>
      <c r="D177" s="413"/>
      <c r="E177" s="415" t="str">
        <f>'5.Tiên lượng'!D187</f>
        <v>Nối ống bê tông bằng phương pháp xảm - Đường kính 800mm</v>
      </c>
      <c r="F177" s="414" t="str">
        <f>'5.Tiên lượng'!E187</f>
        <v>mối nối</v>
      </c>
      <c r="G177" s="419">
        <f>'5.Tiên lượng'!M187</f>
        <v>1</v>
      </c>
      <c r="H177" s="419">
        <f>PTVT!G754</f>
        <v>6.0579000000000001</v>
      </c>
      <c r="I177" s="419">
        <f>'5.Tiên lượng'!V187</f>
        <v>1</v>
      </c>
      <c r="J177" s="419">
        <f t="shared" si="22"/>
        <v>6.0579000000000001</v>
      </c>
      <c r="K177" s="420"/>
      <c r="L177" s="420"/>
      <c r="M177" s="420"/>
      <c r="N177" s="420"/>
      <c r="O177" s="420"/>
      <c r="P177" s="420"/>
      <c r="Q177" s="419"/>
      <c r="R177" s="420"/>
      <c r="S177" s="420"/>
      <c r="T177" s="420"/>
      <c r="U177" s="420"/>
      <c r="V177" s="420"/>
      <c r="W177" s="420"/>
      <c r="X177" s="420"/>
      <c r="Y177" s="420"/>
      <c r="Z177" s="420"/>
      <c r="AA177" s="420"/>
    </row>
    <row r="178" spans="1:27">
      <c r="A178" s="246" t="s">
        <v>759</v>
      </c>
      <c r="B178" s="265">
        <v>41</v>
      </c>
      <c r="C178" s="670" t="s">
        <v>614</v>
      </c>
      <c r="D178" s="246"/>
      <c r="E178" s="266" t="str">
        <f>'Giá VL'!E45</f>
        <v>Xi măng PCB40</v>
      </c>
      <c r="F178" s="265" t="str">
        <f>'Giá VL'!F45</f>
        <v>kg</v>
      </c>
      <c r="G178" s="268"/>
      <c r="H178" s="268"/>
      <c r="I178" s="268"/>
      <c r="J178" s="268">
        <f>SUM(J179:J195)</f>
        <v>425540.55712000001</v>
      </c>
      <c r="K178" s="421">
        <f>'Giá VL'!G45</f>
        <v>1350</v>
      </c>
      <c r="L178" s="421">
        <f>J178*K178</f>
        <v>574479752.11199999</v>
      </c>
      <c r="M178" s="421">
        <f>'Giá VL'!J45</f>
        <v>1600</v>
      </c>
      <c r="N178" s="421">
        <f>J178*M178</f>
        <v>680864891.39199996</v>
      </c>
      <c r="O178" s="540">
        <f>M178-K178</f>
        <v>250</v>
      </c>
      <c r="P178" s="421">
        <f>J178*O178</f>
        <v>106385139.28</v>
      </c>
      <c r="Q178" s="268">
        <v>1</v>
      </c>
      <c r="R178" s="421">
        <f>M178*Q178</f>
        <v>1600</v>
      </c>
      <c r="S178" s="421">
        <f>J178*R178</f>
        <v>680864891.39199996</v>
      </c>
      <c r="T178" s="540">
        <v>0</v>
      </c>
      <c r="U178" s="421">
        <v>0</v>
      </c>
      <c r="V178" s="421">
        <v>84.811529366179897</v>
      </c>
      <c r="W178" s="421">
        <v>37454109.224182598</v>
      </c>
      <c r="X178" s="421">
        <f>'Giá VL'!V45</f>
        <v>1730</v>
      </c>
      <c r="Y178" s="421">
        <f>J178*X178</f>
        <v>736185163.81760001</v>
      </c>
      <c r="Z178" s="540">
        <f>X178-K178</f>
        <v>380</v>
      </c>
      <c r="AA178" s="421">
        <f>J178*Z178</f>
        <v>161705411.70559999</v>
      </c>
    </row>
    <row r="179" spans="1:27" s="410" customFormat="1" ht="41.4">
      <c r="A179" s="413"/>
      <c r="B179" s="414"/>
      <c r="C179" s="413" t="str">
        <f>'5.Tiên lượng'!C46</f>
        <v>AF.15433</v>
      </c>
      <c r="D179" s="413"/>
      <c r="E179" s="415" t="str">
        <f>'5.Tiên lượng'!D46</f>
        <v>Bê tông sản xuất bằng máy trộn và đổ bằng thủ công, bê tông mặt đường dày mặt đường ≤25cm, bê tông M250, đá 2x4, PCB40</v>
      </c>
      <c r="F179" s="414" t="str">
        <f>'5.Tiên lượng'!E46</f>
        <v>m3</v>
      </c>
      <c r="G179" s="419">
        <f>'5.Tiên lượng'!M46</f>
        <v>900.03599999999994</v>
      </c>
      <c r="H179" s="419">
        <f>PTVT!G115</f>
        <v>291.10000000000002</v>
      </c>
      <c r="I179" s="419">
        <f>'5.Tiên lượng'!V46</f>
        <v>1</v>
      </c>
      <c r="J179" s="419">
        <f t="shared" ref="J179:J195" si="23">PRODUCT(G179,H179,I179)</f>
        <v>262000.47959999999</v>
      </c>
      <c r="K179" s="420"/>
      <c r="L179" s="420"/>
      <c r="M179" s="420"/>
      <c r="N179" s="420"/>
      <c r="O179" s="420"/>
      <c r="P179" s="420"/>
      <c r="Q179" s="419"/>
      <c r="R179" s="420"/>
      <c r="S179" s="420"/>
      <c r="T179" s="420"/>
      <c r="U179" s="420"/>
      <c r="V179" s="420"/>
      <c r="W179" s="420"/>
      <c r="X179" s="420"/>
      <c r="Y179" s="420"/>
      <c r="Z179" s="420"/>
      <c r="AA179" s="420"/>
    </row>
    <row r="180" spans="1:27" s="410" customFormat="1" ht="41.4">
      <c r="A180" s="413"/>
      <c r="B180" s="414"/>
      <c r="C180" s="413" t="str">
        <f>'5.Tiên lượng'!C59</f>
        <v>AF.15433</v>
      </c>
      <c r="D180" s="413"/>
      <c r="E180" s="415" t="str">
        <f>'5.Tiên lượng'!D59</f>
        <v>Bê tông sản xuất bằng máy trộn và đổ bằng thủ công, bê tông mặt đường dày mặt đường ≤25cm, bê tông M250, đá 2x4, PCB40</v>
      </c>
      <c r="F180" s="414" t="str">
        <f>'5.Tiên lượng'!E59</f>
        <v>m3</v>
      </c>
      <c r="G180" s="419">
        <f>'5.Tiên lượng'!M59</f>
        <v>12.764000000000001</v>
      </c>
      <c r="H180" s="419">
        <f>PTVT!G172</f>
        <v>291.10000000000002</v>
      </c>
      <c r="I180" s="419">
        <f>'5.Tiên lượng'!V59</f>
        <v>1</v>
      </c>
      <c r="J180" s="419">
        <f t="shared" si="23"/>
        <v>3715.6004000000007</v>
      </c>
      <c r="K180" s="420"/>
      <c r="L180" s="420"/>
      <c r="M180" s="420"/>
      <c r="N180" s="420"/>
      <c r="O180" s="420"/>
      <c r="P180" s="420"/>
      <c r="Q180" s="419"/>
      <c r="R180" s="420"/>
      <c r="S180" s="420"/>
      <c r="T180" s="420"/>
      <c r="U180" s="420"/>
      <c r="V180" s="420"/>
      <c r="W180" s="420"/>
      <c r="X180" s="420"/>
      <c r="Y180" s="420"/>
      <c r="Z180" s="420"/>
      <c r="AA180" s="420"/>
    </row>
    <row r="181" spans="1:27" s="410" customFormat="1" ht="41.4">
      <c r="A181" s="413"/>
      <c r="B181" s="414"/>
      <c r="C181" s="413" t="str">
        <f>'5.Tiên lượng'!C111</f>
        <v>LS.11110(ĐM.1322)</v>
      </c>
      <c r="D181" s="413"/>
      <c r="E181" s="415" t="str">
        <f>'5.Tiên lượng'!D111</f>
        <v>Cào bóc tái sinh nguội tại chỗ bằng máy cào bóc tái sinh WR2400 trên mặt đường láng nhựa, chiều dày 18cm (4% xi măng rải thủ công)</v>
      </c>
      <c r="F181" s="414" t="str">
        <f>'5.Tiên lượng'!E111</f>
        <v>100m3</v>
      </c>
      <c r="G181" s="419">
        <f>'5.Tiên lượng'!M111</f>
        <v>19.253299999999999</v>
      </c>
      <c r="H181" s="419">
        <f>PTVT!G376</f>
        <v>8247</v>
      </c>
      <c r="I181" s="419">
        <f>'5.Tiên lượng'!V111</f>
        <v>0.9</v>
      </c>
      <c r="J181" s="419">
        <f t="shared" si="23"/>
        <v>142903.76858999999</v>
      </c>
      <c r="K181" s="420"/>
      <c r="L181" s="420"/>
      <c r="M181" s="420"/>
      <c r="N181" s="420"/>
      <c r="O181" s="420"/>
      <c r="P181" s="420"/>
      <c r="Q181" s="419"/>
      <c r="R181" s="420"/>
      <c r="S181" s="420"/>
      <c r="T181" s="420"/>
      <c r="U181" s="420"/>
      <c r="V181" s="420"/>
      <c r="W181" s="420"/>
      <c r="X181" s="420"/>
      <c r="Y181" s="420"/>
      <c r="Z181" s="420"/>
      <c r="AA181" s="420"/>
    </row>
    <row r="182" spans="1:27" s="410" customFormat="1" ht="41.4">
      <c r="A182" s="413"/>
      <c r="B182" s="414"/>
      <c r="C182" s="413" t="str">
        <f>'5.Tiên lượng'!C118</f>
        <v>LS.11110(ĐM.1322)</v>
      </c>
      <c r="D182" s="413"/>
      <c r="E182" s="415" t="str">
        <f>'5.Tiên lượng'!D118</f>
        <v>Cào bóc tái sinh nguội tại chỗ bằng máy cào bóc tái sinh WR2400 trên mặt đường láng nhựa, chiều dày 18cm (4% xi măng rải thủ công)</v>
      </c>
      <c r="F182" s="414" t="str">
        <f>'5.Tiên lượng'!E118</f>
        <v>100m3</v>
      </c>
      <c r="G182" s="419">
        <f>'5.Tiên lượng'!M118</f>
        <v>0.2389</v>
      </c>
      <c r="H182" s="419">
        <f>PTVT!G417</f>
        <v>8247</v>
      </c>
      <c r="I182" s="419">
        <f>'5.Tiên lượng'!V118</f>
        <v>0.9</v>
      </c>
      <c r="J182" s="419">
        <f t="shared" si="23"/>
        <v>1773.1874700000001</v>
      </c>
      <c r="K182" s="420"/>
      <c r="L182" s="420"/>
      <c r="M182" s="420"/>
      <c r="N182" s="420"/>
      <c r="O182" s="420"/>
      <c r="P182" s="420"/>
      <c r="Q182" s="419"/>
      <c r="R182" s="420"/>
      <c r="S182" s="420"/>
      <c r="T182" s="420"/>
      <c r="U182" s="420"/>
      <c r="V182" s="420"/>
      <c r="W182" s="420"/>
      <c r="X182" s="420"/>
      <c r="Y182" s="420"/>
      <c r="Z182" s="420"/>
      <c r="AA182" s="420"/>
    </row>
    <row r="183" spans="1:27" s="410" customFormat="1">
      <c r="A183" s="413"/>
      <c r="B183" s="414"/>
      <c r="C183" s="413" t="str">
        <f>'5.Tiên lượng'!C128</f>
        <v>AF.11231</v>
      </c>
      <c r="D183" s="413"/>
      <c r="E183" s="415" t="str">
        <f>'5.Tiên lượng'!D128</f>
        <v>BTXM móng rãnh, M150, đá 2x4, PCB40</v>
      </c>
      <c r="F183" s="414" t="str">
        <f>'5.Tiên lượng'!E128</f>
        <v>m3</v>
      </c>
      <c r="G183" s="419">
        <f>'5.Tiên lượng'!M128</f>
        <v>7.43</v>
      </c>
      <c r="H183" s="419">
        <f>PTVT!G465</f>
        <v>210.125</v>
      </c>
      <c r="I183" s="419">
        <f>'5.Tiên lượng'!V128</f>
        <v>1</v>
      </c>
      <c r="J183" s="419">
        <f t="shared" si="23"/>
        <v>1561.22875</v>
      </c>
      <c r="K183" s="420"/>
      <c r="L183" s="420"/>
      <c r="M183" s="420"/>
      <c r="N183" s="420"/>
      <c r="O183" s="420"/>
      <c r="P183" s="420"/>
      <c r="Q183" s="419"/>
      <c r="R183" s="420"/>
      <c r="S183" s="420"/>
      <c r="T183" s="420"/>
      <c r="U183" s="420"/>
      <c r="V183" s="420"/>
      <c r="W183" s="420"/>
      <c r="X183" s="420"/>
      <c r="Y183" s="420"/>
      <c r="Z183" s="420"/>
      <c r="AA183" s="420"/>
    </row>
    <row r="184" spans="1:27" s="410" customFormat="1" ht="27.6">
      <c r="A184" s="413"/>
      <c r="B184" s="414"/>
      <c r="C184" s="413" t="str">
        <f>'5.Tiên lượng'!C129</f>
        <v>AE.26313</v>
      </c>
      <c r="D184" s="413"/>
      <c r="E184" s="415" t="str">
        <f>'5.Tiên lượng'!D129</f>
        <v>Xây rãnh thoát nước bằng gạch KN 6,5x10,5x22cm, vữa XM M75, PCB40</v>
      </c>
      <c r="F184" s="414" t="str">
        <f>'5.Tiên lượng'!E129</f>
        <v>m3</v>
      </c>
      <c r="G184" s="419">
        <f>'5.Tiên lượng'!M129</f>
        <v>10.43</v>
      </c>
      <c r="H184" s="419">
        <f>PTVT!G478</f>
        <v>87.912000000000006</v>
      </c>
      <c r="I184" s="419">
        <f>'5.Tiên lượng'!V129</f>
        <v>1</v>
      </c>
      <c r="J184" s="419">
        <f t="shared" si="23"/>
        <v>916.92216000000008</v>
      </c>
      <c r="K184" s="420"/>
      <c r="L184" s="420"/>
      <c r="M184" s="420"/>
      <c r="N184" s="420"/>
      <c r="O184" s="420"/>
      <c r="P184" s="420"/>
      <c r="Q184" s="419"/>
      <c r="R184" s="420"/>
      <c r="S184" s="420"/>
      <c r="T184" s="420"/>
      <c r="U184" s="420"/>
      <c r="V184" s="420"/>
      <c r="W184" s="420"/>
      <c r="X184" s="420"/>
      <c r="Y184" s="420"/>
      <c r="Z184" s="420"/>
      <c r="AA184" s="420"/>
    </row>
    <row r="185" spans="1:27" s="410" customFormat="1">
      <c r="A185" s="413"/>
      <c r="B185" s="414"/>
      <c r="C185" s="413" t="str">
        <f>'5.Tiên lượng'!C130</f>
        <v>AK.21113</v>
      </c>
      <c r="D185" s="413"/>
      <c r="E185" s="415" t="str">
        <f>'5.Tiên lượng'!D130</f>
        <v>Trát tường ngoài dày 1cm, vữa XM M75, PCB40</v>
      </c>
      <c r="F185" s="414" t="str">
        <f>'5.Tiên lượng'!E130</f>
        <v>m2</v>
      </c>
      <c r="G185" s="419">
        <f>'5.Tiên lượng'!M130</f>
        <v>47.4</v>
      </c>
      <c r="H185" s="419">
        <f>PTVT!G488</f>
        <v>3.6120000000000001</v>
      </c>
      <c r="I185" s="419">
        <f>'5.Tiên lượng'!V130</f>
        <v>1</v>
      </c>
      <c r="J185" s="419">
        <f t="shared" si="23"/>
        <v>171.2088</v>
      </c>
      <c r="K185" s="420"/>
      <c r="L185" s="420"/>
      <c r="M185" s="420"/>
      <c r="N185" s="420"/>
      <c r="O185" s="420"/>
      <c r="P185" s="420"/>
      <c r="Q185" s="419"/>
      <c r="R185" s="420"/>
      <c r="S185" s="420"/>
      <c r="T185" s="420"/>
      <c r="U185" s="420"/>
      <c r="V185" s="420"/>
      <c r="W185" s="420"/>
      <c r="X185" s="420"/>
      <c r="Y185" s="420"/>
      <c r="Z185" s="420"/>
      <c r="AA185" s="420"/>
    </row>
    <row r="186" spans="1:27" s="410" customFormat="1" ht="41.4">
      <c r="A186" s="413"/>
      <c r="B186" s="414"/>
      <c r="C186" s="413" t="str">
        <f>'5.Tiên lượng'!C132</f>
        <v>AF.14212</v>
      </c>
      <c r="D186" s="413"/>
      <c r="E186" s="415" t="str">
        <f>'5.Tiên lượng'!D132</f>
        <v>Bê tông mũ mố, mũ trụ trên cạn SX bằng máy trộn, đổ bằng thủ công, bê tông M200, đá 1x2, PCB40</v>
      </c>
      <c r="F186" s="414" t="str">
        <f>'5.Tiên lượng'!E132</f>
        <v>m3</v>
      </c>
      <c r="G186" s="419">
        <f>'5.Tiên lượng'!M132</f>
        <v>5.91</v>
      </c>
      <c r="H186" s="419">
        <f>PTVT!G498</f>
        <v>265.47500000000002</v>
      </c>
      <c r="I186" s="419">
        <f>'5.Tiên lượng'!V132</f>
        <v>1</v>
      </c>
      <c r="J186" s="419">
        <f t="shared" si="23"/>
        <v>1568.9572500000002</v>
      </c>
      <c r="K186" s="420"/>
      <c r="L186" s="420"/>
      <c r="M186" s="420"/>
      <c r="N186" s="420"/>
      <c r="O186" s="420"/>
      <c r="P186" s="420"/>
      <c r="Q186" s="419"/>
      <c r="R186" s="420"/>
      <c r="S186" s="420"/>
      <c r="T186" s="420"/>
      <c r="U186" s="420"/>
      <c r="V186" s="420"/>
      <c r="W186" s="420"/>
      <c r="X186" s="420"/>
      <c r="Y186" s="420"/>
      <c r="Z186" s="420"/>
      <c r="AA186" s="420"/>
    </row>
    <row r="187" spans="1:27" s="410" customFormat="1" ht="41.4">
      <c r="A187" s="413"/>
      <c r="B187" s="414"/>
      <c r="C187" s="413" t="str">
        <f>'5.Tiên lượng'!C138</f>
        <v>AG.11413</v>
      </c>
      <c r="D187" s="413"/>
      <c r="E187" s="415" t="str">
        <f>'5.Tiên lượng'!D138</f>
        <v>Bê tông tấm đan, mái hắt, lanh tô, bê tông M250, đá 1x2, PCB40 - Đổ bê tông đúc sẵn bằng thủ công (vữa bê tông sản xuất bằng máy trộn)</v>
      </c>
      <c r="F187" s="414" t="str">
        <f>'5.Tiên lượng'!E138</f>
        <v>m3</v>
      </c>
      <c r="G187" s="419">
        <f>'5.Tiên lượng'!M138</f>
        <v>6.64</v>
      </c>
      <c r="H187" s="419">
        <f>PTVT!G531</f>
        <v>305.51499999999999</v>
      </c>
      <c r="I187" s="419">
        <f>'5.Tiên lượng'!V138</f>
        <v>1</v>
      </c>
      <c r="J187" s="419">
        <f t="shared" si="23"/>
        <v>2028.6195999999998</v>
      </c>
      <c r="K187" s="420"/>
      <c r="L187" s="420"/>
      <c r="M187" s="420"/>
      <c r="N187" s="420"/>
      <c r="O187" s="420"/>
      <c r="P187" s="420"/>
      <c r="Q187" s="419"/>
      <c r="R187" s="420"/>
      <c r="S187" s="420"/>
      <c r="T187" s="420"/>
      <c r="U187" s="420"/>
      <c r="V187" s="420"/>
      <c r="W187" s="420"/>
      <c r="X187" s="420"/>
      <c r="Y187" s="420"/>
      <c r="Z187" s="420"/>
      <c r="AA187" s="420"/>
    </row>
    <row r="188" spans="1:27" s="410" customFormat="1">
      <c r="A188" s="413"/>
      <c r="B188" s="414"/>
      <c r="C188" s="413" t="str">
        <f>'5.Tiên lượng'!C152</f>
        <v>AF.13211</v>
      </c>
      <c r="D188" s="413"/>
      <c r="E188" s="415" t="str">
        <f>'5.Tiên lượng'!D152</f>
        <v>BTXM rãnh dọc, M150, đá 1x2, PCB40</v>
      </c>
      <c r="F188" s="414" t="str">
        <f>'5.Tiên lượng'!E152</f>
        <v>m3</v>
      </c>
      <c r="G188" s="419">
        <f>'5.Tiên lượng'!M152</f>
        <v>3.3</v>
      </c>
      <c r="H188" s="419">
        <f>PTVT!G594</f>
        <v>222.42500000000001</v>
      </c>
      <c r="I188" s="419">
        <f>'5.Tiên lượng'!V152</f>
        <v>1</v>
      </c>
      <c r="J188" s="419">
        <f t="shared" si="23"/>
        <v>734.00250000000005</v>
      </c>
      <c r="K188" s="420"/>
      <c r="L188" s="420"/>
      <c r="M188" s="420"/>
      <c r="N188" s="420"/>
      <c r="O188" s="420"/>
      <c r="P188" s="420"/>
      <c r="Q188" s="419"/>
      <c r="R188" s="420"/>
      <c r="S188" s="420"/>
      <c r="T188" s="420"/>
      <c r="U188" s="420"/>
      <c r="V188" s="420"/>
      <c r="W188" s="420"/>
      <c r="X188" s="420"/>
      <c r="Y188" s="420"/>
      <c r="Z188" s="420"/>
      <c r="AA188" s="420"/>
    </row>
    <row r="189" spans="1:27" s="410" customFormat="1" ht="27.6">
      <c r="A189" s="413"/>
      <c r="B189" s="414"/>
      <c r="C189" s="413" t="str">
        <f>'5.Tiên lượng'!C163</f>
        <v>AE.11114</v>
      </c>
      <c r="D189" s="413"/>
      <c r="E189" s="415" t="str">
        <f>'5.Tiên lượng'!D163</f>
        <v>Khối xây bó nền bằng đá hộc - Chiều dày ≤60cm, vữa XM M100, PCB40</v>
      </c>
      <c r="F189" s="414" t="str">
        <f>'5.Tiên lượng'!E163</f>
        <v>m3</v>
      </c>
      <c r="G189" s="419">
        <f>'5.Tiên lượng'!M163</f>
        <v>3.6</v>
      </c>
      <c r="H189" s="419">
        <f>PTVT!G637</f>
        <v>131.04</v>
      </c>
      <c r="I189" s="419">
        <f>'5.Tiên lượng'!V163</f>
        <v>1</v>
      </c>
      <c r="J189" s="419">
        <f t="shared" si="23"/>
        <v>471.74399999999997</v>
      </c>
      <c r="K189" s="420"/>
      <c r="L189" s="420"/>
      <c r="M189" s="420"/>
      <c r="N189" s="420"/>
      <c r="O189" s="420"/>
      <c r="P189" s="420"/>
      <c r="Q189" s="419"/>
      <c r="R189" s="420"/>
      <c r="S189" s="420"/>
      <c r="T189" s="420"/>
      <c r="U189" s="420"/>
      <c r="V189" s="420"/>
      <c r="W189" s="420"/>
      <c r="X189" s="420"/>
      <c r="Y189" s="420"/>
      <c r="Z189" s="420"/>
      <c r="AA189" s="420"/>
    </row>
    <row r="190" spans="1:27" s="410" customFormat="1">
      <c r="A190" s="413"/>
      <c r="B190" s="414"/>
      <c r="C190" s="413" t="str">
        <f>'5.Tiên lượng'!C178</f>
        <v>AE.12314</v>
      </c>
      <c r="D190" s="413"/>
      <c r="E190" s="415" t="str">
        <f>'5.Tiên lượng'!D178</f>
        <v>Xây cống, vữa XM M100, PCB40</v>
      </c>
      <c r="F190" s="414" t="str">
        <f>'5.Tiên lượng'!E178</f>
        <v>m3</v>
      </c>
      <c r="G190" s="419">
        <f>'5.Tiên lượng'!M178</f>
        <v>41.57</v>
      </c>
      <c r="H190" s="419">
        <f>PTVT!G677</f>
        <v>131.04</v>
      </c>
      <c r="I190" s="419">
        <f>'5.Tiên lượng'!V178</f>
        <v>1</v>
      </c>
      <c r="J190" s="419">
        <f t="shared" si="23"/>
        <v>5447.3328000000001</v>
      </c>
      <c r="K190" s="420"/>
      <c r="L190" s="420"/>
      <c r="M190" s="420"/>
      <c r="N190" s="420"/>
      <c r="O190" s="420"/>
      <c r="P190" s="420"/>
      <c r="Q190" s="419"/>
      <c r="R190" s="420"/>
      <c r="S190" s="420"/>
      <c r="T190" s="420"/>
      <c r="U190" s="420"/>
      <c r="V190" s="420"/>
      <c r="W190" s="420"/>
      <c r="X190" s="420"/>
      <c r="Y190" s="420"/>
      <c r="Z190" s="420"/>
      <c r="AA190" s="420"/>
    </row>
    <row r="191" spans="1:27" s="410" customFormat="1" ht="27.6">
      <c r="A191" s="413"/>
      <c r="B191" s="414"/>
      <c r="C191" s="413" t="str">
        <f>'5.Tiên lượng'!C192</f>
        <v>AF.12151</v>
      </c>
      <c r="D191" s="413"/>
      <c r="E191" s="415" t="str">
        <f>'5.Tiên lượng'!D192</f>
        <v>BTXM đầu cống - Chiều dày ≤45cm, chiều cao ≤6m, M150, đá 2x4, PCB40</v>
      </c>
      <c r="F191" s="414" t="str">
        <f>'5.Tiên lượng'!E192</f>
        <v>m3</v>
      </c>
      <c r="G191" s="419">
        <f>'5.Tiên lượng'!M192</f>
        <v>2.29</v>
      </c>
      <c r="H191" s="419">
        <f>PTVT!G770</f>
        <v>210.125</v>
      </c>
      <c r="I191" s="419">
        <f>'5.Tiên lượng'!V192</f>
        <v>1</v>
      </c>
      <c r="J191" s="419">
        <f t="shared" si="23"/>
        <v>481.18625000000003</v>
      </c>
      <c r="K191" s="420"/>
      <c r="L191" s="420"/>
      <c r="M191" s="420"/>
      <c r="N191" s="420"/>
      <c r="O191" s="420"/>
      <c r="P191" s="420"/>
      <c r="Q191" s="419"/>
      <c r="R191" s="420"/>
      <c r="S191" s="420"/>
      <c r="T191" s="420"/>
      <c r="U191" s="420"/>
      <c r="V191" s="420"/>
      <c r="W191" s="420"/>
      <c r="X191" s="420"/>
      <c r="Y191" s="420"/>
      <c r="Z191" s="420"/>
      <c r="AA191" s="420"/>
    </row>
    <row r="192" spans="1:27" s="410" customFormat="1" ht="27.6">
      <c r="A192" s="413"/>
      <c r="B192" s="414"/>
      <c r="C192" s="413" t="str">
        <f>'5.Tiên lượng'!C193</f>
        <v>AF.12152</v>
      </c>
      <c r="D192" s="413"/>
      <c r="E192" s="415" t="str">
        <f>'5.Tiên lượng'!D193</f>
        <v>BTXM thân cống - Chiều dày ≤45cm, chiều cao ≤6m, M200, đá 2x4, PCB40</v>
      </c>
      <c r="F192" s="414" t="str">
        <f>'5.Tiên lượng'!E193</f>
        <v>m3</v>
      </c>
      <c r="G192" s="419">
        <f>'5.Tiên lượng'!M193</f>
        <v>1.0900000000000001</v>
      </c>
      <c r="H192" s="419">
        <f>PTVT!G782</f>
        <v>250.1</v>
      </c>
      <c r="I192" s="419">
        <f>'5.Tiên lượng'!V193</f>
        <v>1</v>
      </c>
      <c r="J192" s="419">
        <f t="shared" si="23"/>
        <v>272.60900000000004</v>
      </c>
      <c r="K192" s="420"/>
      <c r="L192" s="420"/>
      <c r="M192" s="420"/>
      <c r="N192" s="420"/>
      <c r="O192" s="420"/>
      <c r="P192" s="420"/>
      <c r="Q192" s="419"/>
      <c r="R192" s="420"/>
      <c r="S192" s="420"/>
      <c r="T192" s="420"/>
      <c r="U192" s="420"/>
      <c r="V192" s="420"/>
      <c r="W192" s="420"/>
      <c r="X192" s="420"/>
      <c r="Y192" s="420"/>
      <c r="Z192" s="420"/>
      <c r="AA192" s="420"/>
    </row>
    <row r="193" spans="1:27" s="410" customFormat="1">
      <c r="A193" s="413"/>
      <c r="B193" s="414"/>
      <c r="C193" s="413" t="str">
        <f>'5.Tiên lượng'!C194</f>
        <v>AF.11231</v>
      </c>
      <c r="D193" s="413"/>
      <c r="E193" s="415" t="str">
        <f>'5.Tiên lượng'!D194</f>
        <v>BTXM móng cống, M150, đá 2x4, PCB40</v>
      </c>
      <c r="F193" s="414" t="str">
        <f>'5.Tiên lượng'!E194</f>
        <v>m3</v>
      </c>
      <c r="G193" s="419">
        <f>'5.Tiên lượng'!M194</f>
        <v>4.38</v>
      </c>
      <c r="H193" s="419">
        <f>PTVT!G794</f>
        <v>210.125</v>
      </c>
      <c r="I193" s="419">
        <f>'5.Tiên lượng'!V194</f>
        <v>1</v>
      </c>
      <c r="J193" s="419">
        <f t="shared" si="23"/>
        <v>920.34749999999997</v>
      </c>
      <c r="K193" s="420"/>
      <c r="L193" s="420"/>
      <c r="M193" s="420"/>
      <c r="N193" s="420"/>
      <c r="O193" s="420"/>
      <c r="P193" s="420"/>
      <c r="Q193" s="419"/>
      <c r="R193" s="420"/>
      <c r="S193" s="420"/>
      <c r="T193" s="420"/>
      <c r="U193" s="420"/>
      <c r="V193" s="420"/>
      <c r="W193" s="420"/>
      <c r="X193" s="420"/>
      <c r="Y193" s="420"/>
      <c r="Z193" s="420"/>
      <c r="AA193" s="420"/>
    </row>
    <row r="194" spans="1:27" s="410" customFormat="1" ht="41.4">
      <c r="A194" s="413"/>
      <c r="B194" s="414"/>
      <c r="C194" s="413" t="str">
        <f>'5.Tiên lượng'!C195</f>
        <v>AG.11413</v>
      </c>
      <c r="D194" s="413"/>
      <c r="E194" s="415" t="str">
        <f>'5.Tiên lượng'!D195</f>
        <v>BTCT tấm bản mặt, M250, đá 1x2, PCB40 - Đổ bê tông đúc sẵn bằng thủ công (vữa bê tông sản xuất bằng máy trộn)</v>
      </c>
      <c r="F194" s="414" t="str">
        <f>'5.Tiên lượng'!E195</f>
        <v>m3</v>
      </c>
      <c r="G194" s="419">
        <f>'5.Tiên lượng'!M195</f>
        <v>1.23</v>
      </c>
      <c r="H194" s="419">
        <f>PTVT!G806</f>
        <v>305.51499999999999</v>
      </c>
      <c r="I194" s="419">
        <f>'5.Tiên lượng'!V195</f>
        <v>1</v>
      </c>
      <c r="J194" s="419">
        <f t="shared" si="23"/>
        <v>375.78344999999996</v>
      </c>
      <c r="K194" s="420"/>
      <c r="L194" s="420"/>
      <c r="M194" s="420"/>
      <c r="N194" s="420"/>
      <c r="O194" s="420"/>
      <c r="P194" s="420"/>
      <c r="Q194" s="419"/>
      <c r="R194" s="420"/>
      <c r="S194" s="420"/>
      <c r="T194" s="420"/>
      <c r="U194" s="420"/>
      <c r="V194" s="420"/>
      <c r="W194" s="420"/>
      <c r="X194" s="420"/>
      <c r="Y194" s="420"/>
      <c r="Z194" s="420"/>
      <c r="AA194" s="420"/>
    </row>
    <row r="195" spans="1:27" s="410" customFormat="1">
      <c r="A195" s="413"/>
      <c r="B195" s="414"/>
      <c r="C195" s="413" t="str">
        <f>'5.Tiên lượng'!C197</f>
        <v>AF.14232</v>
      </c>
      <c r="D195" s="413"/>
      <c r="E195" s="415" t="str">
        <f>'5.Tiên lượng'!D197</f>
        <v>BTCT mũ mố, M200, đá 2x4, PCB40</v>
      </c>
      <c r="F195" s="414" t="str">
        <f>'5.Tiên lượng'!E197</f>
        <v>m3</v>
      </c>
      <c r="G195" s="419">
        <f>'5.Tiên lượng'!M197</f>
        <v>0.79</v>
      </c>
      <c r="H195" s="419">
        <f>PTVT!G822</f>
        <v>250.1</v>
      </c>
      <c r="I195" s="419">
        <f>'5.Tiên lượng'!V197</f>
        <v>1</v>
      </c>
      <c r="J195" s="419">
        <f t="shared" si="23"/>
        <v>197.57900000000001</v>
      </c>
      <c r="K195" s="420"/>
      <c r="L195" s="420"/>
      <c r="M195" s="420"/>
      <c r="N195" s="420"/>
      <c r="O195" s="420"/>
      <c r="P195" s="420"/>
      <c r="Q195" s="419"/>
      <c r="R195" s="420"/>
      <c r="S195" s="420"/>
      <c r="T195" s="420"/>
      <c r="U195" s="420"/>
      <c r="V195" s="420"/>
      <c r="W195" s="420"/>
      <c r="X195" s="420"/>
      <c r="Y195" s="420"/>
      <c r="Z195" s="420"/>
      <c r="AA195" s="420"/>
    </row>
    <row r="196" spans="1:27">
      <c r="A196" s="246" t="s">
        <v>759</v>
      </c>
      <c r="B196" s="265">
        <v>42</v>
      </c>
      <c r="C196" s="670" t="s">
        <v>648</v>
      </c>
      <c r="D196" s="246"/>
      <c r="E196" s="266" t="str">
        <f>'Giá VL'!E46</f>
        <v>Đá 4,75÷9,5 (mm)</v>
      </c>
      <c r="F196" s="265" t="str">
        <f>'Giá VL'!F46</f>
        <v>m3</v>
      </c>
      <c r="G196" s="268"/>
      <c r="H196" s="268"/>
      <c r="I196" s="268"/>
      <c r="J196" s="268">
        <f>SUM(J197:J198)</f>
        <v>72.554232999999996</v>
      </c>
      <c r="K196" s="421">
        <f>'Giá VL'!G46</f>
        <v>135000</v>
      </c>
      <c r="L196" s="421">
        <f>J196*K196</f>
        <v>9794821.4550000001</v>
      </c>
      <c r="M196" s="421">
        <f>'Giá VL'!J46</f>
        <v>210000</v>
      </c>
      <c r="N196" s="421">
        <f>J196*M196</f>
        <v>15236388.93</v>
      </c>
      <c r="O196" s="540">
        <f>M196-K196</f>
        <v>75000</v>
      </c>
      <c r="P196" s="421">
        <f>J196*O196</f>
        <v>5441567.4749999996</v>
      </c>
      <c r="Q196" s="268">
        <v>1</v>
      </c>
      <c r="R196" s="421">
        <f>M196*Q196</f>
        <v>210000</v>
      </c>
      <c r="S196" s="421">
        <f>J196*R196</f>
        <v>15236388.93</v>
      </c>
      <c r="T196" s="540">
        <v>0</v>
      </c>
      <c r="U196" s="421">
        <v>0</v>
      </c>
      <c r="V196" s="421">
        <v>70458.054755870995</v>
      </c>
      <c r="W196" s="421">
        <v>5112030.12148422</v>
      </c>
      <c r="X196" s="421">
        <f>'Giá VL'!V46</f>
        <v>280458.0547558713</v>
      </c>
      <c r="Y196" s="421">
        <f>J196*X196</f>
        <v>20348419.051484242</v>
      </c>
      <c r="Z196" s="421">
        <f>X196-K196</f>
        <v>145458.0547558713</v>
      </c>
      <c r="AA196" s="421">
        <f>J196*Z196</f>
        <v>10553597.596484244</v>
      </c>
    </row>
    <row r="197" spans="1:27" s="410" customFormat="1" ht="27.6">
      <c r="A197" s="413"/>
      <c r="B197" s="414"/>
      <c r="C197" s="413" t="str">
        <f>'5.Tiên lượng'!C115</f>
        <v>AD.24132</v>
      </c>
      <c r="D197" s="413"/>
      <c r="E197" s="415" t="str">
        <f>'5.Tiên lượng'!D115</f>
        <v>Thi công mặt đường láng nhũ tương 03 lớp - Tiêu chuẩn nhựa 4,5kg/m2</v>
      </c>
      <c r="F197" s="414" t="str">
        <f>'5.Tiên lượng'!E115</f>
        <v>100m2</v>
      </c>
      <c r="G197" s="419">
        <f>'5.Tiên lượng'!M115</f>
        <v>106.9627</v>
      </c>
      <c r="H197" s="419">
        <f>PTVT!G404</f>
        <v>0.67</v>
      </c>
      <c r="I197" s="419">
        <f>'5.Tiên lượng'!V115</f>
        <v>1</v>
      </c>
      <c r="J197" s="419">
        <f t="shared" ref="J197:J198" si="24">PRODUCT(G197,H197,I197)</f>
        <v>71.665008999999998</v>
      </c>
      <c r="K197" s="420"/>
      <c r="L197" s="420"/>
      <c r="M197" s="420"/>
      <c r="N197" s="420"/>
      <c r="O197" s="420"/>
      <c r="P197" s="420"/>
      <c r="Q197" s="419"/>
      <c r="R197" s="420"/>
      <c r="S197" s="420"/>
      <c r="T197" s="420"/>
      <c r="U197" s="420"/>
      <c r="V197" s="420"/>
      <c r="W197" s="420"/>
      <c r="X197" s="420"/>
      <c r="Y197" s="420"/>
      <c r="Z197" s="420"/>
      <c r="AA197" s="420"/>
    </row>
    <row r="198" spans="1:27" s="410" customFormat="1" ht="27.6">
      <c r="A198" s="413"/>
      <c r="B198" s="414"/>
      <c r="C198" s="413" t="str">
        <f>'5.Tiên lượng'!C122</f>
        <v>AD.24132</v>
      </c>
      <c r="D198" s="413"/>
      <c r="E198" s="415" t="str">
        <f>'5.Tiên lượng'!D122</f>
        <v>Thi công mặt đường láng nhũ tương 03 lớp - Tiêu chuẩn nhựa 4,5kg/m2</v>
      </c>
      <c r="F198" s="414" t="str">
        <f>'5.Tiên lượng'!E122</f>
        <v>100m2</v>
      </c>
      <c r="G198" s="419">
        <f>'5.Tiên lượng'!M122</f>
        <v>1.3271999999999999</v>
      </c>
      <c r="H198" s="419">
        <f>PTVT!G445</f>
        <v>0.67</v>
      </c>
      <c r="I198" s="419">
        <f>'5.Tiên lượng'!V122</f>
        <v>1</v>
      </c>
      <c r="J198" s="419">
        <f t="shared" si="24"/>
        <v>0.88922400000000001</v>
      </c>
      <c r="K198" s="420"/>
      <c r="L198" s="420"/>
      <c r="M198" s="420"/>
      <c r="N198" s="420"/>
      <c r="O198" s="420"/>
      <c r="P198" s="420"/>
      <c r="Q198" s="419"/>
      <c r="R198" s="420"/>
      <c r="S198" s="420"/>
      <c r="T198" s="420"/>
      <c r="U198" s="420"/>
      <c r="V198" s="420"/>
      <c r="W198" s="420"/>
      <c r="X198" s="420"/>
      <c r="Y198" s="420"/>
      <c r="Z198" s="420"/>
      <c r="AA198" s="420"/>
    </row>
    <row r="199" spans="1:27">
      <c r="A199" s="246" t="s">
        <v>759</v>
      </c>
      <c r="B199" s="265">
        <v>43</v>
      </c>
      <c r="C199" s="670" t="s">
        <v>649</v>
      </c>
      <c r="D199" s="246"/>
      <c r="E199" s="266" t="str">
        <f>'Giá VL'!E47</f>
        <v>Đá 9,5÷12,5 (mm)</v>
      </c>
      <c r="F199" s="265" t="str">
        <f>'Giá VL'!F47</f>
        <v>m3</v>
      </c>
      <c r="G199" s="268"/>
      <c r="H199" s="268"/>
      <c r="I199" s="268"/>
      <c r="J199" s="268">
        <f>SUM(J200:J201)</f>
        <v>131.030779</v>
      </c>
      <c r="K199" s="421">
        <f>'Giá VL'!G47</f>
        <v>160000</v>
      </c>
      <c r="L199" s="421">
        <f>J199*K199</f>
        <v>20964924.640000001</v>
      </c>
      <c r="M199" s="421">
        <f>'Giá VL'!J47</f>
        <v>210000</v>
      </c>
      <c r="N199" s="421">
        <f>J199*M199</f>
        <v>27516463.59</v>
      </c>
      <c r="O199" s="540">
        <f>M199-K199</f>
        <v>50000</v>
      </c>
      <c r="P199" s="421">
        <f>J199*O199</f>
        <v>6551538.9500000002</v>
      </c>
      <c r="Q199" s="268">
        <v>1</v>
      </c>
      <c r="R199" s="421">
        <f>M199*Q199</f>
        <v>210000</v>
      </c>
      <c r="S199" s="421">
        <f>J199*R199</f>
        <v>27516463.59</v>
      </c>
      <c r="T199" s="540">
        <v>0</v>
      </c>
      <c r="U199" s="421">
        <v>0</v>
      </c>
      <c r="V199" s="421">
        <v>70458.054755870995</v>
      </c>
      <c r="W199" s="421">
        <v>9232173.8014864307</v>
      </c>
      <c r="X199" s="421">
        <f>'Giá VL'!V47</f>
        <v>280458.0547558713</v>
      </c>
      <c r="Y199" s="421">
        <f>J199*X199</f>
        <v>36748637.391486473</v>
      </c>
      <c r="Z199" s="421">
        <f>X199-K199</f>
        <v>120458.0547558713</v>
      </c>
      <c r="AA199" s="421">
        <f>J199*Z199</f>
        <v>15783712.751486471</v>
      </c>
    </row>
    <row r="200" spans="1:27" s="410" customFormat="1" ht="27.6">
      <c r="A200" s="413"/>
      <c r="B200" s="414"/>
      <c r="C200" s="413" t="str">
        <f>'5.Tiên lượng'!C115</f>
        <v>AD.24132</v>
      </c>
      <c r="D200" s="413"/>
      <c r="E200" s="415" t="str">
        <f>'5.Tiên lượng'!D115</f>
        <v>Thi công mặt đường láng nhũ tương 03 lớp - Tiêu chuẩn nhựa 4,5kg/m2</v>
      </c>
      <c r="F200" s="414" t="str">
        <f>'5.Tiên lượng'!E115</f>
        <v>100m2</v>
      </c>
      <c r="G200" s="419">
        <f>'5.Tiên lượng'!M115</f>
        <v>106.9627</v>
      </c>
      <c r="H200" s="419">
        <f>PTVT!G405</f>
        <v>1.21</v>
      </c>
      <c r="I200" s="419">
        <f>'5.Tiên lượng'!V115</f>
        <v>1</v>
      </c>
      <c r="J200" s="419">
        <f t="shared" ref="J200:J201" si="25">PRODUCT(G200,H200,I200)</f>
        <v>129.42486700000001</v>
      </c>
      <c r="K200" s="420"/>
      <c r="L200" s="420"/>
      <c r="M200" s="420"/>
      <c r="N200" s="420"/>
      <c r="O200" s="420"/>
      <c r="P200" s="420"/>
      <c r="Q200" s="419"/>
      <c r="R200" s="420"/>
      <c r="S200" s="420"/>
      <c r="T200" s="420"/>
      <c r="U200" s="420"/>
      <c r="V200" s="420"/>
      <c r="W200" s="420"/>
      <c r="X200" s="420"/>
      <c r="Y200" s="420"/>
      <c r="Z200" s="420"/>
      <c r="AA200" s="420"/>
    </row>
    <row r="201" spans="1:27" s="410" customFormat="1" ht="27.6">
      <c r="A201" s="413"/>
      <c r="B201" s="414"/>
      <c r="C201" s="413" t="str">
        <f>'5.Tiên lượng'!C122</f>
        <v>AD.24132</v>
      </c>
      <c r="D201" s="413"/>
      <c r="E201" s="415" t="str">
        <f>'5.Tiên lượng'!D122</f>
        <v>Thi công mặt đường láng nhũ tương 03 lớp - Tiêu chuẩn nhựa 4,5kg/m2</v>
      </c>
      <c r="F201" s="414" t="str">
        <f>'5.Tiên lượng'!E122</f>
        <v>100m2</v>
      </c>
      <c r="G201" s="419">
        <f>'5.Tiên lượng'!M122</f>
        <v>1.3271999999999999</v>
      </c>
      <c r="H201" s="419">
        <f>PTVT!G446</f>
        <v>1.21</v>
      </c>
      <c r="I201" s="419">
        <f>'5.Tiên lượng'!V122</f>
        <v>1</v>
      </c>
      <c r="J201" s="419">
        <f t="shared" si="25"/>
        <v>1.6059119999999998</v>
      </c>
      <c r="K201" s="420"/>
      <c r="L201" s="420"/>
      <c r="M201" s="420"/>
      <c r="N201" s="420"/>
      <c r="O201" s="420"/>
      <c r="P201" s="420"/>
      <c r="Q201" s="419"/>
      <c r="R201" s="420"/>
      <c r="S201" s="420"/>
      <c r="T201" s="420"/>
      <c r="U201" s="420"/>
      <c r="V201" s="420"/>
      <c r="W201" s="420"/>
      <c r="X201" s="420"/>
      <c r="Y201" s="420"/>
      <c r="Z201" s="420"/>
      <c r="AA201" s="420"/>
    </row>
    <row r="202" spans="1:27">
      <c r="A202" s="246" t="s">
        <v>759</v>
      </c>
      <c r="B202" s="265">
        <v>44</v>
      </c>
      <c r="C202" s="670" t="s">
        <v>650</v>
      </c>
      <c r="D202" s="246"/>
      <c r="E202" s="266" t="str">
        <f>'Giá VL'!E48</f>
        <v>Đá 12,5÷19 (mm)</v>
      </c>
      <c r="F202" s="265" t="str">
        <f>'Giá VL'!F48</f>
        <v>m3</v>
      </c>
      <c r="G202" s="268"/>
      <c r="H202" s="268"/>
      <c r="I202" s="268"/>
      <c r="J202" s="268">
        <f>SUM(J203:J204)</f>
        <v>217.66269899999998</v>
      </c>
      <c r="K202" s="421">
        <f>'Giá VL'!G48</f>
        <v>160000</v>
      </c>
      <c r="L202" s="421">
        <f>J202*K202</f>
        <v>34826031.839999996</v>
      </c>
      <c r="M202" s="421">
        <f>'Giá VL'!J48</f>
        <v>210000</v>
      </c>
      <c r="N202" s="421">
        <f>J202*M202</f>
        <v>45709166.789999992</v>
      </c>
      <c r="O202" s="540">
        <f>M202-K202</f>
        <v>50000</v>
      </c>
      <c r="P202" s="421">
        <f>J202*O202</f>
        <v>10883134.949999999</v>
      </c>
      <c r="Q202" s="268">
        <v>1</v>
      </c>
      <c r="R202" s="421">
        <f>M202*Q202</f>
        <v>210000</v>
      </c>
      <c r="S202" s="421">
        <f>J202*R202</f>
        <v>45709166.789999992</v>
      </c>
      <c r="T202" s="540">
        <v>0</v>
      </c>
      <c r="U202" s="421">
        <v>0</v>
      </c>
      <c r="V202" s="421">
        <v>70458.054755870995</v>
      </c>
      <c r="W202" s="421">
        <v>15336090.364452699</v>
      </c>
      <c r="X202" s="421">
        <f>'Giá VL'!V48</f>
        <v>280458.0547558713</v>
      </c>
      <c r="Y202" s="421">
        <f>J202*X202</f>
        <v>61045257.154452726</v>
      </c>
      <c r="Z202" s="421">
        <f>X202-K202</f>
        <v>120458.0547558713</v>
      </c>
      <c r="AA202" s="421">
        <f>J202*Z202</f>
        <v>26219225.31445273</v>
      </c>
    </row>
    <row r="203" spans="1:27" s="410" customFormat="1" ht="27.6">
      <c r="A203" s="413"/>
      <c r="B203" s="414"/>
      <c r="C203" s="413" t="str">
        <f>'5.Tiên lượng'!C115</f>
        <v>AD.24132</v>
      </c>
      <c r="D203" s="413"/>
      <c r="E203" s="415" t="str">
        <f>'5.Tiên lượng'!D115</f>
        <v>Thi công mặt đường láng nhũ tương 03 lớp - Tiêu chuẩn nhựa 4,5kg/m2</v>
      </c>
      <c r="F203" s="414" t="str">
        <f>'5.Tiên lượng'!E115</f>
        <v>100m2</v>
      </c>
      <c r="G203" s="419">
        <f>'5.Tiên lượng'!M115</f>
        <v>106.9627</v>
      </c>
      <c r="H203" s="419">
        <f>PTVT!G406</f>
        <v>2.0099999999999998</v>
      </c>
      <c r="I203" s="419">
        <f>'5.Tiên lượng'!V115</f>
        <v>1</v>
      </c>
      <c r="J203" s="419">
        <f t="shared" ref="J203:J204" si="26">PRODUCT(G203,H203,I203)</f>
        <v>214.99502699999996</v>
      </c>
      <c r="K203" s="420"/>
      <c r="L203" s="420"/>
      <c r="M203" s="420"/>
      <c r="N203" s="420"/>
      <c r="O203" s="420"/>
      <c r="P203" s="420"/>
      <c r="Q203" s="419"/>
      <c r="R203" s="420"/>
      <c r="S203" s="420"/>
      <c r="T203" s="420"/>
      <c r="U203" s="420"/>
      <c r="V203" s="420"/>
      <c r="W203" s="420"/>
      <c r="X203" s="420"/>
      <c r="Y203" s="420"/>
      <c r="Z203" s="420"/>
      <c r="AA203" s="420"/>
    </row>
    <row r="204" spans="1:27" s="410" customFormat="1" ht="27.6">
      <c r="A204" s="413"/>
      <c r="B204" s="414"/>
      <c r="C204" s="413" t="str">
        <f>'5.Tiên lượng'!C122</f>
        <v>AD.24132</v>
      </c>
      <c r="D204" s="413"/>
      <c r="E204" s="415" t="str">
        <f>'5.Tiên lượng'!D122</f>
        <v>Thi công mặt đường láng nhũ tương 03 lớp - Tiêu chuẩn nhựa 4,5kg/m2</v>
      </c>
      <c r="F204" s="414" t="str">
        <f>'5.Tiên lượng'!E122</f>
        <v>100m2</v>
      </c>
      <c r="G204" s="419">
        <f>'5.Tiên lượng'!M122</f>
        <v>1.3271999999999999</v>
      </c>
      <c r="H204" s="419">
        <f>PTVT!G447</f>
        <v>2.0099999999999998</v>
      </c>
      <c r="I204" s="419">
        <f>'5.Tiên lượng'!V122</f>
        <v>1</v>
      </c>
      <c r="J204" s="419">
        <f t="shared" si="26"/>
        <v>2.6676719999999996</v>
      </c>
      <c r="K204" s="420"/>
      <c r="L204" s="420"/>
      <c r="M204" s="420"/>
      <c r="N204" s="420"/>
      <c r="O204" s="420"/>
      <c r="P204" s="420"/>
      <c r="Q204" s="419"/>
      <c r="R204" s="420"/>
      <c r="S204" s="420"/>
      <c r="T204" s="420"/>
      <c r="U204" s="420"/>
      <c r="V204" s="420"/>
      <c r="W204" s="420"/>
      <c r="X204" s="420"/>
      <c r="Y204" s="420"/>
      <c r="Z204" s="420"/>
      <c r="AA204" s="420"/>
    </row>
    <row r="205" spans="1:27">
      <c r="A205" s="246" t="s">
        <v>759</v>
      </c>
      <c r="B205" s="265">
        <v>45</v>
      </c>
      <c r="C205" s="670" t="s">
        <v>655</v>
      </c>
      <c r="D205" s="246"/>
      <c r="E205" s="266" t="str">
        <f>'Giá VL'!E49</f>
        <v>Gạch đất sét nung 6,5 x 10,5 x 22cm</v>
      </c>
      <c r="F205" s="265" t="str">
        <f>'Giá VL'!F49</f>
        <v>viên</v>
      </c>
      <c r="G205" s="268"/>
      <c r="H205" s="268"/>
      <c r="I205" s="268"/>
      <c r="J205" s="268">
        <f>SUM(J206:J206)</f>
        <v>5736.5</v>
      </c>
      <c r="K205" s="421">
        <f>'Giá VL'!G49</f>
        <v>1150</v>
      </c>
      <c r="L205" s="421">
        <f>J205*K205</f>
        <v>6596975</v>
      </c>
      <c r="M205" s="421">
        <f>'Giá VL'!J49</f>
        <v>1150</v>
      </c>
      <c r="N205" s="421">
        <f>J205*M205</f>
        <v>6596975</v>
      </c>
      <c r="O205" s="540">
        <f>M205-K205</f>
        <v>0</v>
      </c>
      <c r="P205" s="421">
        <f>J205*O205</f>
        <v>0</v>
      </c>
      <c r="Q205" s="268">
        <v>1</v>
      </c>
      <c r="R205" s="421">
        <f>M205*Q205</f>
        <v>1150</v>
      </c>
      <c r="S205" s="421">
        <f>J205*R205</f>
        <v>6596975</v>
      </c>
      <c r="T205" s="540">
        <v>0</v>
      </c>
      <c r="U205" s="421">
        <v>0</v>
      </c>
      <c r="V205" s="421">
        <v>356.57737881117998</v>
      </c>
      <c r="W205" s="421">
        <v>2045506.1335503301</v>
      </c>
      <c r="X205" s="421">
        <f>'Giá VL'!V49</f>
        <v>1506.5773788111758</v>
      </c>
      <c r="Y205" s="421">
        <f>J205*X205</f>
        <v>8642481.1335503105</v>
      </c>
      <c r="Z205" s="540">
        <f>X205-K205</f>
        <v>356.57737881117578</v>
      </c>
      <c r="AA205" s="421">
        <f>J205*Z205</f>
        <v>2045506.1335503098</v>
      </c>
    </row>
    <row r="206" spans="1:27" s="410" customFormat="1" ht="27.6">
      <c r="A206" s="413"/>
      <c r="B206" s="414"/>
      <c r="C206" s="413" t="str">
        <f>'5.Tiên lượng'!C129</f>
        <v>AE.26313</v>
      </c>
      <c r="D206" s="413"/>
      <c r="E206" s="415" t="str">
        <f>'5.Tiên lượng'!D129</f>
        <v>Xây rãnh thoát nước bằng gạch KN 6,5x10,5x22cm, vữa XM M75, PCB40</v>
      </c>
      <c r="F206" s="414" t="str">
        <f>'5.Tiên lượng'!E129</f>
        <v>m3</v>
      </c>
      <c r="G206" s="419">
        <f>'5.Tiên lượng'!M129</f>
        <v>10.43</v>
      </c>
      <c r="H206" s="419">
        <f>PTVT!G477</f>
        <v>550</v>
      </c>
      <c r="I206" s="419">
        <f>'5.Tiên lượng'!V129</f>
        <v>1</v>
      </c>
      <c r="J206" s="419">
        <f>PRODUCT(G206,H206,I206)</f>
        <v>5736.5</v>
      </c>
      <c r="K206" s="420"/>
      <c r="L206" s="420"/>
      <c r="M206" s="420"/>
      <c r="N206" s="420"/>
      <c r="O206" s="420"/>
      <c r="P206" s="420"/>
      <c r="Q206" s="419"/>
      <c r="R206" s="420"/>
      <c r="S206" s="420"/>
      <c r="T206" s="420"/>
      <c r="U206" s="420"/>
      <c r="V206" s="420"/>
      <c r="W206" s="420"/>
      <c r="X206" s="420"/>
      <c r="Y206" s="420"/>
      <c r="Z206" s="420"/>
      <c r="AA206" s="420"/>
    </row>
    <row r="207" spans="1:27">
      <c r="A207" s="246" t="s">
        <v>759</v>
      </c>
      <c r="B207" s="265">
        <v>46</v>
      </c>
      <c r="C207" s="670" t="s">
        <v>620</v>
      </c>
      <c r="D207" s="246"/>
      <c r="E207" s="266" t="s">
        <v>760</v>
      </c>
      <c r="F207" s="265" t="s">
        <v>37</v>
      </c>
      <c r="G207" s="268"/>
      <c r="H207" s="268"/>
      <c r="I207" s="268"/>
      <c r="J207" s="268">
        <f>SUM(J208:J245)</f>
        <v>12460.972699999997</v>
      </c>
      <c r="K207" s="540">
        <v>0</v>
      </c>
      <c r="L207" s="421">
        <f>SUM(L208:L245)</f>
        <v>24182951.644610181</v>
      </c>
      <c r="M207" s="540">
        <v>0</v>
      </c>
      <c r="N207" s="421">
        <f>SUM(N208:N245)</f>
        <v>27220386.242294498</v>
      </c>
      <c r="O207" s="540">
        <v>0</v>
      </c>
      <c r="P207" s="421">
        <v>0</v>
      </c>
      <c r="Q207" s="268">
        <v>1</v>
      </c>
      <c r="R207" s="540">
        <v>0</v>
      </c>
      <c r="S207" s="421">
        <f>SUM(S208:S245)</f>
        <v>27220386.242294498</v>
      </c>
      <c r="T207" s="540">
        <v>0</v>
      </c>
      <c r="U207" s="421">
        <v>0</v>
      </c>
      <c r="V207" s="421">
        <v>0</v>
      </c>
      <c r="W207" s="421">
        <f>SUM(W208:W245)</f>
        <v>0</v>
      </c>
      <c r="X207" s="540">
        <v>0</v>
      </c>
      <c r="Y207" s="421">
        <f>SUM(Y208:Y245)</f>
        <v>29912464.312113572</v>
      </c>
      <c r="Z207" s="540"/>
      <c r="AA207" s="421">
        <f>SUM(AA208:AA245)</f>
        <v>5729512.6675033942</v>
      </c>
    </row>
    <row r="208" spans="1:27" s="410" customFormat="1">
      <c r="A208" s="413"/>
      <c r="B208" s="414"/>
      <c r="C208" s="413" t="str">
        <f>'5.Tiên lượng'!C70</f>
        <v>AL.24310</v>
      </c>
      <c r="D208" s="413"/>
      <c r="E208" s="415" t="str">
        <f>'5.Tiên lượng'!D70</f>
        <v>Cắt khe</v>
      </c>
      <c r="F208" s="414" t="str">
        <f>'5.Tiên lượng'!E70</f>
        <v>100m</v>
      </c>
      <c r="G208" s="419">
        <f>'5.Tiên lượng'!M70</f>
        <v>21.295000000000002</v>
      </c>
      <c r="H208" s="419">
        <f>PTVT!G255</f>
        <v>2</v>
      </c>
      <c r="I208" s="419">
        <f>'5.Tiên lượng'!V70</f>
        <v>1</v>
      </c>
      <c r="J208" s="419">
        <f t="shared" ref="J208:J245" si="27">PRODUCT(G208,H208,I208)</f>
        <v>42.59</v>
      </c>
      <c r="K208" s="420">
        <f>PTVT!J255</f>
        <v>23.85</v>
      </c>
      <c r="L208" s="420">
        <f t="shared" ref="L208:L245" si="28">J208*K208</f>
        <v>1015.7715000000002</v>
      </c>
      <c r="M208" s="420">
        <f>PTVT!L255</f>
        <v>23.85</v>
      </c>
      <c r="N208" s="420">
        <f t="shared" ref="N208:N245" si="29">J208*M208</f>
        <v>1015.7715000000002</v>
      </c>
      <c r="O208" s="420">
        <f t="shared" ref="O208:O245" si="30">M208-K208</f>
        <v>0</v>
      </c>
      <c r="P208" s="420">
        <f t="shared" ref="P208:P245" si="31">J208*O208</f>
        <v>0</v>
      </c>
      <c r="Q208" s="419">
        <v>1</v>
      </c>
      <c r="R208" s="420">
        <f t="shared" ref="R208:R245" si="32">M208*Q208</f>
        <v>23.85</v>
      </c>
      <c r="S208" s="420">
        <f t="shared" ref="S208:S245" si="33">J208*R208</f>
        <v>1015.7715000000002</v>
      </c>
      <c r="T208" s="420"/>
      <c r="U208" s="420"/>
      <c r="V208" s="420">
        <v>0</v>
      </c>
      <c r="W208" s="420">
        <f t="shared" ref="W208:W245" si="34">J208*V208</f>
        <v>0</v>
      </c>
      <c r="X208" s="420">
        <f>PTVT!P255</f>
        <v>23.85</v>
      </c>
      <c r="Y208" s="420">
        <f t="shared" ref="Y208:Y245" si="35">J208*X208</f>
        <v>1015.7715000000002</v>
      </c>
      <c r="Z208" s="420">
        <f t="shared" ref="Z208:Z245" si="36">X208-K208</f>
        <v>0</v>
      </c>
      <c r="AA208" s="420">
        <f t="shared" ref="AA208:AA245" si="37">J208*Z208</f>
        <v>0</v>
      </c>
    </row>
    <row r="209" spans="1:27" s="410" customFormat="1">
      <c r="A209" s="413"/>
      <c r="B209" s="414"/>
      <c r="C209" s="413" t="str">
        <f>'5.Tiên lượng'!C130</f>
        <v>AK.21113</v>
      </c>
      <c r="D209" s="413"/>
      <c r="E209" s="415" t="str">
        <f>'5.Tiên lượng'!D130</f>
        <v>Trát tường ngoài dày 1cm, vữa XM M75, PCB40</v>
      </c>
      <c r="F209" s="414" t="str">
        <f>'5.Tiên lượng'!E130</f>
        <v>m2</v>
      </c>
      <c r="G209" s="419">
        <f>'5.Tiên lượng'!M130</f>
        <v>47.4</v>
      </c>
      <c r="H209" s="419">
        <f>PTVT!G491</f>
        <v>0.5</v>
      </c>
      <c r="I209" s="419">
        <f>'5.Tiên lượng'!V130</f>
        <v>1</v>
      </c>
      <c r="J209" s="419">
        <f t="shared" si="27"/>
        <v>23.7</v>
      </c>
      <c r="K209" s="420">
        <f>PTVT!J491</f>
        <v>90.986399999999989</v>
      </c>
      <c r="L209" s="420">
        <f t="shared" si="28"/>
        <v>2156.3776799999996</v>
      </c>
      <c r="M209" s="420">
        <f>PTVT!L491</f>
        <v>100.01639999999999</v>
      </c>
      <c r="N209" s="420">
        <f t="shared" si="29"/>
        <v>2370.3886799999996</v>
      </c>
      <c r="O209" s="420">
        <f t="shared" si="30"/>
        <v>9.0300000000000011</v>
      </c>
      <c r="P209" s="420">
        <f t="shared" si="31"/>
        <v>214.01100000000002</v>
      </c>
      <c r="Q209" s="419">
        <v>1</v>
      </c>
      <c r="R209" s="420">
        <f t="shared" si="32"/>
        <v>100.01639999999999</v>
      </c>
      <c r="S209" s="420">
        <f t="shared" si="33"/>
        <v>2370.3886799999996</v>
      </c>
      <c r="T209" s="420"/>
      <c r="U209" s="420"/>
      <c r="V209" s="420">
        <v>0</v>
      </c>
      <c r="W209" s="420">
        <f t="shared" si="34"/>
        <v>0</v>
      </c>
      <c r="X209" s="420">
        <f>PTVT!P491</f>
        <v>115.70300496194297</v>
      </c>
      <c r="Y209" s="420">
        <f t="shared" si="35"/>
        <v>2742.1612175980481</v>
      </c>
      <c r="Z209" s="420">
        <f t="shared" si="36"/>
        <v>24.716604961942977</v>
      </c>
      <c r="AA209" s="420">
        <f t="shared" si="37"/>
        <v>585.7835375980485</v>
      </c>
    </row>
    <row r="210" spans="1:27" s="410" customFormat="1">
      <c r="A210" s="413"/>
      <c r="B210" s="414"/>
      <c r="C210" s="413" t="str">
        <f>'5.Tiên lượng'!C69</f>
        <v>AL.24113(VD)</v>
      </c>
      <c r="D210" s="413"/>
      <c r="E210" s="415" t="str">
        <f>'5.Tiên lượng'!D69</f>
        <v>Thi công  khe dọc</v>
      </c>
      <c r="F210" s="414" t="str">
        <f>'5.Tiên lượng'!E69</f>
        <v>m</v>
      </c>
      <c r="G210" s="419">
        <f>'5.Tiên lượng'!M69</f>
        <v>1000.04</v>
      </c>
      <c r="H210" s="419">
        <f>PTVT!G245</f>
        <v>5</v>
      </c>
      <c r="I210" s="419">
        <f>'5.Tiên lượng'!V69</f>
        <v>1</v>
      </c>
      <c r="J210" s="419">
        <f t="shared" si="27"/>
        <v>5000.2</v>
      </c>
      <c r="K210" s="420">
        <f>PTVT!J245</f>
        <v>222.5</v>
      </c>
      <c r="L210" s="420">
        <f t="shared" si="28"/>
        <v>1112544.5</v>
      </c>
      <c r="M210" s="420">
        <f>PTVT!L245</f>
        <v>222.5</v>
      </c>
      <c r="N210" s="420">
        <f t="shared" si="29"/>
        <v>1112544.5</v>
      </c>
      <c r="O210" s="420">
        <f t="shared" si="30"/>
        <v>0</v>
      </c>
      <c r="P210" s="420">
        <f t="shared" si="31"/>
        <v>0</v>
      </c>
      <c r="Q210" s="419">
        <v>1</v>
      </c>
      <c r="R210" s="420">
        <f t="shared" si="32"/>
        <v>222.5</v>
      </c>
      <c r="S210" s="420">
        <f t="shared" si="33"/>
        <v>1112544.5</v>
      </c>
      <c r="T210" s="420"/>
      <c r="U210" s="420"/>
      <c r="V210" s="420">
        <v>0</v>
      </c>
      <c r="W210" s="420">
        <f t="shared" si="34"/>
        <v>0</v>
      </c>
      <c r="X210" s="420">
        <f>PTVT!P245</f>
        <v>223.46463817941864</v>
      </c>
      <c r="Y210" s="420">
        <f t="shared" si="35"/>
        <v>1117367.8838247291</v>
      </c>
      <c r="Z210" s="420">
        <f t="shared" si="36"/>
        <v>0.96463817941864249</v>
      </c>
      <c r="AA210" s="420">
        <f t="shared" si="37"/>
        <v>4823.383824729096</v>
      </c>
    </row>
    <row r="211" spans="1:27" s="410" customFormat="1">
      <c r="A211" s="413"/>
      <c r="B211" s="414"/>
      <c r="C211" s="413" t="str">
        <f>'5.Tiên lượng'!C67</f>
        <v>AL.24111</v>
      </c>
      <c r="D211" s="413"/>
      <c r="E211" s="415" t="str">
        <f>'5.Tiên lượng'!D67</f>
        <v>Thi công khe co không có thanh TL</v>
      </c>
      <c r="F211" s="414" t="str">
        <f>'5.Tiên lượng'!E67</f>
        <v>m</v>
      </c>
      <c r="G211" s="419">
        <f>'5.Tiên lượng'!M67</f>
        <v>1026</v>
      </c>
      <c r="H211" s="419">
        <f>PTVT!G219</f>
        <v>5</v>
      </c>
      <c r="I211" s="419">
        <f>'5.Tiên lượng'!V67</f>
        <v>1</v>
      </c>
      <c r="J211" s="419">
        <f t="shared" si="27"/>
        <v>5130</v>
      </c>
      <c r="K211" s="420">
        <f>PTVT!J219</f>
        <v>734.87171134038897</v>
      </c>
      <c r="L211" s="420">
        <f t="shared" si="28"/>
        <v>3769891.8791761952</v>
      </c>
      <c r="M211" s="420">
        <f>PTVT!L219</f>
        <v>737.08</v>
      </c>
      <c r="N211" s="420">
        <f t="shared" si="29"/>
        <v>3781220.4000000004</v>
      </c>
      <c r="O211" s="420">
        <f t="shared" si="30"/>
        <v>2.2082886596110711</v>
      </c>
      <c r="P211" s="420">
        <f t="shared" si="31"/>
        <v>11328.520823804794</v>
      </c>
      <c r="Q211" s="419">
        <v>1</v>
      </c>
      <c r="R211" s="420">
        <f t="shared" si="32"/>
        <v>737.08</v>
      </c>
      <c r="S211" s="420">
        <f t="shared" si="33"/>
        <v>3781220.4000000004</v>
      </c>
      <c r="T211" s="420"/>
      <c r="U211" s="420"/>
      <c r="V211" s="420">
        <v>0</v>
      </c>
      <c r="W211" s="420">
        <f t="shared" si="34"/>
        <v>0</v>
      </c>
      <c r="X211" s="420">
        <f>PTVT!P219</f>
        <v>740.56513757271478</v>
      </c>
      <c r="Y211" s="420">
        <f t="shared" si="35"/>
        <v>3799099.1557480269</v>
      </c>
      <c r="Z211" s="420">
        <f t="shared" si="36"/>
        <v>5.6934262323258054</v>
      </c>
      <c r="AA211" s="420">
        <f t="shared" si="37"/>
        <v>29207.276571831382</v>
      </c>
    </row>
    <row r="212" spans="1:27" s="410" customFormat="1">
      <c r="A212" s="413"/>
      <c r="B212" s="414"/>
      <c r="C212" s="413" t="str">
        <f>'5.Tiên lượng'!C68</f>
        <v>AL.24112(VD)</v>
      </c>
      <c r="D212" s="413"/>
      <c r="E212" s="415" t="str">
        <f>'5.Tiên lượng'!D68</f>
        <v>Thi công khe giãn</v>
      </c>
      <c r="F212" s="414" t="str">
        <f>'5.Tiên lượng'!E68</f>
        <v>m</v>
      </c>
      <c r="G212" s="419">
        <f>'5.Tiên lượng'!M68</f>
        <v>103.46</v>
      </c>
      <c r="H212" s="419">
        <f>PTVT!G234</f>
        <v>5</v>
      </c>
      <c r="I212" s="419">
        <f>'5.Tiên lượng'!V68</f>
        <v>1</v>
      </c>
      <c r="J212" s="419">
        <f t="shared" si="27"/>
        <v>517.29999999999995</v>
      </c>
      <c r="K212" s="420">
        <f>PTVT!J234</f>
        <v>2033.3632910392098</v>
      </c>
      <c r="L212" s="420">
        <f t="shared" si="28"/>
        <v>1051858.830454583</v>
      </c>
      <c r="M212" s="420">
        <f>PTVT!L234</f>
        <v>2037.61</v>
      </c>
      <c r="N212" s="420">
        <f t="shared" si="29"/>
        <v>1054055.6529999999</v>
      </c>
      <c r="O212" s="420">
        <f t="shared" si="30"/>
        <v>4.2467089607901016</v>
      </c>
      <c r="P212" s="420">
        <f t="shared" si="31"/>
        <v>2196.8225454167195</v>
      </c>
      <c r="Q212" s="419">
        <v>1</v>
      </c>
      <c r="R212" s="420">
        <f t="shared" si="32"/>
        <v>2037.61</v>
      </c>
      <c r="S212" s="420">
        <f t="shared" si="33"/>
        <v>1054055.6529999999</v>
      </c>
      <c r="T212" s="420"/>
      <c r="U212" s="420"/>
      <c r="V212" s="420">
        <v>0</v>
      </c>
      <c r="W212" s="420">
        <f t="shared" si="34"/>
        <v>0</v>
      </c>
      <c r="X212" s="420">
        <f>PTVT!P234</f>
        <v>2044.6123722481166</v>
      </c>
      <c r="Y212" s="420">
        <f t="shared" si="35"/>
        <v>1057677.9801639507</v>
      </c>
      <c r="Z212" s="420">
        <f t="shared" si="36"/>
        <v>11.249081208906773</v>
      </c>
      <c r="AA212" s="420">
        <f t="shared" si="37"/>
        <v>5819.1497093674734</v>
      </c>
    </row>
    <row r="213" spans="1:27" s="410" customFormat="1">
      <c r="A213" s="413"/>
      <c r="B213" s="414"/>
      <c r="C213" s="413" t="str">
        <f>'5.Tiên lượng'!C49</f>
        <v>AL.16201</v>
      </c>
      <c r="D213" s="413"/>
      <c r="E213" s="415" t="str">
        <f>'5.Tiên lượng'!D49</f>
        <v>Ni lông chống thấm</v>
      </c>
      <c r="F213" s="414" t="str">
        <f>'5.Tiên lượng'!E49</f>
        <v>100m2</v>
      </c>
      <c r="G213" s="419">
        <f>'5.Tiên lượng'!M49</f>
        <v>45.001800000000003</v>
      </c>
      <c r="H213" s="419">
        <f>PTVT!G132</f>
        <v>0.2</v>
      </c>
      <c r="I213" s="419">
        <f>'5.Tiên lượng'!V49</f>
        <v>1</v>
      </c>
      <c r="J213" s="419">
        <f t="shared" si="27"/>
        <v>9.0003600000000006</v>
      </c>
      <c r="K213" s="420">
        <f>PTVT!J132</f>
        <v>2200</v>
      </c>
      <c r="L213" s="420">
        <f t="shared" si="28"/>
        <v>19800.792000000001</v>
      </c>
      <c r="M213" s="420">
        <f>PTVT!L132</f>
        <v>2200</v>
      </c>
      <c r="N213" s="420">
        <f t="shared" si="29"/>
        <v>19800.792000000001</v>
      </c>
      <c r="O213" s="420">
        <f t="shared" si="30"/>
        <v>0</v>
      </c>
      <c r="P213" s="420">
        <f t="shared" si="31"/>
        <v>0</v>
      </c>
      <c r="Q213" s="419">
        <v>1</v>
      </c>
      <c r="R213" s="420">
        <f t="shared" si="32"/>
        <v>2200</v>
      </c>
      <c r="S213" s="420">
        <f t="shared" si="33"/>
        <v>19800.792000000001</v>
      </c>
      <c r="T213" s="420"/>
      <c r="U213" s="420"/>
      <c r="V213" s="420">
        <v>0</v>
      </c>
      <c r="W213" s="420">
        <f t="shared" si="34"/>
        <v>0</v>
      </c>
      <c r="X213" s="420">
        <f>PTVT!P132</f>
        <v>2200</v>
      </c>
      <c r="Y213" s="420">
        <f t="shared" si="35"/>
        <v>19800.792000000001</v>
      </c>
      <c r="Z213" s="420">
        <f t="shared" si="36"/>
        <v>0</v>
      </c>
      <c r="AA213" s="420">
        <f t="shared" si="37"/>
        <v>0</v>
      </c>
    </row>
    <row r="214" spans="1:27" s="410" customFormat="1">
      <c r="A214" s="413"/>
      <c r="B214" s="414"/>
      <c r="C214" s="413" t="str">
        <f>'5.Tiên lượng'!C61</f>
        <v>AL.16201</v>
      </c>
      <c r="D214" s="413"/>
      <c r="E214" s="415" t="str">
        <f>'5.Tiên lượng'!D61</f>
        <v>Rải giấy dầu lớp cách ly</v>
      </c>
      <c r="F214" s="414" t="str">
        <f>'5.Tiên lượng'!E61</f>
        <v>100m2</v>
      </c>
      <c r="G214" s="419">
        <f>'5.Tiên lượng'!M61</f>
        <v>0.63819999999999999</v>
      </c>
      <c r="H214" s="419">
        <f>PTVT!G189</f>
        <v>0.2</v>
      </c>
      <c r="I214" s="419">
        <f>'5.Tiên lượng'!V61</f>
        <v>1</v>
      </c>
      <c r="J214" s="419">
        <f t="shared" si="27"/>
        <v>0.12764</v>
      </c>
      <c r="K214" s="420">
        <f>PTVT!J189</f>
        <v>2200</v>
      </c>
      <c r="L214" s="420">
        <f t="shared" si="28"/>
        <v>280.80799999999999</v>
      </c>
      <c r="M214" s="420">
        <f>PTVT!L189</f>
        <v>2200</v>
      </c>
      <c r="N214" s="420">
        <f t="shared" si="29"/>
        <v>280.80799999999999</v>
      </c>
      <c r="O214" s="420">
        <f t="shared" si="30"/>
        <v>0</v>
      </c>
      <c r="P214" s="420">
        <f t="shared" si="31"/>
        <v>0</v>
      </c>
      <c r="Q214" s="419">
        <v>1</v>
      </c>
      <c r="R214" s="420">
        <f t="shared" si="32"/>
        <v>2200</v>
      </c>
      <c r="S214" s="420">
        <f t="shared" si="33"/>
        <v>280.80799999999999</v>
      </c>
      <c r="T214" s="420"/>
      <c r="U214" s="420"/>
      <c r="V214" s="420">
        <v>0</v>
      </c>
      <c r="W214" s="420">
        <f t="shared" si="34"/>
        <v>0</v>
      </c>
      <c r="X214" s="420">
        <f>PTVT!P189</f>
        <v>2200</v>
      </c>
      <c r="Y214" s="420">
        <f t="shared" si="35"/>
        <v>280.80799999999999</v>
      </c>
      <c r="Z214" s="420">
        <f t="shared" si="36"/>
        <v>0</v>
      </c>
      <c r="AA214" s="420">
        <f t="shared" si="37"/>
        <v>0</v>
      </c>
    </row>
    <row r="215" spans="1:27" s="410" customFormat="1">
      <c r="A215" s="413"/>
      <c r="B215" s="414"/>
      <c r="C215" s="413" t="str">
        <f>'5.Tiên lượng'!C154</f>
        <v>AL.16201</v>
      </c>
      <c r="D215" s="413"/>
      <c r="E215" s="415" t="str">
        <f>'5.Tiên lượng'!D154</f>
        <v>Ni lông chống thấm</v>
      </c>
      <c r="F215" s="414" t="str">
        <f>'5.Tiên lượng'!E154</f>
        <v>100m2</v>
      </c>
      <c r="G215" s="419">
        <f>'5.Tiên lượng'!M154</f>
        <v>0.13200000000000001</v>
      </c>
      <c r="H215" s="419">
        <f>PTVT!G607</f>
        <v>0.2</v>
      </c>
      <c r="I215" s="419">
        <f>'5.Tiên lượng'!V154</f>
        <v>1</v>
      </c>
      <c r="J215" s="419">
        <f t="shared" si="27"/>
        <v>2.6400000000000003E-2</v>
      </c>
      <c r="K215" s="420">
        <f>PTVT!J607</f>
        <v>2200</v>
      </c>
      <c r="L215" s="420">
        <f t="shared" si="28"/>
        <v>58.080000000000005</v>
      </c>
      <c r="M215" s="420">
        <f>PTVT!L607</f>
        <v>2200</v>
      </c>
      <c r="N215" s="420">
        <f t="shared" si="29"/>
        <v>58.080000000000005</v>
      </c>
      <c r="O215" s="420">
        <f t="shared" si="30"/>
        <v>0</v>
      </c>
      <c r="P215" s="420">
        <f t="shared" si="31"/>
        <v>0</v>
      </c>
      <c r="Q215" s="419">
        <v>1</v>
      </c>
      <c r="R215" s="420">
        <f t="shared" si="32"/>
        <v>2200</v>
      </c>
      <c r="S215" s="420">
        <f t="shared" si="33"/>
        <v>58.080000000000005</v>
      </c>
      <c r="T215" s="420"/>
      <c r="U215" s="420"/>
      <c r="V215" s="420">
        <v>0</v>
      </c>
      <c r="W215" s="420">
        <f t="shared" si="34"/>
        <v>0</v>
      </c>
      <c r="X215" s="420">
        <f>PTVT!P607</f>
        <v>2200</v>
      </c>
      <c r="Y215" s="420">
        <f t="shared" si="35"/>
        <v>58.080000000000005</v>
      </c>
      <c r="Z215" s="420">
        <f t="shared" si="36"/>
        <v>0</v>
      </c>
      <c r="AA215" s="420">
        <f t="shared" si="37"/>
        <v>0</v>
      </c>
    </row>
    <row r="216" spans="1:27" s="410" customFormat="1">
      <c r="A216" s="413"/>
      <c r="B216" s="414"/>
      <c r="C216" s="413" t="str">
        <f>'5.Tiên lượng'!C56</f>
        <v>AF.82411</v>
      </c>
      <c r="D216" s="413"/>
      <c r="E216" s="415" t="str">
        <f>'5.Tiên lượng'!D56</f>
        <v>Ván khuôn thép mặt đường bê tông</v>
      </c>
      <c r="F216" s="414" t="str">
        <f>'5.Tiên lượng'!E56</f>
        <v>100m2</v>
      </c>
      <c r="G216" s="419">
        <f>'5.Tiên lượng'!M56</f>
        <v>3.6397000000000004</v>
      </c>
      <c r="H216" s="419">
        <f>PTVT!G163</f>
        <v>5</v>
      </c>
      <c r="I216" s="419">
        <f>'5.Tiên lượng'!V56</f>
        <v>1</v>
      </c>
      <c r="J216" s="419">
        <f t="shared" si="27"/>
        <v>18.198500000000003</v>
      </c>
      <c r="K216" s="420">
        <f>PTVT!J163</f>
        <v>5860.1</v>
      </c>
      <c r="L216" s="420">
        <f t="shared" si="28"/>
        <v>106645.02985000002</v>
      </c>
      <c r="M216" s="420">
        <f>PTVT!L163</f>
        <v>5860.1</v>
      </c>
      <c r="N216" s="420">
        <f t="shared" si="29"/>
        <v>106645.02985000002</v>
      </c>
      <c r="O216" s="420">
        <f t="shared" si="30"/>
        <v>0</v>
      </c>
      <c r="P216" s="420">
        <f t="shared" si="31"/>
        <v>0</v>
      </c>
      <c r="Q216" s="419">
        <v>1</v>
      </c>
      <c r="R216" s="420">
        <f t="shared" si="32"/>
        <v>5860.1</v>
      </c>
      <c r="S216" s="420">
        <f t="shared" si="33"/>
        <v>106645.02985000002</v>
      </c>
      <c r="T216" s="420"/>
      <c r="U216" s="420"/>
      <c r="V216" s="420">
        <v>0</v>
      </c>
      <c r="W216" s="420">
        <f t="shared" si="34"/>
        <v>0</v>
      </c>
      <c r="X216" s="420">
        <f>PTVT!P163</f>
        <v>5887.7237296833518</v>
      </c>
      <c r="Y216" s="420">
        <f t="shared" si="35"/>
        <v>107147.7402946425</v>
      </c>
      <c r="Z216" s="420">
        <f t="shared" si="36"/>
        <v>27.623729683351485</v>
      </c>
      <c r="AA216" s="420">
        <f t="shared" si="37"/>
        <v>502.71044464247205</v>
      </c>
    </row>
    <row r="217" spans="1:27" s="410" customFormat="1">
      <c r="A217" s="413"/>
      <c r="B217" s="414"/>
      <c r="C217" s="413" t="str">
        <f>'5.Tiên lượng'!C65</f>
        <v>AF.82411</v>
      </c>
      <c r="D217" s="413"/>
      <c r="E217" s="415" t="str">
        <f>'5.Tiên lượng'!D65</f>
        <v>Ván khuôn thép mặt đường bê tông</v>
      </c>
      <c r="F217" s="414" t="str">
        <f>'5.Tiên lượng'!E65</f>
        <v>100m2</v>
      </c>
      <c r="G217" s="419">
        <f>'5.Tiên lượng'!M65</f>
        <v>0.14080000000000001</v>
      </c>
      <c r="H217" s="419">
        <f>PTVT!G208</f>
        <v>5</v>
      </c>
      <c r="I217" s="419">
        <f>'5.Tiên lượng'!V65</f>
        <v>1</v>
      </c>
      <c r="J217" s="419">
        <f t="shared" si="27"/>
        <v>0.70400000000000007</v>
      </c>
      <c r="K217" s="420">
        <f>PTVT!J208</f>
        <v>5860.1</v>
      </c>
      <c r="L217" s="420">
        <f t="shared" si="28"/>
        <v>4125.510400000001</v>
      </c>
      <c r="M217" s="420">
        <f>PTVT!L208</f>
        <v>5860.1</v>
      </c>
      <c r="N217" s="420">
        <f t="shared" si="29"/>
        <v>4125.510400000001</v>
      </c>
      <c r="O217" s="420">
        <f t="shared" si="30"/>
        <v>0</v>
      </c>
      <c r="P217" s="420">
        <f t="shared" si="31"/>
        <v>0</v>
      </c>
      <c r="Q217" s="419">
        <v>1</v>
      </c>
      <c r="R217" s="420">
        <f t="shared" si="32"/>
        <v>5860.1</v>
      </c>
      <c r="S217" s="420">
        <f t="shared" si="33"/>
        <v>4125.510400000001</v>
      </c>
      <c r="T217" s="420"/>
      <c r="U217" s="420"/>
      <c r="V217" s="420">
        <v>0</v>
      </c>
      <c r="W217" s="420">
        <f t="shared" si="34"/>
        <v>0</v>
      </c>
      <c r="X217" s="420">
        <f>PTVT!P208</f>
        <v>5887.7237296833518</v>
      </c>
      <c r="Y217" s="420">
        <f t="shared" si="35"/>
        <v>4144.9575056970798</v>
      </c>
      <c r="Z217" s="420">
        <f t="shared" si="36"/>
        <v>27.623729683351485</v>
      </c>
      <c r="AA217" s="420">
        <f t="shared" si="37"/>
        <v>19.447105697079447</v>
      </c>
    </row>
    <row r="218" spans="1:27" s="410" customFormat="1">
      <c r="A218" s="413"/>
      <c r="B218" s="414"/>
      <c r="C218" s="413" t="str">
        <f>'5.Tiên lượng'!C178</f>
        <v>AE.12314</v>
      </c>
      <c r="D218" s="413"/>
      <c r="E218" s="415" t="str">
        <f>'5.Tiên lượng'!D178</f>
        <v>Xây cống, vữa XM M100, PCB40</v>
      </c>
      <c r="F218" s="414" t="str">
        <f>'5.Tiên lượng'!E178</f>
        <v>m3</v>
      </c>
      <c r="G218" s="419">
        <f>'5.Tiên lượng'!M178</f>
        <v>41.57</v>
      </c>
      <c r="H218" s="419">
        <f>PTVT!G680</f>
        <v>5</v>
      </c>
      <c r="I218" s="419">
        <f>'5.Tiên lượng'!V178</f>
        <v>1</v>
      </c>
      <c r="J218" s="419">
        <f t="shared" si="27"/>
        <v>207.85</v>
      </c>
      <c r="K218" s="420">
        <f>PTVT!J680</f>
        <v>6240.2580000000007</v>
      </c>
      <c r="L218" s="420">
        <f t="shared" si="28"/>
        <v>1297037.6253000002</v>
      </c>
      <c r="M218" s="420">
        <f>PTVT!L680</f>
        <v>7950.5580000000009</v>
      </c>
      <c r="N218" s="420">
        <f t="shared" si="29"/>
        <v>1652523.4803000002</v>
      </c>
      <c r="O218" s="420">
        <f t="shared" si="30"/>
        <v>1710.3000000000002</v>
      </c>
      <c r="P218" s="420">
        <f t="shared" si="31"/>
        <v>355485.85500000004</v>
      </c>
      <c r="Q218" s="419">
        <v>1</v>
      </c>
      <c r="R218" s="420">
        <f t="shared" si="32"/>
        <v>7950.5580000000009</v>
      </c>
      <c r="S218" s="420">
        <f t="shared" si="33"/>
        <v>1652523.4803000002</v>
      </c>
      <c r="T218" s="420"/>
      <c r="U218" s="420"/>
      <c r="V218" s="420">
        <v>0</v>
      </c>
      <c r="W218" s="420">
        <f t="shared" si="34"/>
        <v>0</v>
      </c>
      <c r="X218" s="420">
        <f>PTVT!P680</f>
        <v>9343.4087185523131</v>
      </c>
      <c r="Y218" s="420">
        <f t="shared" si="35"/>
        <v>1942027.5021510983</v>
      </c>
      <c r="Z218" s="420">
        <f t="shared" si="36"/>
        <v>3103.1507185523124</v>
      </c>
      <c r="AA218" s="420">
        <f t="shared" si="37"/>
        <v>644989.87685109815</v>
      </c>
    </row>
    <row r="219" spans="1:27" s="410" customFormat="1">
      <c r="A219" s="413"/>
      <c r="B219" s="414"/>
      <c r="C219" s="413" t="str">
        <f>'5.Tiên lượng'!C143</f>
        <v>AG.32511</v>
      </c>
      <c r="D219" s="413"/>
      <c r="E219" s="415" t="str">
        <f>'5.Tiên lượng'!D143</f>
        <v>Ván khuôn thép tấm đậy</v>
      </c>
      <c r="F219" s="414" t="str">
        <f>'5.Tiên lượng'!E143</f>
        <v>100m2</v>
      </c>
      <c r="G219" s="419">
        <f>'5.Tiên lượng'!M143</f>
        <v>0.35389999999999999</v>
      </c>
      <c r="H219" s="419">
        <f>PTVT!G558</f>
        <v>5</v>
      </c>
      <c r="I219" s="419">
        <f>'5.Tiên lượng'!V143</f>
        <v>1</v>
      </c>
      <c r="J219" s="419">
        <f t="shared" si="27"/>
        <v>1.7694999999999999</v>
      </c>
      <c r="K219" s="420">
        <f>PTVT!J558</f>
        <v>6688.25</v>
      </c>
      <c r="L219" s="420">
        <f t="shared" si="28"/>
        <v>11834.858375</v>
      </c>
      <c r="M219" s="420">
        <f>PTVT!L558</f>
        <v>6688.25</v>
      </c>
      <c r="N219" s="420">
        <f t="shared" si="29"/>
        <v>11834.858375</v>
      </c>
      <c r="O219" s="420">
        <f t="shared" si="30"/>
        <v>0</v>
      </c>
      <c r="P219" s="420">
        <f t="shared" si="31"/>
        <v>0</v>
      </c>
      <c r="Q219" s="419">
        <v>1</v>
      </c>
      <c r="R219" s="420">
        <f t="shared" si="32"/>
        <v>6688.25</v>
      </c>
      <c r="S219" s="420">
        <f t="shared" si="33"/>
        <v>11834.858375</v>
      </c>
      <c r="T219" s="420"/>
      <c r="U219" s="420"/>
      <c r="V219" s="420">
        <v>0</v>
      </c>
      <c r="W219" s="420">
        <f t="shared" si="34"/>
        <v>0</v>
      </c>
      <c r="X219" s="420">
        <f>PTVT!P558</f>
        <v>6720.4426068785988</v>
      </c>
      <c r="Y219" s="420">
        <f t="shared" si="35"/>
        <v>11891.82319287168</v>
      </c>
      <c r="Z219" s="420">
        <f t="shared" si="36"/>
        <v>32.192606878598781</v>
      </c>
      <c r="AA219" s="420">
        <f t="shared" si="37"/>
        <v>56.964817871680538</v>
      </c>
    </row>
    <row r="220" spans="1:27" s="410" customFormat="1">
      <c r="A220" s="413"/>
      <c r="B220" s="414"/>
      <c r="C220" s="413" t="str">
        <f>'5.Tiên lượng'!C200</f>
        <v>AG.32511</v>
      </c>
      <c r="D220" s="413"/>
      <c r="E220" s="415" t="str">
        <f>'5.Tiên lượng'!D200</f>
        <v>Ván khuôn thép tấm bản</v>
      </c>
      <c r="F220" s="414" t="str">
        <f>'5.Tiên lượng'!E200</f>
        <v>100m2</v>
      </c>
      <c r="G220" s="419">
        <f>'5.Tiên lượng'!M200</f>
        <v>6.0100000000000001E-2</v>
      </c>
      <c r="H220" s="419">
        <f>PTVT!G847</f>
        <v>5</v>
      </c>
      <c r="I220" s="419">
        <f>'5.Tiên lượng'!V200</f>
        <v>1</v>
      </c>
      <c r="J220" s="419">
        <f t="shared" si="27"/>
        <v>0.30049999999999999</v>
      </c>
      <c r="K220" s="420">
        <f>PTVT!J847</f>
        <v>6688.25</v>
      </c>
      <c r="L220" s="420">
        <f t="shared" si="28"/>
        <v>2009.819125</v>
      </c>
      <c r="M220" s="420">
        <f>PTVT!L847</f>
        <v>6688.25</v>
      </c>
      <c r="N220" s="420">
        <f t="shared" si="29"/>
        <v>2009.819125</v>
      </c>
      <c r="O220" s="420">
        <f t="shared" si="30"/>
        <v>0</v>
      </c>
      <c r="P220" s="420">
        <f t="shared" si="31"/>
        <v>0</v>
      </c>
      <c r="Q220" s="419">
        <v>1</v>
      </c>
      <c r="R220" s="420">
        <f t="shared" si="32"/>
        <v>6688.25</v>
      </c>
      <c r="S220" s="420">
        <f t="shared" si="33"/>
        <v>2009.819125</v>
      </c>
      <c r="T220" s="420"/>
      <c r="U220" s="420"/>
      <c r="V220" s="420">
        <v>0</v>
      </c>
      <c r="W220" s="420">
        <f t="shared" si="34"/>
        <v>0</v>
      </c>
      <c r="X220" s="420">
        <f>PTVT!P847</f>
        <v>6720.4426068785988</v>
      </c>
      <c r="Y220" s="420">
        <f t="shared" si="35"/>
        <v>2019.4930033670189</v>
      </c>
      <c r="Z220" s="420">
        <f t="shared" si="36"/>
        <v>32.192606878598781</v>
      </c>
      <c r="AA220" s="420">
        <f t="shared" si="37"/>
        <v>9.6738783670189328</v>
      </c>
    </row>
    <row r="221" spans="1:27" s="410" customFormat="1">
      <c r="A221" s="413"/>
      <c r="B221" s="414"/>
      <c r="C221" s="413" t="str">
        <f>'5.Tiên lượng'!C128</f>
        <v>AF.11231</v>
      </c>
      <c r="D221" s="413"/>
      <c r="E221" s="415" t="str">
        <f>'5.Tiên lượng'!D128</f>
        <v>BTXM móng rãnh, M150, đá 2x4, PCB40</v>
      </c>
      <c r="F221" s="414" t="str">
        <f>'5.Tiên lượng'!E128</f>
        <v>m3</v>
      </c>
      <c r="G221" s="419">
        <f>'5.Tiên lượng'!M128</f>
        <v>7.43</v>
      </c>
      <c r="H221" s="419">
        <f>PTVT!G469</f>
        <v>1</v>
      </c>
      <c r="I221" s="419">
        <f>'5.Tiên lượng'!V128</f>
        <v>1</v>
      </c>
      <c r="J221" s="419">
        <f t="shared" si="27"/>
        <v>7.43</v>
      </c>
      <c r="K221" s="420">
        <f>PTVT!J469</f>
        <v>7495.3125</v>
      </c>
      <c r="L221" s="420">
        <f t="shared" si="28"/>
        <v>55690.171875</v>
      </c>
      <c r="M221" s="420">
        <f>PTVT!L469</f>
        <v>8841.65</v>
      </c>
      <c r="N221" s="420">
        <f t="shared" si="29"/>
        <v>65693.459499999997</v>
      </c>
      <c r="O221" s="420">
        <f t="shared" si="30"/>
        <v>1346.3374999999996</v>
      </c>
      <c r="P221" s="420">
        <f t="shared" si="31"/>
        <v>10003.287624999997</v>
      </c>
      <c r="Q221" s="419">
        <v>1</v>
      </c>
      <c r="R221" s="420">
        <f t="shared" si="32"/>
        <v>8841.65</v>
      </c>
      <c r="S221" s="420">
        <f t="shared" si="33"/>
        <v>65693.459499999997</v>
      </c>
      <c r="T221" s="420"/>
      <c r="U221" s="420"/>
      <c r="V221" s="420">
        <v>0</v>
      </c>
      <c r="W221" s="420">
        <f t="shared" si="34"/>
        <v>0</v>
      </c>
      <c r="X221" s="420">
        <f>PTVT!P469</f>
        <v>10202.267950010102</v>
      </c>
      <c r="Y221" s="420">
        <f t="shared" si="35"/>
        <v>75802.850868575057</v>
      </c>
      <c r="Z221" s="420">
        <f t="shared" si="36"/>
        <v>2706.9554500101021</v>
      </c>
      <c r="AA221" s="420">
        <f t="shared" si="37"/>
        <v>20112.678993575057</v>
      </c>
    </row>
    <row r="222" spans="1:27" s="410" customFormat="1" ht="27.6">
      <c r="A222" s="413"/>
      <c r="B222" s="414"/>
      <c r="C222" s="413" t="str">
        <f>'5.Tiên lượng'!C192</f>
        <v>AF.12151</v>
      </c>
      <c r="D222" s="413"/>
      <c r="E222" s="415" t="str">
        <f>'5.Tiên lượng'!D192</f>
        <v>BTXM đầu cống - Chiều dày ≤45cm, chiều cao ≤6m, M150, đá 2x4, PCB40</v>
      </c>
      <c r="F222" s="414" t="str">
        <f>'5.Tiên lượng'!E192</f>
        <v>m3</v>
      </c>
      <c r="G222" s="419">
        <f>'5.Tiên lượng'!M192</f>
        <v>2.29</v>
      </c>
      <c r="H222" s="419">
        <f>PTVT!G774</f>
        <v>5</v>
      </c>
      <c r="I222" s="419">
        <f>'5.Tiên lượng'!V192</f>
        <v>1</v>
      </c>
      <c r="J222" s="419">
        <f t="shared" si="27"/>
        <v>11.45</v>
      </c>
      <c r="K222" s="420">
        <f>PTVT!J774</f>
        <v>7495.3125</v>
      </c>
      <c r="L222" s="420">
        <f t="shared" si="28"/>
        <v>85821.328125</v>
      </c>
      <c r="M222" s="420">
        <f>PTVT!L774</f>
        <v>8841.65</v>
      </c>
      <c r="N222" s="420">
        <f t="shared" si="29"/>
        <v>101236.89249999999</v>
      </c>
      <c r="O222" s="420">
        <f t="shared" si="30"/>
        <v>1346.3374999999996</v>
      </c>
      <c r="P222" s="420">
        <f t="shared" si="31"/>
        <v>15415.564374999994</v>
      </c>
      <c r="Q222" s="419">
        <v>1</v>
      </c>
      <c r="R222" s="420">
        <f t="shared" si="32"/>
        <v>8841.65</v>
      </c>
      <c r="S222" s="420">
        <f t="shared" si="33"/>
        <v>101236.89249999999</v>
      </c>
      <c r="T222" s="420"/>
      <c r="U222" s="420"/>
      <c r="V222" s="420">
        <v>0</v>
      </c>
      <c r="W222" s="420">
        <f t="shared" si="34"/>
        <v>0</v>
      </c>
      <c r="X222" s="420">
        <f>PTVT!P774</f>
        <v>10202.267950010102</v>
      </c>
      <c r="Y222" s="420">
        <f t="shared" si="35"/>
        <v>116815.96802761566</v>
      </c>
      <c r="Z222" s="420">
        <f t="shared" si="36"/>
        <v>2706.9554500101021</v>
      </c>
      <c r="AA222" s="420">
        <f t="shared" si="37"/>
        <v>30994.639902615669</v>
      </c>
    </row>
    <row r="223" spans="1:27" s="410" customFormat="1">
      <c r="A223" s="413"/>
      <c r="B223" s="414"/>
      <c r="C223" s="413" t="str">
        <f>'5.Tiên lượng'!C194</f>
        <v>AF.11231</v>
      </c>
      <c r="D223" s="413"/>
      <c r="E223" s="415" t="str">
        <f>'5.Tiên lượng'!D194</f>
        <v>BTXM móng cống, M150, đá 2x4, PCB40</v>
      </c>
      <c r="F223" s="414" t="str">
        <f>'5.Tiên lượng'!E194</f>
        <v>m3</v>
      </c>
      <c r="G223" s="419">
        <f>'5.Tiên lượng'!M194</f>
        <v>4.38</v>
      </c>
      <c r="H223" s="419">
        <f>PTVT!G798</f>
        <v>1</v>
      </c>
      <c r="I223" s="419">
        <f>'5.Tiên lượng'!V194</f>
        <v>1</v>
      </c>
      <c r="J223" s="419">
        <f t="shared" si="27"/>
        <v>4.38</v>
      </c>
      <c r="K223" s="420">
        <f>PTVT!J798</f>
        <v>7495.3125</v>
      </c>
      <c r="L223" s="420">
        <f t="shared" si="28"/>
        <v>32829.46875</v>
      </c>
      <c r="M223" s="420">
        <f>PTVT!L798</f>
        <v>8841.65</v>
      </c>
      <c r="N223" s="420">
        <f t="shared" si="29"/>
        <v>38726.426999999996</v>
      </c>
      <c r="O223" s="420">
        <f t="shared" si="30"/>
        <v>1346.3374999999996</v>
      </c>
      <c r="P223" s="420">
        <f t="shared" si="31"/>
        <v>5896.9582499999979</v>
      </c>
      <c r="Q223" s="419">
        <v>1</v>
      </c>
      <c r="R223" s="420">
        <f t="shared" si="32"/>
        <v>8841.65</v>
      </c>
      <c r="S223" s="420">
        <f t="shared" si="33"/>
        <v>38726.426999999996</v>
      </c>
      <c r="T223" s="420"/>
      <c r="U223" s="420"/>
      <c r="V223" s="420">
        <v>0</v>
      </c>
      <c r="W223" s="420">
        <f t="shared" si="34"/>
        <v>0</v>
      </c>
      <c r="X223" s="420">
        <f>PTVT!P798</f>
        <v>10202.267950010102</v>
      </c>
      <c r="Y223" s="420">
        <f t="shared" si="35"/>
        <v>44685.933621044249</v>
      </c>
      <c r="Z223" s="420">
        <f t="shared" si="36"/>
        <v>2706.9554500101021</v>
      </c>
      <c r="AA223" s="420">
        <f t="shared" si="37"/>
        <v>11856.464871044247</v>
      </c>
    </row>
    <row r="224" spans="1:27" s="410" customFormat="1">
      <c r="A224" s="413"/>
      <c r="B224" s="414"/>
      <c r="C224" s="413" t="str">
        <f>'5.Tiên lượng'!C152</f>
        <v>AF.13211</v>
      </c>
      <c r="D224" s="413"/>
      <c r="E224" s="415" t="str">
        <f>'5.Tiên lượng'!D152</f>
        <v>BTXM rãnh dọc, M150, đá 1x2, PCB40</v>
      </c>
      <c r="F224" s="414" t="str">
        <f>'5.Tiên lượng'!E152</f>
        <v>m3</v>
      </c>
      <c r="G224" s="419">
        <f>'5.Tiên lượng'!M152</f>
        <v>3.3</v>
      </c>
      <c r="H224" s="419">
        <f>PTVT!G598</f>
        <v>1</v>
      </c>
      <c r="I224" s="419">
        <f>'5.Tiên lượng'!V152</f>
        <v>1</v>
      </c>
      <c r="J224" s="419">
        <f t="shared" si="27"/>
        <v>3.3</v>
      </c>
      <c r="K224" s="420">
        <f>PTVT!J598</f>
        <v>7689.9087499999996</v>
      </c>
      <c r="L224" s="420">
        <f t="shared" si="28"/>
        <v>25376.698874999998</v>
      </c>
      <c r="M224" s="420">
        <f>PTVT!L598</f>
        <v>9155.1462499999998</v>
      </c>
      <c r="N224" s="420">
        <f t="shared" si="29"/>
        <v>30211.982624999997</v>
      </c>
      <c r="O224" s="420">
        <f t="shared" si="30"/>
        <v>1465.2375000000002</v>
      </c>
      <c r="P224" s="420">
        <f t="shared" si="31"/>
        <v>4835.2837500000005</v>
      </c>
      <c r="Q224" s="419">
        <v>1</v>
      </c>
      <c r="R224" s="420">
        <f t="shared" si="32"/>
        <v>9155.1462499999998</v>
      </c>
      <c r="S224" s="420">
        <f t="shared" si="33"/>
        <v>30211.982624999997</v>
      </c>
      <c r="T224" s="420"/>
      <c r="U224" s="420"/>
      <c r="V224" s="420">
        <v>0</v>
      </c>
      <c r="W224" s="420">
        <f t="shared" si="34"/>
        <v>0</v>
      </c>
      <c r="X224" s="420">
        <f>PTVT!P598</f>
        <v>10521.487399061336</v>
      </c>
      <c r="Y224" s="420">
        <f t="shared" si="35"/>
        <v>34720.908416902406</v>
      </c>
      <c r="Z224" s="420">
        <f t="shared" si="36"/>
        <v>2831.5786490613364</v>
      </c>
      <c r="AA224" s="420">
        <f t="shared" si="37"/>
        <v>9344.2095419024099</v>
      </c>
    </row>
    <row r="225" spans="1:27" s="410" customFormat="1" ht="27.6">
      <c r="A225" s="413"/>
      <c r="B225" s="414"/>
      <c r="C225" s="413" t="str">
        <f>'5.Tiên lượng'!C193</f>
        <v>AF.12152</v>
      </c>
      <c r="D225" s="413"/>
      <c r="E225" s="415" t="str">
        <f>'5.Tiên lượng'!D193</f>
        <v>BTXM thân cống - Chiều dày ≤45cm, chiều cao ≤6m, M200, đá 2x4, PCB40</v>
      </c>
      <c r="F225" s="414" t="str">
        <f>'5.Tiên lượng'!E193</f>
        <v>m3</v>
      </c>
      <c r="G225" s="419">
        <f>'5.Tiên lượng'!M193</f>
        <v>1.0900000000000001</v>
      </c>
      <c r="H225" s="419">
        <f>PTVT!G786</f>
        <v>5</v>
      </c>
      <c r="I225" s="419">
        <f>'5.Tiên lượng'!V193</f>
        <v>1</v>
      </c>
      <c r="J225" s="419">
        <f t="shared" si="27"/>
        <v>5.45</v>
      </c>
      <c r="K225" s="420">
        <f>PTVT!J786</f>
        <v>7960.0987500000001</v>
      </c>
      <c r="L225" s="420">
        <f t="shared" si="28"/>
        <v>43382.538187500002</v>
      </c>
      <c r="M225" s="420">
        <f>PTVT!L786</f>
        <v>9393.4587499999998</v>
      </c>
      <c r="N225" s="420">
        <f t="shared" si="29"/>
        <v>51194.3501875</v>
      </c>
      <c r="O225" s="420">
        <f t="shared" si="30"/>
        <v>1433.3599999999997</v>
      </c>
      <c r="P225" s="420">
        <f t="shared" si="31"/>
        <v>7811.8119999999981</v>
      </c>
      <c r="Q225" s="419">
        <v>1</v>
      </c>
      <c r="R225" s="420">
        <f t="shared" si="32"/>
        <v>9393.4587499999998</v>
      </c>
      <c r="S225" s="420">
        <f t="shared" si="33"/>
        <v>51194.3501875</v>
      </c>
      <c r="T225" s="420"/>
      <c r="U225" s="420"/>
      <c r="V225" s="420">
        <v>0</v>
      </c>
      <c r="W225" s="420">
        <f t="shared" si="34"/>
        <v>0</v>
      </c>
      <c r="X225" s="420">
        <f>PTVT!P786</f>
        <v>10788.643274964115</v>
      </c>
      <c r="Y225" s="420">
        <f t="shared" si="35"/>
        <v>58798.105848554427</v>
      </c>
      <c r="Z225" s="420">
        <f t="shared" si="36"/>
        <v>2828.5445249641152</v>
      </c>
      <c r="AA225" s="420">
        <f t="shared" si="37"/>
        <v>15415.567661054429</v>
      </c>
    </row>
    <row r="226" spans="1:27" s="410" customFormat="1">
      <c r="A226" s="413"/>
      <c r="B226" s="414"/>
      <c r="C226" s="413" t="str">
        <f>'5.Tiên lượng'!C197</f>
        <v>AF.14232</v>
      </c>
      <c r="D226" s="413"/>
      <c r="E226" s="415" t="str">
        <f>'5.Tiên lượng'!D197</f>
        <v>BTCT mũ mố, M200, đá 2x4, PCB40</v>
      </c>
      <c r="F226" s="414" t="str">
        <f>'5.Tiên lượng'!E197</f>
        <v>m3</v>
      </c>
      <c r="G226" s="419">
        <f>'5.Tiên lượng'!M197</f>
        <v>0.79</v>
      </c>
      <c r="H226" s="419">
        <f>PTVT!G826</f>
        <v>2</v>
      </c>
      <c r="I226" s="419">
        <f>'5.Tiên lượng'!V197</f>
        <v>1</v>
      </c>
      <c r="J226" s="419">
        <f t="shared" si="27"/>
        <v>1.58</v>
      </c>
      <c r="K226" s="420">
        <f>PTVT!J826</f>
        <v>7960.0987500000001</v>
      </c>
      <c r="L226" s="420">
        <f t="shared" si="28"/>
        <v>12576.956025000001</v>
      </c>
      <c r="M226" s="420">
        <f>PTVT!L826</f>
        <v>9393.4587499999998</v>
      </c>
      <c r="N226" s="420">
        <f t="shared" si="29"/>
        <v>14841.664825</v>
      </c>
      <c r="O226" s="420">
        <f t="shared" si="30"/>
        <v>1433.3599999999997</v>
      </c>
      <c r="P226" s="420">
        <f t="shared" si="31"/>
        <v>2264.7087999999994</v>
      </c>
      <c r="Q226" s="419">
        <v>1</v>
      </c>
      <c r="R226" s="420">
        <f t="shared" si="32"/>
        <v>9393.4587499999998</v>
      </c>
      <c r="S226" s="420">
        <f t="shared" si="33"/>
        <v>14841.664825</v>
      </c>
      <c r="T226" s="420"/>
      <c r="U226" s="420"/>
      <c r="V226" s="420">
        <v>0</v>
      </c>
      <c r="W226" s="420">
        <f t="shared" si="34"/>
        <v>0</v>
      </c>
      <c r="X226" s="420">
        <f>PTVT!P826</f>
        <v>10788.643274964115</v>
      </c>
      <c r="Y226" s="420">
        <f t="shared" si="35"/>
        <v>17046.056374443302</v>
      </c>
      <c r="Z226" s="420">
        <f t="shared" si="36"/>
        <v>2828.5445249641152</v>
      </c>
      <c r="AA226" s="420">
        <f t="shared" si="37"/>
        <v>4469.1003494433025</v>
      </c>
    </row>
    <row r="227" spans="1:27" s="410" customFormat="1" ht="41.4">
      <c r="A227" s="413"/>
      <c r="B227" s="414"/>
      <c r="C227" s="413" t="str">
        <f>'5.Tiên lượng'!C132</f>
        <v>AF.14212</v>
      </c>
      <c r="D227" s="413"/>
      <c r="E227" s="415" t="str">
        <f>'5.Tiên lượng'!D132</f>
        <v>Bê tông mũ mố, mũ trụ trên cạn SX bằng máy trộn, đổ bằng thủ công, bê tông M200, đá 1x2, PCB40</v>
      </c>
      <c r="F227" s="414" t="str">
        <f>'5.Tiên lượng'!E132</f>
        <v>m3</v>
      </c>
      <c r="G227" s="419">
        <f>'5.Tiên lượng'!M132</f>
        <v>5.91</v>
      </c>
      <c r="H227" s="419">
        <f>PTVT!G502</f>
        <v>2</v>
      </c>
      <c r="I227" s="419">
        <f>'5.Tiên lượng'!V132</f>
        <v>1</v>
      </c>
      <c r="J227" s="419">
        <f t="shared" si="27"/>
        <v>11.82</v>
      </c>
      <c r="K227" s="420">
        <f>PTVT!J502</f>
        <v>8179.4487499999996</v>
      </c>
      <c r="L227" s="420">
        <f t="shared" si="28"/>
        <v>96681.084224999999</v>
      </c>
      <c r="M227" s="420">
        <f>PTVT!L502</f>
        <v>9735.9112499999992</v>
      </c>
      <c r="N227" s="420">
        <f t="shared" si="29"/>
        <v>115078.47097499999</v>
      </c>
      <c r="O227" s="420">
        <f t="shared" si="30"/>
        <v>1556.4624999999996</v>
      </c>
      <c r="P227" s="420">
        <f t="shared" si="31"/>
        <v>18397.386749999998</v>
      </c>
      <c r="Q227" s="419">
        <v>1</v>
      </c>
      <c r="R227" s="420">
        <f t="shared" si="32"/>
        <v>9735.9112499999992</v>
      </c>
      <c r="S227" s="420">
        <f t="shared" si="33"/>
        <v>115078.47097499999</v>
      </c>
      <c r="T227" s="420"/>
      <c r="U227" s="420"/>
      <c r="V227" s="420">
        <v>0</v>
      </c>
      <c r="W227" s="420">
        <f t="shared" si="34"/>
        <v>0</v>
      </c>
      <c r="X227" s="420">
        <f>PTVT!P502</f>
        <v>11137.752040739852</v>
      </c>
      <c r="Y227" s="420">
        <f t="shared" si="35"/>
        <v>131648.22912154504</v>
      </c>
      <c r="Z227" s="420">
        <f t="shared" si="36"/>
        <v>2958.3032907398519</v>
      </c>
      <c r="AA227" s="420">
        <f t="shared" si="37"/>
        <v>34967.144896545047</v>
      </c>
    </row>
    <row r="228" spans="1:27" s="410" customFormat="1" ht="27.6">
      <c r="A228" s="413"/>
      <c r="B228" s="414"/>
      <c r="C228" s="413" t="str">
        <f>'5.Tiên lượng'!C129</f>
        <v>AE.26313</v>
      </c>
      <c r="D228" s="413"/>
      <c r="E228" s="415" t="str">
        <f>'5.Tiên lượng'!D129</f>
        <v>Xây rãnh thoát nước bằng gạch KN 6,5x10,5x22cm, vữa XM M75, PCB40</v>
      </c>
      <c r="F228" s="414" t="str">
        <f>'5.Tiên lượng'!E129</f>
        <v>m3</v>
      </c>
      <c r="G228" s="419">
        <f>'5.Tiên lượng'!M129</f>
        <v>10.43</v>
      </c>
      <c r="H228" s="419">
        <f>PTVT!G481</f>
        <v>5.5</v>
      </c>
      <c r="I228" s="419">
        <f>'5.Tiên lượng'!V129</f>
        <v>1</v>
      </c>
      <c r="J228" s="419">
        <f t="shared" si="27"/>
        <v>57.364999999999995</v>
      </c>
      <c r="K228" s="420">
        <f>PTVT!J481</f>
        <v>8714.3582499999993</v>
      </c>
      <c r="L228" s="420">
        <f t="shared" si="28"/>
        <v>499899.16101124993</v>
      </c>
      <c r="M228" s="420">
        <f>PTVT!L481</f>
        <v>8934.13825</v>
      </c>
      <c r="N228" s="420">
        <f t="shared" si="29"/>
        <v>512506.84071124997</v>
      </c>
      <c r="O228" s="420">
        <f t="shared" si="30"/>
        <v>219.78000000000065</v>
      </c>
      <c r="P228" s="420">
        <f t="shared" si="31"/>
        <v>12607.679700000037</v>
      </c>
      <c r="Q228" s="419">
        <v>1</v>
      </c>
      <c r="R228" s="420">
        <f t="shared" si="32"/>
        <v>8934.13825</v>
      </c>
      <c r="S228" s="420">
        <f t="shared" si="33"/>
        <v>512506.84071124997</v>
      </c>
      <c r="T228" s="420"/>
      <c r="U228" s="420"/>
      <c r="V228" s="420">
        <v>0</v>
      </c>
      <c r="W228" s="420">
        <f t="shared" si="34"/>
        <v>0</v>
      </c>
      <c r="X228" s="420">
        <f>PTVT!P481</f>
        <v>11322.757726261951</v>
      </c>
      <c r="Y228" s="420">
        <f t="shared" si="35"/>
        <v>649529.99696701672</v>
      </c>
      <c r="Z228" s="420">
        <f t="shared" si="36"/>
        <v>2608.3994762619513</v>
      </c>
      <c r="AA228" s="420">
        <f t="shared" si="37"/>
        <v>149630.83595576682</v>
      </c>
    </row>
    <row r="229" spans="1:27" s="410" customFormat="1" ht="41.4">
      <c r="A229" s="413"/>
      <c r="B229" s="414"/>
      <c r="C229" s="413" t="str">
        <f>'5.Tiên lượng'!C138</f>
        <v>AG.11413</v>
      </c>
      <c r="D229" s="413"/>
      <c r="E229" s="415" t="str">
        <f>'5.Tiên lượng'!D138</f>
        <v>Bê tông tấm đan, mái hắt, lanh tô, bê tông M250, đá 1x2, PCB40 - Đổ bê tông đúc sẵn bằng thủ công (vữa bê tông sản xuất bằng máy trộn)</v>
      </c>
      <c r="F229" s="414" t="str">
        <f>'5.Tiên lượng'!E138</f>
        <v>m3</v>
      </c>
      <c r="G229" s="419">
        <f>'5.Tiên lượng'!M138</f>
        <v>6.64</v>
      </c>
      <c r="H229" s="419">
        <f>PTVT!G535</f>
        <v>0.5</v>
      </c>
      <c r="I229" s="419">
        <f>'5.Tiên lượng'!V138</f>
        <v>1</v>
      </c>
      <c r="J229" s="419">
        <f t="shared" si="27"/>
        <v>3.32</v>
      </c>
      <c r="K229" s="420">
        <f>PTVT!J535</f>
        <v>8596.1872500000009</v>
      </c>
      <c r="L229" s="420">
        <f t="shared" si="28"/>
        <v>28539.341670000002</v>
      </c>
      <c r="M229" s="420">
        <f>PTVT!L535</f>
        <v>10227.79975</v>
      </c>
      <c r="N229" s="420">
        <f t="shared" si="29"/>
        <v>33956.295169999998</v>
      </c>
      <c r="O229" s="420">
        <f t="shared" si="30"/>
        <v>1631.6124999999993</v>
      </c>
      <c r="P229" s="420">
        <f t="shared" si="31"/>
        <v>5416.9534999999969</v>
      </c>
      <c r="Q229" s="419">
        <v>1</v>
      </c>
      <c r="R229" s="420">
        <f t="shared" si="32"/>
        <v>10227.79975</v>
      </c>
      <c r="S229" s="420">
        <f t="shared" si="33"/>
        <v>33956.295169999998</v>
      </c>
      <c r="T229" s="420"/>
      <c r="U229" s="420"/>
      <c r="V229" s="420">
        <v>0</v>
      </c>
      <c r="W229" s="420">
        <f t="shared" si="34"/>
        <v>0</v>
      </c>
      <c r="X229" s="420">
        <f>PTVT!P535</f>
        <v>11652.721586785306</v>
      </c>
      <c r="Y229" s="420">
        <f t="shared" si="35"/>
        <v>38687.035668127217</v>
      </c>
      <c r="Z229" s="420">
        <f t="shared" si="36"/>
        <v>3056.5343367853056</v>
      </c>
      <c r="AA229" s="420">
        <f t="shared" si="37"/>
        <v>10147.693998127213</v>
      </c>
    </row>
    <row r="230" spans="1:27" s="410" customFormat="1" ht="41.4">
      <c r="A230" s="413"/>
      <c r="B230" s="414"/>
      <c r="C230" s="413" t="str">
        <f>'5.Tiên lượng'!C195</f>
        <v>AG.11413</v>
      </c>
      <c r="D230" s="413"/>
      <c r="E230" s="415" t="str">
        <f>'5.Tiên lượng'!D195</f>
        <v>BTCT tấm bản mặt, M250, đá 1x2, PCB40 - Đổ bê tông đúc sẵn bằng thủ công (vữa bê tông sản xuất bằng máy trộn)</v>
      </c>
      <c r="F230" s="414" t="str">
        <f>'5.Tiên lượng'!E195</f>
        <v>m3</v>
      </c>
      <c r="G230" s="419">
        <f>'5.Tiên lượng'!M195</f>
        <v>1.23</v>
      </c>
      <c r="H230" s="419">
        <f>PTVT!G810</f>
        <v>0.5</v>
      </c>
      <c r="I230" s="419">
        <f>'5.Tiên lượng'!V195</f>
        <v>1</v>
      </c>
      <c r="J230" s="419">
        <f t="shared" si="27"/>
        <v>0.61499999999999999</v>
      </c>
      <c r="K230" s="420">
        <f>PTVT!J810</f>
        <v>8596.1872500000009</v>
      </c>
      <c r="L230" s="420">
        <f t="shared" si="28"/>
        <v>5286.6551587500007</v>
      </c>
      <c r="M230" s="420">
        <f>PTVT!L810</f>
        <v>10227.79975</v>
      </c>
      <c r="N230" s="420">
        <f t="shared" si="29"/>
        <v>6290.0968462499995</v>
      </c>
      <c r="O230" s="420">
        <f t="shared" si="30"/>
        <v>1631.6124999999993</v>
      </c>
      <c r="P230" s="420">
        <f t="shared" si="31"/>
        <v>1003.4416874999995</v>
      </c>
      <c r="Q230" s="419">
        <v>1</v>
      </c>
      <c r="R230" s="420">
        <f t="shared" si="32"/>
        <v>10227.79975</v>
      </c>
      <c r="S230" s="420">
        <f t="shared" si="33"/>
        <v>6290.0968462499995</v>
      </c>
      <c r="T230" s="420"/>
      <c r="U230" s="420"/>
      <c r="V230" s="420">
        <v>0</v>
      </c>
      <c r="W230" s="420">
        <f t="shared" si="34"/>
        <v>0</v>
      </c>
      <c r="X230" s="420">
        <f>PTVT!P810</f>
        <v>11652.721586785306</v>
      </c>
      <c r="Y230" s="420">
        <f t="shared" si="35"/>
        <v>7166.4237758729632</v>
      </c>
      <c r="Z230" s="420">
        <f t="shared" si="36"/>
        <v>3056.5343367853056</v>
      </c>
      <c r="AA230" s="420">
        <f t="shared" si="37"/>
        <v>1879.768617122963</v>
      </c>
    </row>
    <row r="231" spans="1:27" s="410" customFormat="1" ht="41.4">
      <c r="A231" s="413"/>
      <c r="B231" s="414"/>
      <c r="C231" s="413" t="str">
        <f>'5.Tiên lượng'!C46</f>
        <v>AF.15433</v>
      </c>
      <c r="D231" s="413"/>
      <c r="E231" s="415" t="str">
        <f>'5.Tiên lượng'!D46</f>
        <v>Bê tông sản xuất bằng máy trộn và đổ bằng thủ công, bê tông mặt đường dày mặt đường ≤25cm, bê tông M250, đá 2x4, PCB40</v>
      </c>
      <c r="F231" s="414" t="str">
        <f>'5.Tiên lượng'!E46</f>
        <v>m3</v>
      </c>
      <c r="G231" s="419">
        <f>'5.Tiên lượng'!M46</f>
        <v>900.03599999999994</v>
      </c>
      <c r="H231" s="419">
        <f>PTVT!G121</f>
        <v>1.5</v>
      </c>
      <c r="I231" s="419">
        <f>'5.Tiên lượng'!V46</f>
        <v>1</v>
      </c>
      <c r="J231" s="419">
        <f t="shared" si="27"/>
        <v>1350.0539999999999</v>
      </c>
      <c r="K231" s="420">
        <f>PTVT!J121</f>
        <v>9197.6323245489366</v>
      </c>
      <c r="L231" s="420">
        <f t="shared" si="28"/>
        <v>12417300.310286589</v>
      </c>
      <c r="M231" s="420">
        <f>PTVT!L121</f>
        <v>10821.108749999999</v>
      </c>
      <c r="N231" s="420">
        <f t="shared" si="29"/>
        <v>14609081.152372498</v>
      </c>
      <c r="O231" s="420">
        <f t="shared" si="30"/>
        <v>1623.4764254510628</v>
      </c>
      <c r="P231" s="420">
        <f t="shared" si="31"/>
        <v>2191780.8420859091</v>
      </c>
      <c r="Q231" s="419">
        <v>1</v>
      </c>
      <c r="R231" s="420">
        <f t="shared" si="32"/>
        <v>10821.108749999999</v>
      </c>
      <c r="S231" s="420">
        <f t="shared" si="33"/>
        <v>14609081.152372498</v>
      </c>
      <c r="T231" s="420"/>
      <c r="U231" s="420"/>
      <c r="V231" s="420">
        <v>0</v>
      </c>
      <c r="W231" s="420">
        <f t="shared" si="34"/>
        <v>0</v>
      </c>
      <c r="X231" s="420">
        <f>PTVT!P121</f>
        <v>12260.947483338579</v>
      </c>
      <c r="Y231" s="420">
        <f t="shared" si="35"/>
        <v>16552941.19367118</v>
      </c>
      <c r="Z231" s="420">
        <f t="shared" si="36"/>
        <v>3063.3151587896427</v>
      </c>
      <c r="AA231" s="420">
        <f t="shared" si="37"/>
        <v>4135640.8833845919</v>
      </c>
    </row>
    <row r="232" spans="1:27" s="410" customFormat="1" ht="41.4">
      <c r="A232" s="413"/>
      <c r="B232" s="414"/>
      <c r="C232" s="413" t="str">
        <f>'5.Tiên lượng'!C59</f>
        <v>AF.15433</v>
      </c>
      <c r="D232" s="413"/>
      <c r="E232" s="415" t="str">
        <f>'5.Tiên lượng'!D59</f>
        <v>Bê tông sản xuất bằng máy trộn và đổ bằng thủ công, bê tông mặt đường dày mặt đường ≤25cm, bê tông M250, đá 2x4, PCB40</v>
      </c>
      <c r="F232" s="414" t="str">
        <f>'5.Tiên lượng'!E59</f>
        <v>m3</v>
      </c>
      <c r="G232" s="419">
        <f>'5.Tiên lượng'!M59</f>
        <v>12.764000000000001</v>
      </c>
      <c r="H232" s="419">
        <f>PTVT!G178</f>
        <v>1.5</v>
      </c>
      <c r="I232" s="419">
        <f>'5.Tiên lượng'!V59</f>
        <v>1</v>
      </c>
      <c r="J232" s="419">
        <f t="shared" si="27"/>
        <v>19.146000000000001</v>
      </c>
      <c r="K232" s="420">
        <f>PTVT!J178</f>
        <v>9197.6323245489366</v>
      </c>
      <c r="L232" s="420">
        <f t="shared" si="28"/>
        <v>176097.86848581396</v>
      </c>
      <c r="M232" s="420">
        <f>PTVT!L178</f>
        <v>10821.108749999999</v>
      </c>
      <c r="N232" s="420">
        <f t="shared" si="29"/>
        <v>207180.94812749999</v>
      </c>
      <c r="O232" s="420">
        <f t="shared" si="30"/>
        <v>1623.4764254510628</v>
      </c>
      <c r="P232" s="420">
        <f t="shared" si="31"/>
        <v>31083.07964168605</v>
      </c>
      <c r="Q232" s="419">
        <v>1</v>
      </c>
      <c r="R232" s="420">
        <f t="shared" si="32"/>
        <v>10821.108749999999</v>
      </c>
      <c r="S232" s="420">
        <f t="shared" si="33"/>
        <v>207180.94812749999</v>
      </c>
      <c r="T232" s="420"/>
      <c r="U232" s="420"/>
      <c r="V232" s="420">
        <v>0</v>
      </c>
      <c r="W232" s="420">
        <f t="shared" si="34"/>
        <v>0</v>
      </c>
      <c r="X232" s="420">
        <f>PTVT!P178</f>
        <v>12260.947483338579</v>
      </c>
      <c r="Y232" s="420">
        <f t="shared" si="35"/>
        <v>234748.10051600044</v>
      </c>
      <c r="Z232" s="420">
        <f t="shared" si="36"/>
        <v>3063.3151587896427</v>
      </c>
      <c r="AA232" s="420">
        <f t="shared" si="37"/>
        <v>58650.232030186504</v>
      </c>
    </row>
    <row r="233" spans="1:27" s="410" customFormat="1">
      <c r="A233" s="413"/>
      <c r="B233" s="414"/>
      <c r="C233" s="413" t="str">
        <f>'5.Tiên lượng'!C135</f>
        <v>AF.82511</v>
      </c>
      <c r="D233" s="413"/>
      <c r="E233" s="415" t="str">
        <f>'5.Tiên lượng'!D135</f>
        <v>Ván khuôn thép mũ  mố</v>
      </c>
      <c r="F233" s="414" t="str">
        <f>'5.Tiên lượng'!E135</f>
        <v>100m2</v>
      </c>
      <c r="G233" s="419">
        <f>'5.Tiên lượng'!M135</f>
        <v>0.93220000000000003</v>
      </c>
      <c r="H233" s="419">
        <f>PTVT!G523</f>
        <v>5</v>
      </c>
      <c r="I233" s="419">
        <f>'5.Tiên lượng'!V135</f>
        <v>1</v>
      </c>
      <c r="J233" s="419">
        <f t="shared" si="27"/>
        <v>4.6610000000000005</v>
      </c>
      <c r="K233" s="420">
        <f>PTVT!J523</f>
        <v>15387.45</v>
      </c>
      <c r="L233" s="420">
        <f t="shared" si="28"/>
        <v>71720.904450000016</v>
      </c>
      <c r="M233" s="420">
        <f>PTVT!L523</f>
        <v>15387.45</v>
      </c>
      <c r="N233" s="420">
        <f t="shared" si="29"/>
        <v>71720.904450000016</v>
      </c>
      <c r="O233" s="420">
        <f t="shared" si="30"/>
        <v>0</v>
      </c>
      <c r="P233" s="420">
        <f t="shared" si="31"/>
        <v>0</v>
      </c>
      <c r="Q233" s="419">
        <v>1</v>
      </c>
      <c r="R233" s="420">
        <f t="shared" si="32"/>
        <v>15387.45</v>
      </c>
      <c r="S233" s="420">
        <f t="shared" si="33"/>
        <v>71720.904450000016</v>
      </c>
      <c r="T233" s="420"/>
      <c r="U233" s="420"/>
      <c r="V233" s="420">
        <v>0</v>
      </c>
      <c r="W233" s="420">
        <f t="shared" si="34"/>
        <v>0</v>
      </c>
      <c r="X233" s="420">
        <f>PTVT!P523</f>
        <v>15460.964198709693</v>
      </c>
      <c r="Y233" s="420">
        <f t="shared" si="35"/>
        <v>72063.55413018589</v>
      </c>
      <c r="Z233" s="420">
        <f t="shared" si="36"/>
        <v>73.514198709692209</v>
      </c>
      <c r="AA233" s="420">
        <f t="shared" si="37"/>
        <v>342.64968018587541</v>
      </c>
    </row>
    <row r="234" spans="1:27" s="410" customFormat="1">
      <c r="A234" s="413"/>
      <c r="B234" s="414"/>
      <c r="C234" s="413" t="str">
        <f>'5.Tiên lượng'!C158</f>
        <v>AF.82511</v>
      </c>
      <c r="D234" s="413"/>
      <c r="E234" s="415" t="str">
        <f>'5.Tiên lượng'!D158</f>
        <v>Ván khuôn thép rãnh</v>
      </c>
      <c r="F234" s="414" t="str">
        <f>'5.Tiên lượng'!E158</f>
        <v>100m2</v>
      </c>
      <c r="G234" s="419">
        <f>'5.Tiên lượng'!M158</f>
        <v>0.61380000000000001</v>
      </c>
      <c r="H234" s="419">
        <f>PTVT!G621</f>
        <v>5</v>
      </c>
      <c r="I234" s="419">
        <f>'5.Tiên lượng'!V158</f>
        <v>1</v>
      </c>
      <c r="J234" s="419">
        <f t="shared" si="27"/>
        <v>3.069</v>
      </c>
      <c r="K234" s="420">
        <f>PTVT!J621</f>
        <v>15387.45</v>
      </c>
      <c r="L234" s="420">
        <f t="shared" si="28"/>
        <v>47224.084050000005</v>
      </c>
      <c r="M234" s="420">
        <f>PTVT!L621</f>
        <v>15387.45</v>
      </c>
      <c r="N234" s="420">
        <f t="shared" si="29"/>
        <v>47224.084050000005</v>
      </c>
      <c r="O234" s="420">
        <f t="shared" si="30"/>
        <v>0</v>
      </c>
      <c r="P234" s="420">
        <f t="shared" si="31"/>
        <v>0</v>
      </c>
      <c r="Q234" s="419">
        <v>1</v>
      </c>
      <c r="R234" s="420">
        <f t="shared" si="32"/>
        <v>15387.45</v>
      </c>
      <c r="S234" s="420">
        <f t="shared" si="33"/>
        <v>47224.084050000005</v>
      </c>
      <c r="T234" s="420"/>
      <c r="U234" s="420"/>
      <c r="V234" s="420">
        <v>0</v>
      </c>
      <c r="W234" s="420">
        <f t="shared" si="34"/>
        <v>0</v>
      </c>
      <c r="X234" s="420">
        <f>PTVT!P621</f>
        <v>15460.964198709693</v>
      </c>
      <c r="Y234" s="420">
        <f t="shared" si="35"/>
        <v>47449.699125840045</v>
      </c>
      <c r="Z234" s="420">
        <f t="shared" si="36"/>
        <v>73.514198709692209</v>
      </c>
      <c r="AA234" s="420">
        <f t="shared" si="37"/>
        <v>225.61507584004539</v>
      </c>
    </row>
    <row r="235" spans="1:27" s="410" customFormat="1">
      <c r="A235" s="413"/>
      <c r="B235" s="414"/>
      <c r="C235" s="413" t="str">
        <f>'5.Tiên lượng'!C202</f>
        <v>AF.82511</v>
      </c>
      <c r="D235" s="413"/>
      <c r="E235" s="415" t="str">
        <f>'5.Tiên lượng'!D202</f>
        <v>Ván khuôn thép cống</v>
      </c>
      <c r="F235" s="414" t="str">
        <f>'5.Tiên lượng'!E202</f>
        <v>100m2</v>
      </c>
      <c r="G235" s="419">
        <f>'5.Tiên lượng'!M202</f>
        <v>0.27440000000000003</v>
      </c>
      <c r="H235" s="419">
        <f>PTVT!G858</f>
        <v>5</v>
      </c>
      <c r="I235" s="419">
        <f>'5.Tiên lượng'!V202</f>
        <v>1</v>
      </c>
      <c r="J235" s="419">
        <f t="shared" si="27"/>
        <v>1.3720000000000001</v>
      </c>
      <c r="K235" s="420">
        <f>PTVT!J858</f>
        <v>15387.45</v>
      </c>
      <c r="L235" s="420">
        <f t="shared" si="28"/>
        <v>21111.581400000003</v>
      </c>
      <c r="M235" s="420">
        <f>PTVT!L858</f>
        <v>15387.45</v>
      </c>
      <c r="N235" s="420">
        <f t="shared" si="29"/>
        <v>21111.581400000003</v>
      </c>
      <c r="O235" s="420">
        <f t="shared" si="30"/>
        <v>0</v>
      </c>
      <c r="P235" s="420">
        <f t="shared" si="31"/>
        <v>0</v>
      </c>
      <c r="Q235" s="419">
        <v>1</v>
      </c>
      <c r="R235" s="420">
        <f t="shared" si="32"/>
        <v>15387.45</v>
      </c>
      <c r="S235" s="420">
        <f t="shared" si="33"/>
        <v>21111.581400000003</v>
      </c>
      <c r="T235" s="420"/>
      <c r="U235" s="420"/>
      <c r="V235" s="420">
        <v>0</v>
      </c>
      <c r="W235" s="420">
        <f t="shared" si="34"/>
        <v>0</v>
      </c>
      <c r="X235" s="420">
        <f>PTVT!P858</f>
        <v>15460.964198709693</v>
      </c>
      <c r="Y235" s="420">
        <f t="shared" si="35"/>
        <v>21212.4428806297</v>
      </c>
      <c r="Z235" s="420">
        <f t="shared" si="36"/>
        <v>73.514198709692209</v>
      </c>
      <c r="AA235" s="420">
        <f t="shared" si="37"/>
        <v>100.86148062969772</v>
      </c>
    </row>
    <row r="236" spans="1:27" s="410" customFormat="1" ht="41.4">
      <c r="A236" s="413"/>
      <c r="B236" s="414"/>
      <c r="C236" s="413" t="str">
        <f>'5.Tiên lượng'!C111</f>
        <v>LS.11110(ĐM.1322)</v>
      </c>
      <c r="D236" s="413"/>
      <c r="E236" s="415" t="str">
        <f>'5.Tiên lượng'!D111</f>
        <v>Cào bóc tái sinh nguội tại chỗ bằng máy cào bóc tái sinh WR2400 trên mặt đường láng nhựa, chiều dày 18cm (4% xi măng rải thủ công)</v>
      </c>
      <c r="F236" s="414" t="str">
        <f>'5.Tiên lượng'!E111</f>
        <v>100m3</v>
      </c>
      <c r="G236" s="419">
        <f>'5.Tiên lượng'!M111</f>
        <v>19.253299999999999</v>
      </c>
      <c r="H236" s="419">
        <f>PTVT!G379</f>
        <v>1</v>
      </c>
      <c r="I236" s="419">
        <f>'5.Tiên lượng'!V111</f>
        <v>0.9</v>
      </c>
      <c r="J236" s="419">
        <f t="shared" si="27"/>
        <v>17.327970000000001</v>
      </c>
      <c r="K236" s="420">
        <f>PTVT!J379</f>
        <v>179265.4</v>
      </c>
      <c r="L236" s="420">
        <f t="shared" si="28"/>
        <v>3106305.4732380002</v>
      </c>
      <c r="M236" s="420">
        <f>PTVT!L379</f>
        <v>199882.9</v>
      </c>
      <c r="N236" s="420">
        <f t="shared" si="29"/>
        <v>3463564.8947129999</v>
      </c>
      <c r="O236" s="420">
        <f t="shared" si="30"/>
        <v>20617.5</v>
      </c>
      <c r="P236" s="420">
        <f t="shared" si="31"/>
        <v>357259.42147500004</v>
      </c>
      <c r="Q236" s="419">
        <v>1</v>
      </c>
      <c r="R236" s="420">
        <f t="shared" si="32"/>
        <v>199882.9</v>
      </c>
      <c r="S236" s="420">
        <f t="shared" si="33"/>
        <v>3463564.8947129999</v>
      </c>
      <c r="T236" s="420"/>
      <c r="U236" s="420"/>
      <c r="V236" s="420">
        <v>0</v>
      </c>
      <c r="W236" s="420">
        <f t="shared" si="34"/>
        <v>0</v>
      </c>
      <c r="X236" s="420">
        <f>PTVT!P379</f>
        <v>211098.8103584699</v>
      </c>
      <c r="Y236" s="420">
        <f t="shared" si="35"/>
        <v>3657913.8529272559</v>
      </c>
      <c r="Z236" s="420">
        <f t="shared" si="36"/>
        <v>31833.410358469904</v>
      </c>
      <c r="AA236" s="420">
        <f t="shared" si="37"/>
        <v>551608.37968925573</v>
      </c>
    </row>
    <row r="237" spans="1:27" s="410" customFormat="1" ht="41.4">
      <c r="A237" s="413"/>
      <c r="B237" s="414"/>
      <c r="C237" s="413" t="str">
        <f>'5.Tiên lượng'!C118</f>
        <v>LS.11110(ĐM.1322)</v>
      </c>
      <c r="D237" s="413"/>
      <c r="E237" s="415" t="str">
        <f>'5.Tiên lượng'!D118</f>
        <v>Cào bóc tái sinh nguội tại chỗ bằng máy cào bóc tái sinh WR2400 trên mặt đường láng nhựa, chiều dày 18cm (4% xi măng rải thủ công)</v>
      </c>
      <c r="F237" s="414" t="str">
        <f>'5.Tiên lượng'!E118</f>
        <v>100m3</v>
      </c>
      <c r="G237" s="419">
        <f>'5.Tiên lượng'!M118</f>
        <v>0.2389</v>
      </c>
      <c r="H237" s="419">
        <f>PTVT!G420</f>
        <v>1</v>
      </c>
      <c r="I237" s="419">
        <f>'5.Tiên lượng'!V118</f>
        <v>0.9</v>
      </c>
      <c r="J237" s="419">
        <f t="shared" si="27"/>
        <v>0.21501000000000001</v>
      </c>
      <c r="K237" s="420">
        <f>PTVT!J420</f>
        <v>179265.4</v>
      </c>
      <c r="L237" s="420">
        <f t="shared" si="28"/>
        <v>38543.853653999999</v>
      </c>
      <c r="M237" s="420">
        <f>PTVT!L420</f>
        <v>199882.9</v>
      </c>
      <c r="N237" s="420">
        <f t="shared" si="29"/>
        <v>42976.822329000002</v>
      </c>
      <c r="O237" s="420">
        <f t="shared" si="30"/>
        <v>20617.5</v>
      </c>
      <c r="P237" s="420">
        <f t="shared" si="31"/>
        <v>4432.9686750000001</v>
      </c>
      <c r="Q237" s="419">
        <v>1</v>
      </c>
      <c r="R237" s="420">
        <f t="shared" si="32"/>
        <v>199882.9</v>
      </c>
      <c r="S237" s="420">
        <f t="shared" si="33"/>
        <v>42976.822329000002</v>
      </c>
      <c r="T237" s="420"/>
      <c r="U237" s="420"/>
      <c r="V237" s="420">
        <v>0</v>
      </c>
      <c r="W237" s="420">
        <f t="shared" si="34"/>
        <v>0</v>
      </c>
      <c r="X237" s="420">
        <f>PTVT!P420</f>
        <v>211098.8103584699</v>
      </c>
      <c r="Y237" s="420">
        <f t="shared" si="35"/>
        <v>45388.355215174612</v>
      </c>
      <c r="Z237" s="420">
        <f t="shared" si="36"/>
        <v>31833.410358469904</v>
      </c>
      <c r="AA237" s="420">
        <f t="shared" si="37"/>
        <v>6844.5015611746139</v>
      </c>
    </row>
    <row r="238" spans="1:27" s="410" customFormat="1" ht="27.6">
      <c r="A238" s="413"/>
      <c r="B238" s="414"/>
      <c r="C238" s="413" t="str">
        <f>'5.Tiên lượng'!C146</f>
        <v>BB.11112</v>
      </c>
      <c r="D238" s="413"/>
      <c r="E238" s="415" t="str">
        <f>'5.Tiên lượng'!D146</f>
        <v xml:space="preserve">Lắp đặt ống bê tông bằng thủ công, đoạn ống dài 1m - Đường kính 300mm </v>
      </c>
      <c r="F238" s="414" t="str">
        <f>'5.Tiên lượng'!E146</f>
        <v>1 đoạn ống</v>
      </c>
      <c r="G238" s="419">
        <f>'5.Tiên lượng'!M146</f>
        <v>38</v>
      </c>
      <c r="H238" s="419">
        <f>PTVT!G568</f>
        <v>0.05</v>
      </c>
      <c r="I238" s="419">
        <f>'5.Tiên lượng'!V146</f>
        <v>1</v>
      </c>
      <c r="J238" s="419">
        <f t="shared" si="27"/>
        <v>1.9000000000000001</v>
      </c>
      <c r="K238" s="420">
        <f>PTVT!J568</f>
        <v>3307.5</v>
      </c>
      <c r="L238" s="420">
        <f t="shared" si="28"/>
        <v>6284.25</v>
      </c>
      <c r="M238" s="420">
        <f>PTVT!L568</f>
        <v>3307.5</v>
      </c>
      <c r="N238" s="420">
        <f t="shared" si="29"/>
        <v>6284.25</v>
      </c>
      <c r="O238" s="420">
        <f t="shared" si="30"/>
        <v>0</v>
      </c>
      <c r="P238" s="420">
        <f t="shared" si="31"/>
        <v>0</v>
      </c>
      <c r="Q238" s="419">
        <v>1</v>
      </c>
      <c r="R238" s="420">
        <f t="shared" si="32"/>
        <v>3307.5</v>
      </c>
      <c r="S238" s="420">
        <f t="shared" si="33"/>
        <v>6284.25</v>
      </c>
      <c r="T238" s="420"/>
      <c r="U238" s="420"/>
      <c r="V238" s="420">
        <v>0</v>
      </c>
      <c r="W238" s="420">
        <f t="shared" si="34"/>
        <v>0</v>
      </c>
      <c r="X238" s="420">
        <f>PTVT!P568</f>
        <v>3416.2355405320282</v>
      </c>
      <c r="Y238" s="420">
        <f t="shared" si="35"/>
        <v>6490.8475270108538</v>
      </c>
      <c r="Z238" s="420">
        <f t="shared" si="36"/>
        <v>108.73554053202815</v>
      </c>
      <c r="AA238" s="420">
        <f t="shared" si="37"/>
        <v>206.5975270108535</v>
      </c>
    </row>
    <row r="239" spans="1:27" s="410" customFormat="1" ht="27.6">
      <c r="A239" s="413"/>
      <c r="B239" s="414"/>
      <c r="C239" s="413" t="str">
        <f>'5.Tiên lượng'!C180</f>
        <v>BB.11211VD</v>
      </c>
      <c r="D239" s="413"/>
      <c r="E239" s="415" t="str">
        <f>'5.Tiên lượng'!D180</f>
        <v>Lắp đặt ống bê tông bằng cần cẩu, đoạn ống dài 1m - Đường kính 400mm</v>
      </c>
      <c r="F239" s="414" t="str">
        <f>'5.Tiên lượng'!E180</f>
        <v>1 đoạn ống</v>
      </c>
      <c r="G239" s="419">
        <f>'5.Tiên lượng'!M180</f>
        <v>3</v>
      </c>
      <c r="H239" s="419">
        <f>PTVT!G694</f>
        <v>0.05</v>
      </c>
      <c r="I239" s="419">
        <f>'5.Tiên lượng'!V180</f>
        <v>1</v>
      </c>
      <c r="J239" s="419">
        <f t="shared" si="27"/>
        <v>0.15000000000000002</v>
      </c>
      <c r="K239" s="420">
        <f>PTVT!J694</f>
        <v>3908.87</v>
      </c>
      <c r="L239" s="420">
        <f t="shared" si="28"/>
        <v>586.33050000000003</v>
      </c>
      <c r="M239" s="420">
        <f>PTVT!L694</f>
        <v>3908.87</v>
      </c>
      <c r="N239" s="420">
        <f t="shared" si="29"/>
        <v>586.33050000000003</v>
      </c>
      <c r="O239" s="420">
        <f t="shared" si="30"/>
        <v>0</v>
      </c>
      <c r="P239" s="420">
        <f t="shared" si="31"/>
        <v>0</v>
      </c>
      <c r="Q239" s="419">
        <v>1</v>
      </c>
      <c r="R239" s="420">
        <f t="shared" si="32"/>
        <v>3908.87</v>
      </c>
      <c r="S239" s="420">
        <f t="shared" si="33"/>
        <v>586.33050000000003</v>
      </c>
      <c r="T239" s="420"/>
      <c r="U239" s="420"/>
      <c r="V239" s="420">
        <v>0</v>
      </c>
      <c r="W239" s="420">
        <f t="shared" si="34"/>
        <v>0</v>
      </c>
      <c r="X239" s="420">
        <f>PTVT!P694</f>
        <v>4020.1342740327727</v>
      </c>
      <c r="Y239" s="420">
        <f t="shared" si="35"/>
        <v>603.02014110491598</v>
      </c>
      <c r="Z239" s="420">
        <f t="shared" si="36"/>
        <v>111.26427403277285</v>
      </c>
      <c r="AA239" s="420">
        <f t="shared" si="37"/>
        <v>16.689641104915928</v>
      </c>
    </row>
    <row r="240" spans="1:27" s="410" customFormat="1" ht="27.6">
      <c r="A240" s="413"/>
      <c r="B240" s="414"/>
      <c r="C240" s="413" t="str">
        <f>'5.Tiên lượng'!C182</f>
        <v>BB.11211</v>
      </c>
      <c r="D240" s="413"/>
      <c r="E240" s="415" t="str">
        <f>'5.Tiên lượng'!D182</f>
        <v>Lắp đặt ống bê tông bằng cần cẩu, đoạn ống dài 1m - Đường kính 600mm</v>
      </c>
      <c r="F240" s="414" t="str">
        <f>'5.Tiên lượng'!E182</f>
        <v>1 đoạn ống</v>
      </c>
      <c r="G240" s="419">
        <f>'5.Tiên lượng'!M182</f>
        <v>1</v>
      </c>
      <c r="H240" s="419">
        <f>PTVT!G712</f>
        <v>0.05</v>
      </c>
      <c r="I240" s="419">
        <f>'5.Tiên lượng'!V182</f>
        <v>1</v>
      </c>
      <c r="J240" s="419">
        <f t="shared" si="27"/>
        <v>0.05</v>
      </c>
      <c r="K240" s="420">
        <f>PTVT!J712</f>
        <v>5462.38</v>
      </c>
      <c r="L240" s="420">
        <f t="shared" si="28"/>
        <v>273.11900000000003</v>
      </c>
      <c r="M240" s="420">
        <f>PTVT!L712</f>
        <v>5462.38</v>
      </c>
      <c r="N240" s="420">
        <f t="shared" si="29"/>
        <v>273.11900000000003</v>
      </c>
      <c r="O240" s="420">
        <f t="shared" si="30"/>
        <v>0</v>
      </c>
      <c r="P240" s="420">
        <f t="shared" si="31"/>
        <v>0</v>
      </c>
      <c r="Q240" s="419">
        <v>1</v>
      </c>
      <c r="R240" s="420">
        <f t="shared" si="32"/>
        <v>5462.38</v>
      </c>
      <c r="S240" s="420">
        <f t="shared" si="33"/>
        <v>273.11900000000003</v>
      </c>
      <c r="T240" s="420"/>
      <c r="U240" s="420"/>
      <c r="V240" s="420">
        <v>0</v>
      </c>
      <c r="W240" s="420">
        <f t="shared" si="34"/>
        <v>0</v>
      </c>
      <c r="X240" s="420">
        <f>PTVT!P712</f>
        <v>5661.7284909753853</v>
      </c>
      <c r="Y240" s="420">
        <f t="shared" si="35"/>
        <v>283.08642454876929</v>
      </c>
      <c r="Z240" s="420">
        <f t="shared" si="36"/>
        <v>199.34849097538518</v>
      </c>
      <c r="AA240" s="420">
        <f t="shared" si="37"/>
        <v>9.9674245487692588</v>
      </c>
    </row>
    <row r="241" spans="1:27" s="410" customFormat="1" ht="27.6">
      <c r="A241" s="413"/>
      <c r="B241" s="414"/>
      <c r="C241" s="413" t="str">
        <f>'5.Tiên lượng'!C147</f>
        <v>BB.11122</v>
      </c>
      <c r="D241" s="413"/>
      <c r="E241" s="415" t="str">
        <f>'5.Tiên lượng'!D147</f>
        <v xml:space="preserve">Lắp đặt ống bê tông bằng thủ công, đoạn ống dài 2m - Đường kính 300mm </v>
      </c>
      <c r="F241" s="414" t="str">
        <f>'5.Tiên lượng'!E147</f>
        <v>1 đoạn ống</v>
      </c>
      <c r="G241" s="419">
        <f>'5.Tiên lượng'!M147</f>
        <v>74</v>
      </c>
      <c r="H241" s="419">
        <f>PTVT!G574</f>
        <v>0.05</v>
      </c>
      <c r="I241" s="419">
        <f>'5.Tiên lượng'!V147</f>
        <v>1</v>
      </c>
      <c r="J241" s="419">
        <f t="shared" si="27"/>
        <v>3.7</v>
      </c>
      <c r="K241" s="420">
        <f>PTVT!J574</f>
        <v>6615</v>
      </c>
      <c r="L241" s="420">
        <f t="shared" si="28"/>
        <v>24475.5</v>
      </c>
      <c r="M241" s="420">
        <f>PTVT!L574</f>
        <v>6615</v>
      </c>
      <c r="N241" s="420">
        <f t="shared" si="29"/>
        <v>24475.5</v>
      </c>
      <c r="O241" s="420">
        <f t="shared" si="30"/>
        <v>0</v>
      </c>
      <c r="P241" s="420">
        <f t="shared" si="31"/>
        <v>0</v>
      </c>
      <c r="Q241" s="419">
        <v>1</v>
      </c>
      <c r="R241" s="420">
        <f t="shared" si="32"/>
        <v>6615</v>
      </c>
      <c r="S241" s="420">
        <f t="shared" si="33"/>
        <v>24475.5</v>
      </c>
      <c r="T241" s="420"/>
      <c r="U241" s="420"/>
      <c r="V241" s="420">
        <v>0</v>
      </c>
      <c r="W241" s="420">
        <f t="shared" si="34"/>
        <v>0</v>
      </c>
      <c r="X241" s="420">
        <f>PTVT!P574</f>
        <v>6832.4710810640563</v>
      </c>
      <c r="Y241" s="420">
        <f t="shared" si="35"/>
        <v>25280.142999937008</v>
      </c>
      <c r="Z241" s="420">
        <f t="shared" si="36"/>
        <v>217.47108106405631</v>
      </c>
      <c r="AA241" s="420">
        <f t="shared" si="37"/>
        <v>804.64299993700843</v>
      </c>
    </row>
    <row r="242" spans="1:27" s="410" customFormat="1" ht="27.6">
      <c r="A242" s="413"/>
      <c r="B242" s="414"/>
      <c r="C242" s="413" t="str">
        <f>'5.Tiên lượng'!C181</f>
        <v>BB.11221VD</v>
      </c>
      <c r="D242" s="413"/>
      <c r="E242" s="415" t="str">
        <f>'5.Tiên lượng'!D181</f>
        <v>Lắp đặt ống bê tông bằng cần cẩu, đoạn ống dài 2m - Đường kính 400mm</v>
      </c>
      <c r="F242" s="414" t="str">
        <f>'5.Tiên lượng'!E181</f>
        <v>1 đoạn ống</v>
      </c>
      <c r="G242" s="419">
        <f>'5.Tiên lượng'!M181</f>
        <v>15</v>
      </c>
      <c r="H242" s="419">
        <f>PTVT!G703</f>
        <v>0.05</v>
      </c>
      <c r="I242" s="419">
        <f>'5.Tiên lượng'!V181</f>
        <v>1</v>
      </c>
      <c r="J242" s="419">
        <f t="shared" si="27"/>
        <v>0.75</v>
      </c>
      <c r="K242" s="420">
        <f>PTVT!J703</f>
        <v>7817.74</v>
      </c>
      <c r="L242" s="420">
        <f t="shared" si="28"/>
        <v>5863.3050000000003</v>
      </c>
      <c r="M242" s="420">
        <f>PTVT!L703</f>
        <v>7817.74</v>
      </c>
      <c r="N242" s="420">
        <f t="shared" si="29"/>
        <v>5863.3050000000003</v>
      </c>
      <c r="O242" s="420">
        <f t="shared" si="30"/>
        <v>0</v>
      </c>
      <c r="P242" s="420">
        <f t="shared" si="31"/>
        <v>0</v>
      </c>
      <c r="Q242" s="419">
        <v>1</v>
      </c>
      <c r="R242" s="420">
        <f t="shared" si="32"/>
        <v>7817.74</v>
      </c>
      <c r="S242" s="420">
        <f t="shared" si="33"/>
        <v>5863.3050000000003</v>
      </c>
      <c r="T242" s="420"/>
      <c r="U242" s="420"/>
      <c r="V242" s="420">
        <v>0</v>
      </c>
      <c r="W242" s="420">
        <f t="shared" si="34"/>
        <v>0</v>
      </c>
      <c r="X242" s="420">
        <f>PTVT!P703</f>
        <v>8040.2685480655455</v>
      </c>
      <c r="Y242" s="420">
        <f t="shared" si="35"/>
        <v>6030.2014110491591</v>
      </c>
      <c r="Z242" s="420">
        <f t="shared" si="36"/>
        <v>222.52854806554569</v>
      </c>
      <c r="AA242" s="420">
        <f t="shared" si="37"/>
        <v>166.89641104915927</v>
      </c>
    </row>
    <row r="243" spans="1:27" s="410" customFormat="1" ht="27.6">
      <c r="A243" s="413"/>
      <c r="B243" s="414"/>
      <c r="C243" s="413" t="str">
        <f>'5.Tiên lượng'!C183</f>
        <v>BB.11221</v>
      </c>
      <c r="D243" s="413"/>
      <c r="E243" s="415" t="str">
        <f>'5.Tiên lượng'!D183</f>
        <v>Lắp đặt ống bê tông bằng cần cẩu, đoạn ống dài 2m - Đường kính 600mm</v>
      </c>
      <c r="F243" s="414" t="str">
        <f>'5.Tiên lượng'!E183</f>
        <v>1 đoạn ống</v>
      </c>
      <c r="G243" s="419">
        <f>'5.Tiên lượng'!M183</f>
        <v>1</v>
      </c>
      <c r="H243" s="419">
        <f>PTVT!G721</f>
        <v>0.05</v>
      </c>
      <c r="I243" s="419">
        <f>'5.Tiên lượng'!V183</f>
        <v>1</v>
      </c>
      <c r="J243" s="419">
        <f t="shared" si="27"/>
        <v>0.05</v>
      </c>
      <c r="K243" s="420">
        <f>PTVT!J721</f>
        <v>10924.76</v>
      </c>
      <c r="L243" s="420">
        <f t="shared" si="28"/>
        <v>546.23800000000006</v>
      </c>
      <c r="M243" s="420">
        <f>PTVT!L721</f>
        <v>10924.76</v>
      </c>
      <c r="N243" s="420">
        <f t="shared" si="29"/>
        <v>546.23800000000006</v>
      </c>
      <c r="O243" s="420">
        <f t="shared" si="30"/>
        <v>0</v>
      </c>
      <c r="P243" s="420">
        <f t="shared" si="31"/>
        <v>0</v>
      </c>
      <c r="Q243" s="419">
        <v>1</v>
      </c>
      <c r="R243" s="420">
        <f t="shared" si="32"/>
        <v>10924.76</v>
      </c>
      <c r="S243" s="420">
        <f t="shared" si="33"/>
        <v>546.23800000000006</v>
      </c>
      <c r="T243" s="420"/>
      <c r="U243" s="420"/>
      <c r="V243" s="420">
        <v>0</v>
      </c>
      <c r="W243" s="420">
        <f t="shared" si="34"/>
        <v>0</v>
      </c>
      <c r="X243" s="420">
        <f>PTVT!P721</f>
        <v>11302.45706531072</v>
      </c>
      <c r="Y243" s="420">
        <f t="shared" si="35"/>
        <v>565.12285326553604</v>
      </c>
      <c r="Z243" s="420">
        <f t="shared" si="36"/>
        <v>377.69706531072006</v>
      </c>
      <c r="AA243" s="420">
        <f t="shared" si="37"/>
        <v>18.884853265536005</v>
      </c>
    </row>
    <row r="244" spans="1:27" s="410" customFormat="1" ht="27.6">
      <c r="A244" s="413"/>
      <c r="B244" s="414"/>
      <c r="C244" s="413" t="str">
        <f>'5.Tiên lượng'!C184</f>
        <v>BB.11222VD</v>
      </c>
      <c r="D244" s="413"/>
      <c r="E244" s="415" t="str">
        <f>'5.Tiên lượng'!D184</f>
        <v>Lắp đặt ống bê tông bằng cần cẩu, đoạn ống dài 2m - Đường kính 800mm</v>
      </c>
      <c r="F244" s="414" t="str">
        <f>'5.Tiên lượng'!E184</f>
        <v>1 đoạn ống</v>
      </c>
      <c r="G244" s="419">
        <f>'5.Tiên lượng'!M184</f>
        <v>1</v>
      </c>
      <c r="H244" s="419">
        <f>PTVT!G730</f>
        <v>0.05</v>
      </c>
      <c r="I244" s="419">
        <f>'5.Tiên lượng'!V184</f>
        <v>1</v>
      </c>
      <c r="J244" s="419">
        <f t="shared" si="27"/>
        <v>0.05</v>
      </c>
      <c r="K244" s="420">
        <f>PTVT!J730</f>
        <v>18542.060000000001</v>
      </c>
      <c r="L244" s="420">
        <f t="shared" si="28"/>
        <v>927.10300000000007</v>
      </c>
      <c r="M244" s="420">
        <f>PTVT!L730</f>
        <v>18542.060000000001</v>
      </c>
      <c r="N244" s="420">
        <f t="shared" si="29"/>
        <v>927.10300000000007</v>
      </c>
      <c r="O244" s="420">
        <f t="shared" si="30"/>
        <v>0</v>
      </c>
      <c r="P244" s="420">
        <f t="shared" si="31"/>
        <v>0</v>
      </c>
      <c r="Q244" s="419">
        <v>1</v>
      </c>
      <c r="R244" s="420">
        <f t="shared" si="32"/>
        <v>18542.060000000001</v>
      </c>
      <c r="S244" s="420">
        <f t="shared" si="33"/>
        <v>927.10300000000007</v>
      </c>
      <c r="T244" s="420"/>
      <c r="U244" s="420"/>
      <c r="V244" s="420">
        <v>0</v>
      </c>
      <c r="W244" s="420">
        <f t="shared" si="34"/>
        <v>0</v>
      </c>
      <c r="X244" s="420">
        <f>PTVT!P730</f>
        <v>19411.944324256223</v>
      </c>
      <c r="Y244" s="420">
        <f t="shared" si="35"/>
        <v>970.59721621281119</v>
      </c>
      <c r="Z244" s="420">
        <f t="shared" si="36"/>
        <v>869.88432425622159</v>
      </c>
      <c r="AA244" s="420">
        <f t="shared" si="37"/>
        <v>43.494216212811082</v>
      </c>
    </row>
    <row r="245" spans="1:27" s="410" customFormat="1" ht="27.6">
      <c r="A245" s="413"/>
      <c r="B245" s="414"/>
      <c r="C245" s="413" t="str">
        <f>'5.Tiên lượng'!C188</f>
        <v>BB.33011</v>
      </c>
      <c r="D245" s="413"/>
      <c r="E245" s="415" t="str">
        <f>'5.Tiên lượng'!D188</f>
        <v>Khối xây gia cố bằng đá hộc - Chiều dày ≤60cm, vữa XM M100, PCB40</v>
      </c>
      <c r="F245" s="414" t="str">
        <f>'5.Tiên lượng'!E188</f>
        <v>100m</v>
      </c>
      <c r="G245" s="419">
        <f>'5.Tiên lượng'!M188</f>
        <v>8.199999999999999E-2</v>
      </c>
      <c r="H245" s="419">
        <f>PTVT!G761</f>
        <v>0.01</v>
      </c>
      <c r="I245" s="419">
        <f>'5.Tiên lượng'!V188</f>
        <v>1</v>
      </c>
      <c r="J245" s="419">
        <f t="shared" si="27"/>
        <v>8.1999999999999987E-4</v>
      </c>
      <c r="K245" s="420">
        <f>PTVT!J761</f>
        <v>424924.125</v>
      </c>
      <c r="L245" s="420">
        <f t="shared" si="28"/>
        <v>348.43778249999997</v>
      </c>
      <c r="M245" s="420">
        <f>PTVT!L761</f>
        <v>424924.125</v>
      </c>
      <c r="N245" s="420">
        <f t="shared" si="29"/>
        <v>348.43778249999997</v>
      </c>
      <c r="O245" s="420">
        <f t="shared" si="30"/>
        <v>0</v>
      </c>
      <c r="P245" s="420">
        <f t="shared" si="31"/>
        <v>0</v>
      </c>
      <c r="Q245" s="419">
        <v>1</v>
      </c>
      <c r="R245" s="420">
        <f t="shared" si="32"/>
        <v>424924.125</v>
      </c>
      <c r="S245" s="420">
        <f t="shared" si="33"/>
        <v>348.43778249999997</v>
      </c>
      <c r="T245" s="420"/>
      <c r="U245" s="420"/>
      <c r="V245" s="420">
        <v>0</v>
      </c>
      <c r="W245" s="420">
        <f t="shared" si="34"/>
        <v>0</v>
      </c>
      <c r="X245" s="420">
        <f>PTVT!P761</f>
        <v>424924.125</v>
      </c>
      <c r="Y245" s="420">
        <f t="shared" si="35"/>
        <v>348.43778249999997</v>
      </c>
      <c r="Z245" s="420">
        <f t="shared" si="36"/>
        <v>0</v>
      </c>
      <c r="AA245" s="420">
        <f t="shared" si="37"/>
        <v>0</v>
      </c>
    </row>
    <row r="246" spans="1:27" s="538" customFormat="1">
      <c r="A246" s="541"/>
      <c r="B246" s="542"/>
      <c r="C246" s="541"/>
      <c r="D246" s="541"/>
      <c r="E246" s="543" t="s">
        <v>588</v>
      </c>
      <c r="F246" s="542"/>
      <c r="G246" s="544"/>
      <c r="H246" s="544"/>
      <c r="I246" s="544"/>
      <c r="J246" s="544"/>
      <c r="K246" s="545"/>
      <c r="L246" s="545">
        <f>SUMIF(A6:A245,"VT",L6:L245)</f>
        <v>2796298803.2412906</v>
      </c>
      <c r="M246" s="545"/>
      <c r="N246" s="545">
        <f>SUMIF(A6:A245,"VT",N6:N245)</f>
        <v>3361790448.0560098</v>
      </c>
      <c r="O246" s="545"/>
      <c r="P246" s="545">
        <f>SUMIF(A6:A245,"VT",P6:P245)</f>
        <v>562454210.21703553</v>
      </c>
      <c r="Q246" s="544"/>
      <c r="R246" s="545"/>
      <c r="S246" s="545">
        <f>SUMIF(A6:A245,"VT",S6:S245)</f>
        <v>3361790448.0560098</v>
      </c>
      <c r="T246" s="545"/>
      <c r="U246" s="545">
        <f>SUMIF(A6:A245,"VT",U6:U245)</f>
        <v>0</v>
      </c>
      <c r="V246" s="545"/>
      <c r="W246" s="545">
        <f>SUMIF(A6:A245,"VT",W6:W245)</f>
        <v>485363992.71805096</v>
      </c>
      <c r="X246" s="545"/>
      <c r="Y246" s="545">
        <f>SUMIF(A6:A245,"VT",Y6:Y245)</f>
        <v>3870638657.8132939</v>
      </c>
      <c r="Z246" s="545"/>
      <c r="AA246" s="545">
        <f>SUMIF(A6:A245,"VT",AA6:AA245)</f>
        <v>1074339854.5720038</v>
      </c>
    </row>
    <row r="247" spans="1:27">
      <c r="A247" s="360"/>
      <c r="B247" s="360"/>
      <c r="C247" s="360"/>
      <c r="D247" s="360"/>
      <c r="E247" s="360"/>
      <c r="F247" s="360"/>
      <c r="G247" s="360"/>
      <c r="H247" s="360"/>
      <c r="I247" s="360"/>
      <c r="J247" s="360"/>
      <c r="K247" s="360"/>
      <c r="L247" s="360"/>
      <c r="M247" s="360"/>
      <c r="N247" s="360"/>
      <c r="O247" s="360"/>
      <c r="P247" s="360"/>
      <c r="Q247" s="360"/>
      <c r="R247" s="360"/>
      <c r="S247" s="360"/>
      <c r="T247" s="360"/>
      <c r="U247" s="360"/>
      <c r="V247" s="360"/>
      <c r="W247" s="360"/>
      <c r="X247" s="360"/>
      <c r="Y247" s="360"/>
      <c r="Z247" s="360"/>
      <c r="AA247" s="360"/>
    </row>
  </sheetData>
  <mergeCells count="28">
    <mergeCell ref="A1:AA1"/>
    <mergeCell ref="A2:AA2"/>
    <mergeCell ref="A3:AA3"/>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Z4:Z5"/>
    <mergeCell ref="AA4:AA5"/>
    <mergeCell ref="U4:U5"/>
    <mergeCell ref="V4:V5"/>
    <mergeCell ref="W4:W5"/>
    <mergeCell ref="X4:X5"/>
    <mergeCell ref="Y4:Y5"/>
  </mergeCells>
  <pageMargins left="0.75" right="0.75" top="0.79" bottom="0.79" header="0.3" footer="0.3"/>
  <pageSetup paperSize="9" orientation="landscape" useFirstPageNumber="1"/>
  <headerFooter>
    <oddFooter>&amp;CTrang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Y53"/>
  <sheetViews>
    <sheetView showZeros="0" topLeftCell="B1" workbookViewId="0">
      <selection activeCell="D6" sqref="D6"/>
    </sheetView>
  </sheetViews>
  <sheetFormatPr defaultColWidth="9.21875" defaultRowHeight="13.8"/>
  <cols>
    <col min="1" max="1" width="2" style="146" hidden="1" customWidth="1"/>
    <col min="2" max="2" width="4.44140625" style="146" customWidth="1"/>
    <col min="3" max="3" width="8.44140625" style="146" customWidth="1"/>
    <col min="4" max="4" width="10.77734375" style="146" customWidth="1"/>
    <col min="5" max="5" width="6.44140625" style="146" customWidth="1"/>
    <col min="6" max="6" width="8.21875" style="146" customWidth="1"/>
    <col min="7" max="7" width="8.77734375" style="146" customWidth="1"/>
    <col min="8" max="8" width="8.21875" style="146" customWidth="1"/>
    <col min="9" max="9" width="10.77734375" style="146" customWidth="1"/>
    <col min="10" max="10" width="11.44140625" style="146" customWidth="1"/>
    <col min="11" max="11" width="8.21875" style="146" customWidth="1"/>
    <col min="12" max="12" width="10.44140625" style="146" customWidth="1"/>
    <col min="13" max="13" width="7.44140625" style="146" customWidth="1"/>
    <col min="14" max="14" width="10" style="146" customWidth="1"/>
    <col min="15" max="15" width="11.44140625" style="146" customWidth="1"/>
    <col min="16" max="16" width="8.44140625" style="146" customWidth="1"/>
    <col min="17" max="17" width="10.44140625" style="146" customWidth="1"/>
    <col min="18" max="18" width="17.77734375" style="146" customWidth="1"/>
    <col min="19" max="19" width="19" style="146" customWidth="1"/>
    <col min="20" max="20" width="10.44140625" style="146" customWidth="1"/>
    <col min="21" max="21" width="7.21875" style="146" customWidth="1"/>
    <col min="22" max="22" width="9.44140625" style="146" customWidth="1"/>
    <col min="23" max="23" width="10.44140625" style="146" customWidth="1"/>
    <col min="24" max="24" width="21.44140625" style="146" customWidth="1"/>
    <col min="25" max="25" width="19.44140625" style="146" customWidth="1"/>
    <col min="26" max="16384" width="9.21875" style="146"/>
  </cols>
  <sheetData>
    <row r="1" spans="1:25" ht="17.399999999999999">
      <c r="A1" s="940" t="s">
        <v>761</v>
      </c>
      <c r="B1" s="940" t="s">
        <v>761</v>
      </c>
      <c r="C1" s="940" t="s">
        <v>761</v>
      </c>
      <c r="D1" s="940" t="s">
        <v>761</v>
      </c>
      <c r="E1" s="940" t="s">
        <v>761</v>
      </c>
      <c r="F1" s="940" t="s">
        <v>761</v>
      </c>
      <c r="G1" s="940" t="s">
        <v>761</v>
      </c>
      <c r="H1" s="940" t="s">
        <v>761</v>
      </c>
      <c r="I1" s="940" t="s">
        <v>761</v>
      </c>
      <c r="J1" s="940" t="s">
        <v>761</v>
      </c>
      <c r="K1" s="940" t="s">
        <v>761</v>
      </c>
      <c r="L1" s="940" t="s">
        <v>761</v>
      </c>
      <c r="M1" s="940" t="s">
        <v>761</v>
      </c>
      <c r="N1" s="940" t="s">
        <v>761</v>
      </c>
      <c r="O1" s="940" t="s">
        <v>761</v>
      </c>
      <c r="P1" s="940" t="s">
        <v>761</v>
      </c>
      <c r="Q1" s="940" t="s">
        <v>761</v>
      </c>
      <c r="R1" s="940" t="s">
        <v>761</v>
      </c>
      <c r="S1" s="940" t="s">
        <v>761</v>
      </c>
      <c r="T1" s="940" t="s">
        <v>761</v>
      </c>
      <c r="U1" s="940" t="s">
        <v>761</v>
      </c>
      <c r="V1" s="940" t="s">
        <v>761</v>
      </c>
    </row>
    <row r="2" spans="1:25">
      <c r="A2" s="938" t="s">
        <v>762</v>
      </c>
      <c r="B2" s="938" t="s">
        <v>762</v>
      </c>
      <c r="C2" s="938" t="s">
        <v>762</v>
      </c>
      <c r="D2" s="938" t="s">
        <v>762</v>
      </c>
      <c r="E2" s="938" t="s">
        <v>762</v>
      </c>
      <c r="F2" s="938" t="s">
        <v>762</v>
      </c>
      <c r="G2" s="938" t="s">
        <v>762</v>
      </c>
      <c r="H2" s="938" t="s">
        <v>762</v>
      </c>
      <c r="I2" s="938" t="s">
        <v>762</v>
      </c>
      <c r="J2" s="938" t="s">
        <v>762</v>
      </c>
      <c r="K2" s="938" t="s">
        <v>762</v>
      </c>
      <c r="L2" s="938" t="s">
        <v>762</v>
      </c>
      <c r="M2" s="938" t="s">
        <v>762</v>
      </c>
      <c r="N2" s="938" t="s">
        <v>762</v>
      </c>
      <c r="O2" s="938" t="s">
        <v>762</v>
      </c>
      <c r="P2" s="938" t="s">
        <v>762</v>
      </c>
      <c r="Q2" s="938" t="s">
        <v>762</v>
      </c>
      <c r="R2" s="938" t="s">
        <v>762</v>
      </c>
      <c r="S2" s="938" t="s">
        <v>762</v>
      </c>
      <c r="T2" s="938" t="s">
        <v>762</v>
      </c>
      <c r="U2" s="938" t="s">
        <v>762</v>
      </c>
      <c r="V2" s="938" t="s">
        <v>762</v>
      </c>
    </row>
    <row r="3" spans="1:25">
      <c r="A3" s="938" t="s">
        <v>763</v>
      </c>
      <c r="B3" s="938" t="s">
        <v>763</v>
      </c>
      <c r="C3" s="938" t="s">
        <v>763</v>
      </c>
      <c r="D3" s="938" t="s">
        <v>763</v>
      </c>
      <c r="E3" s="938" t="s">
        <v>763</v>
      </c>
      <c r="F3" s="938" t="s">
        <v>763</v>
      </c>
      <c r="G3" s="938" t="s">
        <v>763</v>
      </c>
      <c r="H3" s="938" t="s">
        <v>763</v>
      </c>
      <c r="I3" s="938" t="s">
        <v>763</v>
      </c>
      <c r="J3" s="938" t="s">
        <v>763</v>
      </c>
      <c r="K3" s="938" t="s">
        <v>763</v>
      </c>
      <c r="L3" s="938" t="s">
        <v>763</v>
      </c>
      <c r="M3" s="938" t="s">
        <v>763</v>
      </c>
      <c r="N3" s="938" t="s">
        <v>763</v>
      </c>
      <c r="O3" s="938" t="s">
        <v>763</v>
      </c>
      <c r="P3" s="938" t="s">
        <v>763</v>
      </c>
      <c r="Q3" s="938" t="s">
        <v>763</v>
      </c>
      <c r="R3" s="938" t="s">
        <v>763</v>
      </c>
      <c r="S3" s="938" t="s">
        <v>763</v>
      </c>
      <c r="T3" s="938" t="s">
        <v>763</v>
      </c>
      <c r="U3" s="938" t="s">
        <v>763</v>
      </c>
      <c r="V3" s="938" t="s">
        <v>763</v>
      </c>
    </row>
    <row r="4" spans="1:25">
      <c r="C4" s="221"/>
      <c r="W4" s="534"/>
      <c r="X4" s="535" t="s">
        <v>764</v>
      </c>
      <c r="Y4" s="536">
        <v>0</v>
      </c>
    </row>
    <row r="5" spans="1:25">
      <c r="C5" s="221"/>
      <c r="X5" s="535" t="s">
        <v>765</v>
      </c>
      <c r="Y5" s="537">
        <v>0</v>
      </c>
    </row>
    <row r="6" spans="1:25">
      <c r="C6" s="221"/>
      <c r="X6" s="535" t="s">
        <v>766</v>
      </c>
      <c r="Y6" s="536">
        <v>1</v>
      </c>
    </row>
    <row r="7" spans="1:25">
      <c r="A7" s="939"/>
      <c r="B7" s="939" t="s">
        <v>5</v>
      </c>
      <c r="C7" s="941" t="s">
        <v>592</v>
      </c>
      <c r="D7" s="939" t="s">
        <v>686</v>
      </c>
      <c r="E7" s="939" t="s">
        <v>594</v>
      </c>
      <c r="F7" s="939" t="s">
        <v>767</v>
      </c>
      <c r="G7" s="939" t="s">
        <v>768</v>
      </c>
      <c r="H7" s="939" t="s">
        <v>769</v>
      </c>
      <c r="I7" s="939" t="s">
        <v>770</v>
      </c>
      <c r="J7" s="939" t="s">
        <v>771</v>
      </c>
      <c r="K7" s="939"/>
      <c r="L7" s="939" t="s">
        <v>772</v>
      </c>
      <c r="M7" s="939"/>
      <c r="N7" s="939"/>
      <c r="O7" s="939" t="s">
        <v>773</v>
      </c>
      <c r="P7" s="939"/>
      <c r="Q7" s="939"/>
      <c r="R7" s="939" t="s">
        <v>774</v>
      </c>
      <c r="S7" s="939"/>
      <c r="T7" s="939"/>
      <c r="U7" s="939" t="s">
        <v>688</v>
      </c>
      <c r="V7" s="939" t="s">
        <v>775</v>
      </c>
      <c r="W7" s="939"/>
      <c r="X7" s="939" t="s">
        <v>776</v>
      </c>
      <c r="Y7" s="939" t="s">
        <v>777</v>
      </c>
    </row>
    <row r="8" spans="1:25" ht="27.6">
      <c r="A8" s="939"/>
      <c r="B8" s="939"/>
      <c r="C8" s="941"/>
      <c r="D8" s="939"/>
      <c r="E8" s="939"/>
      <c r="F8" s="939"/>
      <c r="G8" s="939"/>
      <c r="H8" s="939"/>
      <c r="I8" s="939"/>
      <c r="J8" s="204" t="s">
        <v>771</v>
      </c>
      <c r="K8" s="204" t="s">
        <v>778</v>
      </c>
      <c r="L8" s="204" t="s">
        <v>772</v>
      </c>
      <c r="M8" s="204" t="s">
        <v>779</v>
      </c>
      <c r="N8" s="204" t="s">
        <v>780</v>
      </c>
      <c r="O8" s="204" t="s">
        <v>781</v>
      </c>
      <c r="P8" s="204" t="s">
        <v>782</v>
      </c>
      <c r="Q8" s="204" t="s">
        <v>783</v>
      </c>
      <c r="R8" s="204" t="s">
        <v>784</v>
      </c>
      <c r="S8" s="204" t="s">
        <v>785</v>
      </c>
      <c r="T8" s="204" t="s">
        <v>261</v>
      </c>
      <c r="U8" s="939"/>
      <c r="V8" s="204" t="s">
        <v>595</v>
      </c>
      <c r="W8" s="204" t="s">
        <v>261</v>
      </c>
      <c r="X8" s="939"/>
      <c r="Y8" s="939"/>
    </row>
    <row r="9" spans="1:25">
      <c r="A9" s="222"/>
      <c r="B9" s="223">
        <v>1</v>
      </c>
      <c r="C9" s="441" t="s">
        <v>667</v>
      </c>
      <c r="D9" s="222" t="s">
        <v>699</v>
      </c>
      <c r="E9" s="223" t="s">
        <v>700</v>
      </c>
      <c r="F9" s="521">
        <v>0</v>
      </c>
      <c r="G9" s="522" t="s">
        <v>786</v>
      </c>
      <c r="H9" s="523">
        <v>1</v>
      </c>
      <c r="I9" s="522"/>
      <c r="J9" s="521" t="s">
        <v>787</v>
      </c>
      <c r="K9" s="528">
        <v>1</v>
      </c>
      <c r="L9" s="522" t="s">
        <v>788</v>
      </c>
      <c r="M9" s="521">
        <v>0</v>
      </c>
      <c r="N9" s="521">
        <f t="shared" ref="N9:N53" si="0">SUM(M9:M9)</f>
        <v>0</v>
      </c>
      <c r="O9" s="529">
        <v>0</v>
      </c>
      <c r="P9" s="280">
        <f>Y6*F9*H9*K9*M9*O9</f>
        <v>0</v>
      </c>
      <c r="Q9" s="280">
        <f>P9/(1+Y5)</f>
        <v>0</v>
      </c>
      <c r="R9" s="223">
        <v>0</v>
      </c>
      <c r="S9" s="280">
        <v>0</v>
      </c>
      <c r="T9" s="521">
        <f>(Y4*R9+S9)*F9</f>
        <v>0</v>
      </c>
      <c r="U9" s="522">
        <v>0</v>
      </c>
      <c r="V9" s="222">
        <v>0</v>
      </c>
      <c r="W9" s="522">
        <v>0</v>
      </c>
      <c r="X9" s="430">
        <v>0</v>
      </c>
      <c r="Y9" s="430">
        <f t="shared" ref="Y9:Y53" si="1">SUM(Q9:Q9)+SUM(T9:T9)+SUM(X9:X9)</f>
        <v>0</v>
      </c>
    </row>
    <row r="10" spans="1:25">
      <c r="A10" s="287"/>
      <c r="B10" s="389">
        <v>2</v>
      </c>
      <c r="C10" s="443" t="s">
        <v>669</v>
      </c>
      <c r="D10" s="287" t="s">
        <v>701</v>
      </c>
      <c r="E10" s="389" t="s">
        <v>700</v>
      </c>
      <c r="F10" s="390">
        <v>0</v>
      </c>
      <c r="G10" s="524" t="s">
        <v>786</v>
      </c>
      <c r="H10" s="525">
        <v>1</v>
      </c>
      <c r="I10" s="524"/>
      <c r="J10" s="390" t="s">
        <v>787</v>
      </c>
      <c r="K10" s="530">
        <v>1</v>
      </c>
      <c r="L10" s="524" t="s">
        <v>788</v>
      </c>
      <c r="M10" s="390">
        <v>0</v>
      </c>
      <c r="N10" s="390">
        <f t="shared" si="0"/>
        <v>0</v>
      </c>
      <c r="O10" s="531">
        <v>0</v>
      </c>
      <c r="P10" s="284">
        <f>Y6*F10*H10*K10*M10*O10</f>
        <v>0</v>
      </c>
      <c r="Q10" s="284">
        <f>P10/(1+Y5)</f>
        <v>0</v>
      </c>
      <c r="R10" s="389">
        <v>0</v>
      </c>
      <c r="S10" s="284">
        <v>0</v>
      </c>
      <c r="T10" s="390">
        <f>(Y4*R10+S10)*F10</f>
        <v>0</v>
      </c>
      <c r="U10" s="524">
        <v>0</v>
      </c>
      <c r="V10" s="287">
        <v>0</v>
      </c>
      <c r="W10" s="524">
        <v>0</v>
      </c>
      <c r="X10" s="395">
        <v>0</v>
      </c>
      <c r="Y10" s="395">
        <f t="shared" si="1"/>
        <v>0</v>
      </c>
    </row>
    <row r="11" spans="1:25">
      <c r="A11" s="287"/>
      <c r="B11" s="389">
        <v>3</v>
      </c>
      <c r="C11" s="443" t="s">
        <v>679</v>
      </c>
      <c r="D11" s="287" t="s">
        <v>702</v>
      </c>
      <c r="E11" s="389" t="s">
        <v>700</v>
      </c>
      <c r="F11" s="390">
        <v>0</v>
      </c>
      <c r="G11" s="524" t="s">
        <v>786</v>
      </c>
      <c r="H11" s="525">
        <v>1</v>
      </c>
      <c r="I11" s="524"/>
      <c r="J11" s="390" t="s">
        <v>787</v>
      </c>
      <c r="K11" s="530">
        <v>1</v>
      </c>
      <c r="L11" s="524" t="s">
        <v>788</v>
      </c>
      <c r="M11" s="390">
        <v>0</v>
      </c>
      <c r="N11" s="390">
        <f t="shared" si="0"/>
        <v>0</v>
      </c>
      <c r="O11" s="531">
        <v>0</v>
      </c>
      <c r="P11" s="284">
        <f>Y6*F11*H11*K11*M11*O11</f>
        <v>0</v>
      </c>
      <c r="Q11" s="284">
        <f>P11/(1+Y5)</f>
        <v>0</v>
      </c>
      <c r="R11" s="389">
        <v>0</v>
      </c>
      <c r="S11" s="284">
        <v>0</v>
      </c>
      <c r="T11" s="390">
        <f>(Y4*R11+S11)*F11</f>
        <v>0</v>
      </c>
      <c r="U11" s="524">
        <v>0</v>
      </c>
      <c r="V11" s="287">
        <v>0</v>
      </c>
      <c r="W11" s="524">
        <v>0</v>
      </c>
      <c r="X11" s="395">
        <v>0</v>
      </c>
      <c r="Y11" s="395">
        <f t="shared" si="1"/>
        <v>0</v>
      </c>
    </row>
    <row r="12" spans="1:25">
      <c r="A12" s="287"/>
      <c r="B12" s="389">
        <v>4</v>
      </c>
      <c r="C12" s="443" t="s">
        <v>677</v>
      </c>
      <c r="D12" s="287" t="s">
        <v>704</v>
      </c>
      <c r="E12" s="389" t="s">
        <v>700</v>
      </c>
      <c r="F12" s="390">
        <v>0</v>
      </c>
      <c r="G12" s="524" t="s">
        <v>786</v>
      </c>
      <c r="H12" s="525">
        <v>1</v>
      </c>
      <c r="I12" s="524"/>
      <c r="J12" s="390" t="s">
        <v>787</v>
      </c>
      <c r="K12" s="530">
        <v>1</v>
      </c>
      <c r="L12" s="524" t="s">
        <v>788</v>
      </c>
      <c r="M12" s="390">
        <v>0</v>
      </c>
      <c r="N12" s="390">
        <f t="shared" si="0"/>
        <v>0</v>
      </c>
      <c r="O12" s="531">
        <v>0</v>
      </c>
      <c r="P12" s="284">
        <f>Y6*F12*H12*K12*M12*O12</f>
        <v>0</v>
      </c>
      <c r="Q12" s="284">
        <f>P12/(1+Y5)</f>
        <v>0</v>
      </c>
      <c r="R12" s="389">
        <v>0</v>
      </c>
      <c r="S12" s="284">
        <v>0</v>
      </c>
      <c r="T12" s="390">
        <f>(Y4*R12+S12)*F12</f>
        <v>0</v>
      </c>
      <c r="U12" s="524">
        <v>0</v>
      </c>
      <c r="V12" s="287">
        <v>0</v>
      </c>
      <c r="W12" s="524">
        <v>0</v>
      </c>
      <c r="X12" s="395">
        <v>0</v>
      </c>
      <c r="Y12" s="395">
        <f t="shared" si="1"/>
        <v>0</v>
      </c>
    </row>
    <row r="13" spans="1:25">
      <c r="A13" s="287"/>
      <c r="B13" s="389">
        <v>5</v>
      </c>
      <c r="C13" s="443" t="s">
        <v>677</v>
      </c>
      <c r="D13" s="287" t="s">
        <v>703</v>
      </c>
      <c r="E13" s="389" t="s">
        <v>700</v>
      </c>
      <c r="F13" s="390">
        <v>0</v>
      </c>
      <c r="G13" s="524" t="s">
        <v>786</v>
      </c>
      <c r="H13" s="525">
        <v>1</v>
      </c>
      <c r="I13" s="524"/>
      <c r="J13" s="390" t="s">
        <v>787</v>
      </c>
      <c r="K13" s="530">
        <v>1</v>
      </c>
      <c r="L13" s="524" t="s">
        <v>788</v>
      </c>
      <c r="M13" s="390">
        <v>0</v>
      </c>
      <c r="N13" s="390">
        <f t="shared" si="0"/>
        <v>0</v>
      </c>
      <c r="O13" s="531">
        <v>0</v>
      </c>
      <c r="P13" s="284">
        <f>Y6*F13*H13*K13*M13*O13</f>
        <v>0</v>
      </c>
      <c r="Q13" s="284">
        <f>P13/(1+Y5)</f>
        <v>0</v>
      </c>
      <c r="R13" s="389">
        <v>0</v>
      </c>
      <c r="S13" s="284">
        <v>0</v>
      </c>
      <c r="T13" s="390">
        <f>(Y4*R13+S13)*F13</f>
        <v>0</v>
      </c>
      <c r="U13" s="524">
        <v>0</v>
      </c>
      <c r="V13" s="287">
        <v>0</v>
      </c>
      <c r="W13" s="524">
        <v>0</v>
      </c>
      <c r="X13" s="395">
        <v>0</v>
      </c>
      <c r="Y13" s="395">
        <f t="shared" si="1"/>
        <v>0</v>
      </c>
    </row>
    <row r="14" spans="1:25">
      <c r="A14" s="287"/>
      <c r="B14" s="389">
        <v>6</v>
      </c>
      <c r="C14" s="443" t="s">
        <v>678</v>
      </c>
      <c r="D14" s="287" t="s">
        <v>706</v>
      </c>
      <c r="E14" s="389" t="s">
        <v>700</v>
      </c>
      <c r="F14" s="390">
        <v>0</v>
      </c>
      <c r="G14" s="524" t="s">
        <v>786</v>
      </c>
      <c r="H14" s="525">
        <v>1</v>
      </c>
      <c r="I14" s="524"/>
      <c r="J14" s="390" t="s">
        <v>787</v>
      </c>
      <c r="K14" s="530">
        <v>1</v>
      </c>
      <c r="L14" s="524" t="s">
        <v>788</v>
      </c>
      <c r="M14" s="390">
        <v>0</v>
      </c>
      <c r="N14" s="390">
        <f t="shared" si="0"/>
        <v>0</v>
      </c>
      <c r="O14" s="531">
        <v>0</v>
      </c>
      <c r="P14" s="284">
        <f>Y6*F14*H14*K14*M14*O14</f>
        <v>0</v>
      </c>
      <c r="Q14" s="284">
        <f>P14/(1+Y5)</f>
        <v>0</v>
      </c>
      <c r="R14" s="389">
        <v>0</v>
      </c>
      <c r="S14" s="284">
        <v>0</v>
      </c>
      <c r="T14" s="390">
        <f>(Y4*R14+S14)*F14</f>
        <v>0</v>
      </c>
      <c r="U14" s="524">
        <v>0</v>
      </c>
      <c r="V14" s="287">
        <v>0</v>
      </c>
      <c r="W14" s="524">
        <v>0</v>
      </c>
      <c r="X14" s="395">
        <v>0</v>
      </c>
      <c r="Y14" s="395">
        <f t="shared" si="1"/>
        <v>0</v>
      </c>
    </row>
    <row r="15" spans="1:25">
      <c r="A15" s="287"/>
      <c r="B15" s="389">
        <v>7</v>
      </c>
      <c r="C15" s="443" t="s">
        <v>678</v>
      </c>
      <c r="D15" s="287" t="s">
        <v>705</v>
      </c>
      <c r="E15" s="389" t="s">
        <v>700</v>
      </c>
      <c r="F15" s="390">
        <v>0</v>
      </c>
      <c r="G15" s="524" t="s">
        <v>786</v>
      </c>
      <c r="H15" s="525">
        <v>1</v>
      </c>
      <c r="I15" s="524"/>
      <c r="J15" s="390" t="s">
        <v>787</v>
      </c>
      <c r="K15" s="530">
        <v>1</v>
      </c>
      <c r="L15" s="524" t="s">
        <v>788</v>
      </c>
      <c r="M15" s="390">
        <v>0</v>
      </c>
      <c r="N15" s="390">
        <f t="shared" si="0"/>
        <v>0</v>
      </c>
      <c r="O15" s="531">
        <v>0</v>
      </c>
      <c r="P15" s="284">
        <f>Y6*F15*H15*K15*M15*O15</f>
        <v>0</v>
      </c>
      <c r="Q15" s="284">
        <f>P15/(1+Y5)</f>
        <v>0</v>
      </c>
      <c r="R15" s="389">
        <v>0</v>
      </c>
      <c r="S15" s="284">
        <v>0</v>
      </c>
      <c r="T15" s="390">
        <f>(Y4*R15+S15)*F15</f>
        <v>0</v>
      </c>
      <c r="U15" s="524">
        <v>0</v>
      </c>
      <c r="V15" s="287">
        <v>0</v>
      </c>
      <c r="W15" s="524">
        <v>0</v>
      </c>
      <c r="X15" s="395">
        <v>0</v>
      </c>
      <c r="Y15" s="395">
        <f t="shared" si="1"/>
        <v>0</v>
      </c>
    </row>
    <row r="16" spans="1:25">
      <c r="A16" s="287"/>
      <c r="B16" s="389">
        <v>8</v>
      </c>
      <c r="C16" s="443" t="s">
        <v>707</v>
      </c>
      <c r="D16" s="287" t="s">
        <v>708</v>
      </c>
      <c r="E16" s="389" t="s">
        <v>414</v>
      </c>
      <c r="F16" s="390">
        <v>0</v>
      </c>
      <c r="G16" s="524" t="s">
        <v>786</v>
      </c>
      <c r="H16" s="525">
        <v>1</v>
      </c>
      <c r="I16" s="524"/>
      <c r="J16" s="390" t="s">
        <v>787</v>
      </c>
      <c r="K16" s="530">
        <v>1</v>
      </c>
      <c r="L16" s="524" t="s">
        <v>788</v>
      </c>
      <c r="M16" s="390">
        <v>0</v>
      </c>
      <c r="N16" s="390">
        <f t="shared" si="0"/>
        <v>0</v>
      </c>
      <c r="O16" s="531">
        <v>0</v>
      </c>
      <c r="P16" s="284">
        <f>Y6*F16*H16*K16*M16*O16</f>
        <v>0</v>
      </c>
      <c r="Q16" s="284">
        <f>P16/(1+Y5)</f>
        <v>0</v>
      </c>
      <c r="R16" s="389">
        <v>0</v>
      </c>
      <c r="S16" s="284">
        <v>0</v>
      </c>
      <c r="T16" s="390">
        <f>(Y4*R16+S16)*F16</f>
        <v>0</v>
      </c>
      <c r="U16" s="524">
        <v>0</v>
      </c>
      <c r="V16" s="287">
        <v>0</v>
      </c>
      <c r="W16" s="524">
        <v>0</v>
      </c>
      <c r="X16" s="395">
        <v>0</v>
      </c>
      <c r="Y16" s="395">
        <f t="shared" si="1"/>
        <v>0</v>
      </c>
    </row>
    <row r="17" spans="1:25">
      <c r="A17" s="287"/>
      <c r="B17" s="389">
        <v>9</v>
      </c>
      <c r="C17" s="443" t="s">
        <v>604</v>
      </c>
      <c r="D17" s="287" t="s">
        <v>709</v>
      </c>
      <c r="E17" s="389" t="s">
        <v>356</v>
      </c>
      <c r="F17" s="390">
        <v>0</v>
      </c>
      <c r="G17" s="524" t="s">
        <v>786</v>
      </c>
      <c r="H17" s="525">
        <v>1</v>
      </c>
      <c r="I17" s="524"/>
      <c r="J17" s="390" t="s">
        <v>787</v>
      </c>
      <c r="K17" s="530">
        <v>1</v>
      </c>
      <c r="L17" s="524" t="s">
        <v>788</v>
      </c>
      <c r="M17" s="390">
        <v>0</v>
      </c>
      <c r="N17" s="390">
        <f t="shared" si="0"/>
        <v>0</v>
      </c>
      <c r="O17" s="531">
        <v>0</v>
      </c>
      <c r="P17" s="284">
        <f>Y6*F17*H17*K17*M17*O17</f>
        <v>0</v>
      </c>
      <c r="Q17" s="284">
        <f>P17/(1+Y5)</f>
        <v>0</v>
      </c>
      <c r="R17" s="389">
        <v>0</v>
      </c>
      <c r="S17" s="284">
        <v>0</v>
      </c>
      <c r="T17" s="390">
        <f>(Y4*R17+S17)*F17</f>
        <v>0</v>
      </c>
      <c r="U17" s="524">
        <v>0</v>
      </c>
      <c r="V17" s="287">
        <v>0</v>
      </c>
      <c r="W17" s="524">
        <v>0</v>
      </c>
      <c r="X17" s="395">
        <v>0</v>
      </c>
      <c r="Y17" s="395">
        <f t="shared" si="1"/>
        <v>0</v>
      </c>
    </row>
    <row r="18" spans="1:25">
      <c r="A18" s="287"/>
      <c r="B18" s="389">
        <v>10</v>
      </c>
      <c r="C18" s="443" t="s">
        <v>654</v>
      </c>
      <c r="D18" s="287" t="s">
        <v>710</v>
      </c>
      <c r="E18" s="389" t="s">
        <v>356</v>
      </c>
      <c r="F18" s="390">
        <v>1.31</v>
      </c>
      <c r="G18" s="524" t="s">
        <v>786</v>
      </c>
      <c r="H18" s="525">
        <v>1</v>
      </c>
      <c r="I18" s="524"/>
      <c r="J18" s="390" t="s">
        <v>787</v>
      </c>
      <c r="K18" s="530">
        <v>1</v>
      </c>
      <c r="L18" s="524" t="s">
        <v>788</v>
      </c>
      <c r="M18" s="390">
        <v>0</v>
      </c>
      <c r="N18" s="390">
        <f t="shared" si="0"/>
        <v>0</v>
      </c>
      <c r="O18" s="531">
        <v>0</v>
      </c>
      <c r="P18" s="284">
        <f>Y6*F18*H18*K18*M18*O18</f>
        <v>0</v>
      </c>
      <c r="Q18" s="284">
        <f>P18/(1+Y5)</f>
        <v>0</v>
      </c>
      <c r="R18" s="389">
        <v>0</v>
      </c>
      <c r="S18" s="284">
        <v>0</v>
      </c>
      <c r="T18" s="390">
        <f>(Y4*R18+S18)*F18</f>
        <v>0</v>
      </c>
      <c r="U18" s="524">
        <v>0</v>
      </c>
      <c r="V18" s="287">
        <v>0</v>
      </c>
      <c r="W18" s="524">
        <v>0</v>
      </c>
      <c r="X18" s="395">
        <v>0</v>
      </c>
      <c r="Y18" s="395">
        <f t="shared" si="1"/>
        <v>0</v>
      </c>
    </row>
    <row r="19" spans="1:25">
      <c r="A19" s="287"/>
      <c r="B19" s="389">
        <v>11</v>
      </c>
      <c r="C19" s="443" t="s">
        <v>658</v>
      </c>
      <c r="D19" s="287" t="s">
        <v>711</v>
      </c>
      <c r="E19" s="389" t="s">
        <v>356</v>
      </c>
      <c r="F19" s="390">
        <v>1.2</v>
      </c>
      <c r="G19" s="524" t="s">
        <v>786</v>
      </c>
      <c r="H19" s="525">
        <v>1</v>
      </c>
      <c r="I19" s="524"/>
      <c r="J19" s="390" t="s">
        <v>787</v>
      </c>
      <c r="K19" s="530">
        <v>1</v>
      </c>
      <c r="L19" s="524" t="s">
        <v>788</v>
      </c>
      <c r="M19" s="390">
        <v>0</v>
      </c>
      <c r="N19" s="390">
        <f t="shared" si="0"/>
        <v>0</v>
      </c>
      <c r="O19" s="531">
        <v>0</v>
      </c>
      <c r="P19" s="284">
        <f>Y6*F19*H19*K19*M19*O19</f>
        <v>0</v>
      </c>
      <c r="Q19" s="284">
        <f>P19/(1+Y5)</f>
        <v>0</v>
      </c>
      <c r="R19" s="389">
        <v>0</v>
      </c>
      <c r="S19" s="284">
        <v>0</v>
      </c>
      <c r="T19" s="390">
        <f>(Y4*R19+S19)*F19</f>
        <v>0</v>
      </c>
      <c r="U19" s="524">
        <v>0</v>
      </c>
      <c r="V19" s="287">
        <v>0</v>
      </c>
      <c r="W19" s="524">
        <v>0</v>
      </c>
      <c r="X19" s="395">
        <v>0</v>
      </c>
      <c r="Y19" s="395">
        <f t="shared" si="1"/>
        <v>0</v>
      </c>
    </row>
    <row r="20" spans="1:25">
      <c r="A20" s="287"/>
      <c r="B20" s="389">
        <v>12</v>
      </c>
      <c r="C20" s="443" t="s">
        <v>656</v>
      </c>
      <c r="D20" s="287" t="s">
        <v>712</v>
      </c>
      <c r="E20" s="389" t="s">
        <v>356</v>
      </c>
      <c r="F20" s="390">
        <v>1.38</v>
      </c>
      <c r="G20" s="524" t="s">
        <v>786</v>
      </c>
      <c r="H20" s="525">
        <v>1</v>
      </c>
      <c r="I20" s="524"/>
      <c r="J20" s="390" t="s">
        <v>787</v>
      </c>
      <c r="K20" s="530">
        <v>1</v>
      </c>
      <c r="L20" s="524" t="s">
        <v>788</v>
      </c>
      <c r="M20" s="390">
        <v>0</v>
      </c>
      <c r="N20" s="390">
        <f t="shared" si="0"/>
        <v>0</v>
      </c>
      <c r="O20" s="531">
        <v>0</v>
      </c>
      <c r="P20" s="284">
        <f>Y6*F20*H20*K20*M20*O20</f>
        <v>0</v>
      </c>
      <c r="Q20" s="284">
        <f>P20/(1+Y5)</f>
        <v>0</v>
      </c>
      <c r="R20" s="389">
        <v>0</v>
      </c>
      <c r="S20" s="284">
        <v>0</v>
      </c>
      <c r="T20" s="390">
        <f>(Y4*R20+S20)*F20</f>
        <v>0</v>
      </c>
      <c r="U20" s="524">
        <v>0</v>
      </c>
      <c r="V20" s="287">
        <v>0</v>
      </c>
      <c r="W20" s="524">
        <v>0</v>
      </c>
      <c r="X20" s="395">
        <v>0</v>
      </c>
      <c r="Y20" s="395">
        <f t="shared" si="1"/>
        <v>0</v>
      </c>
    </row>
    <row r="21" spans="1:25">
      <c r="A21" s="287"/>
      <c r="B21" s="389">
        <v>13</v>
      </c>
      <c r="C21" s="443" t="s">
        <v>615</v>
      </c>
      <c r="D21" s="287" t="s">
        <v>713</v>
      </c>
      <c r="E21" s="389" t="s">
        <v>356</v>
      </c>
      <c r="F21" s="390">
        <v>1.45</v>
      </c>
      <c r="G21" s="524" t="s">
        <v>786</v>
      </c>
      <c r="H21" s="525">
        <v>1</v>
      </c>
      <c r="I21" s="524"/>
      <c r="J21" s="390" t="s">
        <v>787</v>
      </c>
      <c r="K21" s="530">
        <v>1</v>
      </c>
      <c r="L21" s="524" t="s">
        <v>788</v>
      </c>
      <c r="M21" s="390">
        <v>0</v>
      </c>
      <c r="N21" s="390">
        <f t="shared" si="0"/>
        <v>0</v>
      </c>
      <c r="O21" s="531">
        <v>0</v>
      </c>
      <c r="P21" s="284">
        <f>Y6*F21*H21*K21*M21*O21</f>
        <v>0</v>
      </c>
      <c r="Q21" s="284">
        <f>P21/(1+Y5)</f>
        <v>0</v>
      </c>
      <c r="R21" s="389">
        <v>0</v>
      </c>
      <c r="S21" s="284">
        <v>0</v>
      </c>
      <c r="T21" s="390">
        <f>(Y4*R21+S21)*F21</f>
        <v>0</v>
      </c>
      <c r="U21" s="524">
        <v>0</v>
      </c>
      <c r="V21" s="287">
        <v>0</v>
      </c>
      <c r="W21" s="524">
        <v>0</v>
      </c>
      <c r="X21" s="395">
        <v>0</v>
      </c>
      <c r="Y21" s="395">
        <f t="shared" si="1"/>
        <v>0</v>
      </c>
    </row>
    <row r="22" spans="1:25">
      <c r="A22" s="287"/>
      <c r="B22" s="389">
        <v>14</v>
      </c>
      <c r="C22" s="443" t="s">
        <v>659</v>
      </c>
      <c r="D22" s="287" t="s">
        <v>714</v>
      </c>
      <c r="E22" s="389" t="s">
        <v>356</v>
      </c>
      <c r="F22" s="390">
        <v>1.6</v>
      </c>
      <c r="G22" s="524" t="s">
        <v>786</v>
      </c>
      <c r="H22" s="525">
        <v>1</v>
      </c>
      <c r="I22" s="524"/>
      <c r="J22" s="390" t="s">
        <v>787</v>
      </c>
      <c r="K22" s="530">
        <v>1</v>
      </c>
      <c r="L22" s="524" t="s">
        <v>788</v>
      </c>
      <c r="M22" s="390">
        <v>0</v>
      </c>
      <c r="N22" s="390">
        <f t="shared" si="0"/>
        <v>0</v>
      </c>
      <c r="O22" s="531">
        <v>0</v>
      </c>
      <c r="P22" s="284">
        <f>Y6*F22*H22*K22*M22*O22</f>
        <v>0</v>
      </c>
      <c r="Q22" s="284">
        <f>P22/(1+Y5)</f>
        <v>0</v>
      </c>
      <c r="R22" s="389">
        <v>0</v>
      </c>
      <c r="S22" s="284">
        <v>0</v>
      </c>
      <c r="T22" s="390">
        <f>(Y4*R22+S22)*F22</f>
        <v>0</v>
      </c>
      <c r="U22" s="524">
        <v>0</v>
      </c>
      <c r="V22" s="287">
        <v>0</v>
      </c>
      <c r="W22" s="524">
        <v>0</v>
      </c>
      <c r="X22" s="395">
        <v>0</v>
      </c>
      <c r="Y22" s="395">
        <f t="shared" si="1"/>
        <v>0</v>
      </c>
    </row>
    <row r="23" spans="1:25">
      <c r="A23" s="287"/>
      <c r="B23" s="389">
        <v>15</v>
      </c>
      <c r="C23" s="443" t="s">
        <v>616</v>
      </c>
      <c r="D23" s="287" t="s">
        <v>715</v>
      </c>
      <c r="E23" s="389" t="s">
        <v>356</v>
      </c>
      <c r="F23" s="390">
        <v>1.5</v>
      </c>
      <c r="G23" s="524" t="s">
        <v>786</v>
      </c>
      <c r="H23" s="525">
        <v>1</v>
      </c>
      <c r="I23" s="524"/>
      <c r="J23" s="390" t="s">
        <v>787</v>
      </c>
      <c r="K23" s="530">
        <v>1</v>
      </c>
      <c r="L23" s="524" t="s">
        <v>788</v>
      </c>
      <c r="M23" s="390">
        <v>0</v>
      </c>
      <c r="N23" s="390">
        <f t="shared" si="0"/>
        <v>0</v>
      </c>
      <c r="O23" s="531">
        <v>0</v>
      </c>
      <c r="P23" s="284">
        <f>Y6*F23*H23*K23*M23*O23</f>
        <v>0</v>
      </c>
      <c r="Q23" s="284">
        <f>P23/(1+Y5)</f>
        <v>0</v>
      </c>
      <c r="R23" s="389">
        <v>0</v>
      </c>
      <c r="S23" s="284">
        <v>0</v>
      </c>
      <c r="T23" s="390">
        <f>(Y4*R23+S23)*F23</f>
        <v>0</v>
      </c>
      <c r="U23" s="524">
        <v>0</v>
      </c>
      <c r="V23" s="287">
        <v>0</v>
      </c>
      <c r="W23" s="524">
        <v>0</v>
      </c>
      <c r="X23" s="395">
        <v>0</v>
      </c>
      <c r="Y23" s="395">
        <f t="shared" si="1"/>
        <v>0</v>
      </c>
    </row>
    <row r="24" spans="1:25">
      <c r="A24" s="287"/>
      <c r="B24" s="389">
        <v>16</v>
      </c>
      <c r="C24" s="443" t="s">
        <v>653</v>
      </c>
      <c r="D24" s="287" t="s">
        <v>716</v>
      </c>
      <c r="E24" s="389" t="s">
        <v>356</v>
      </c>
      <c r="F24" s="390">
        <v>1.5</v>
      </c>
      <c r="G24" s="524" t="s">
        <v>786</v>
      </c>
      <c r="H24" s="525">
        <v>1</v>
      </c>
      <c r="I24" s="524"/>
      <c r="J24" s="390" t="s">
        <v>787</v>
      </c>
      <c r="K24" s="530">
        <v>1</v>
      </c>
      <c r="L24" s="524" t="s">
        <v>788</v>
      </c>
      <c r="M24" s="390">
        <v>0</v>
      </c>
      <c r="N24" s="390">
        <f t="shared" si="0"/>
        <v>0</v>
      </c>
      <c r="O24" s="531">
        <v>0</v>
      </c>
      <c r="P24" s="284">
        <f>Y6*F24*H24*K24*M24*O24</f>
        <v>0</v>
      </c>
      <c r="Q24" s="284">
        <f>P24/(1+Y5)</f>
        <v>0</v>
      </c>
      <c r="R24" s="389">
        <v>0</v>
      </c>
      <c r="S24" s="284">
        <v>0</v>
      </c>
      <c r="T24" s="390">
        <f>(Y4*R24+S24)*F24</f>
        <v>0</v>
      </c>
      <c r="U24" s="524">
        <v>0</v>
      </c>
      <c r="V24" s="287">
        <v>0</v>
      </c>
      <c r="W24" s="524">
        <v>0</v>
      </c>
      <c r="X24" s="395">
        <v>0</v>
      </c>
      <c r="Y24" s="395">
        <f t="shared" si="1"/>
        <v>0</v>
      </c>
    </row>
    <row r="25" spans="1:25">
      <c r="A25" s="287"/>
      <c r="B25" s="389">
        <v>17</v>
      </c>
      <c r="C25" s="443" t="s">
        <v>672</v>
      </c>
      <c r="D25" s="287" t="s">
        <v>717</v>
      </c>
      <c r="E25" s="389" t="s">
        <v>356</v>
      </c>
      <c r="F25" s="390">
        <v>1.6</v>
      </c>
      <c r="G25" s="524" t="s">
        <v>786</v>
      </c>
      <c r="H25" s="525">
        <v>1</v>
      </c>
      <c r="I25" s="524"/>
      <c r="J25" s="390" t="s">
        <v>787</v>
      </c>
      <c r="K25" s="530">
        <v>1</v>
      </c>
      <c r="L25" s="524" t="s">
        <v>788</v>
      </c>
      <c r="M25" s="390">
        <v>0</v>
      </c>
      <c r="N25" s="390">
        <f t="shared" si="0"/>
        <v>0</v>
      </c>
      <c r="O25" s="531">
        <v>0</v>
      </c>
      <c r="P25" s="284">
        <f>Y6*F25*H25*K25*M25*O25</f>
        <v>0</v>
      </c>
      <c r="Q25" s="284">
        <f>P25/(1+Y5)</f>
        <v>0</v>
      </c>
      <c r="R25" s="389">
        <v>0</v>
      </c>
      <c r="S25" s="284">
        <v>0</v>
      </c>
      <c r="T25" s="390">
        <f>(Y4*R25+S25)*F25</f>
        <v>0</v>
      </c>
      <c r="U25" s="524">
        <v>0</v>
      </c>
      <c r="V25" s="287">
        <v>0</v>
      </c>
      <c r="W25" s="524">
        <v>0</v>
      </c>
      <c r="X25" s="395">
        <v>0</v>
      </c>
      <c r="Y25" s="395">
        <f t="shared" si="1"/>
        <v>0</v>
      </c>
    </row>
    <row r="26" spans="1:25">
      <c r="A26" s="287"/>
      <c r="B26" s="389">
        <v>18</v>
      </c>
      <c r="C26" s="443" t="s">
        <v>671</v>
      </c>
      <c r="D26" s="287" t="s">
        <v>718</v>
      </c>
      <c r="E26" s="389" t="s">
        <v>356</v>
      </c>
      <c r="F26" s="390">
        <v>1.5</v>
      </c>
      <c r="G26" s="524" t="s">
        <v>789</v>
      </c>
      <c r="H26" s="525">
        <v>1.1000000000000001</v>
      </c>
      <c r="I26" s="524"/>
      <c r="J26" s="390" t="s">
        <v>787</v>
      </c>
      <c r="K26" s="530">
        <v>1</v>
      </c>
      <c r="L26" s="524" t="s">
        <v>788</v>
      </c>
      <c r="M26" s="390">
        <v>0</v>
      </c>
      <c r="N26" s="390">
        <f t="shared" si="0"/>
        <v>0</v>
      </c>
      <c r="O26" s="531">
        <v>0</v>
      </c>
      <c r="P26" s="284">
        <f>Y6*F26*H26*K26*M26*O26</f>
        <v>0</v>
      </c>
      <c r="Q26" s="284">
        <f>P26/(1+Y5)</f>
        <v>0</v>
      </c>
      <c r="R26" s="389">
        <v>0</v>
      </c>
      <c r="S26" s="284">
        <v>0</v>
      </c>
      <c r="T26" s="390">
        <f>(Y4*R26+S26)*F26</f>
        <v>0</v>
      </c>
      <c r="U26" s="524">
        <v>0</v>
      </c>
      <c r="V26" s="287">
        <v>0</v>
      </c>
      <c r="W26" s="524">
        <v>0</v>
      </c>
      <c r="X26" s="395">
        <v>0</v>
      </c>
      <c r="Y26" s="395">
        <f t="shared" si="1"/>
        <v>0</v>
      </c>
    </row>
    <row r="27" spans="1:25">
      <c r="A27" s="287"/>
      <c r="B27" s="389">
        <v>19</v>
      </c>
      <c r="C27" s="443" t="s">
        <v>662</v>
      </c>
      <c r="D27" s="287" t="s">
        <v>719</v>
      </c>
      <c r="E27" s="389" t="s">
        <v>720</v>
      </c>
      <c r="F27" s="390">
        <v>1E-3</v>
      </c>
      <c r="G27" s="524" t="s">
        <v>789</v>
      </c>
      <c r="H27" s="525">
        <v>1.1000000000000001</v>
      </c>
      <c r="I27" s="524"/>
      <c r="J27" s="390" t="s">
        <v>787</v>
      </c>
      <c r="K27" s="530">
        <v>1</v>
      </c>
      <c r="L27" s="524" t="s">
        <v>788</v>
      </c>
      <c r="M27" s="390">
        <v>0</v>
      </c>
      <c r="N27" s="390">
        <f t="shared" si="0"/>
        <v>0</v>
      </c>
      <c r="O27" s="531">
        <v>0</v>
      </c>
      <c r="P27" s="284">
        <f>Y6*F27*H27*K27*M27*O27</f>
        <v>0</v>
      </c>
      <c r="Q27" s="284">
        <f>P27/(1+Y5)</f>
        <v>0</v>
      </c>
      <c r="R27" s="389">
        <v>0</v>
      </c>
      <c r="S27" s="284">
        <v>0</v>
      </c>
      <c r="T27" s="390">
        <f>(Y4*R27+S27)*F27</f>
        <v>0</v>
      </c>
      <c r="U27" s="524">
        <v>0</v>
      </c>
      <c r="V27" s="287">
        <v>0</v>
      </c>
      <c r="W27" s="524">
        <v>0</v>
      </c>
      <c r="X27" s="395">
        <v>0</v>
      </c>
      <c r="Y27" s="395">
        <f t="shared" si="1"/>
        <v>0</v>
      </c>
    </row>
    <row r="28" spans="1:25">
      <c r="A28" s="287"/>
      <c r="B28" s="389">
        <v>20</v>
      </c>
      <c r="C28" s="443" t="s">
        <v>626</v>
      </c>
      <c r="D28" s="287" t="s">
        <v>790</v>
      </c>
      <c r="E28" s="389" t="s">
        <v>468</v>
      </c>
      <c r="F28" s="390">
        <v>0</v>
      </c>
      <c r="G28" s="524" t="s">
        <v>791</v>
      </c>
      <c r="H28" s="525">
        <v>1.3</v>
      </c>
      <c r="I28" s="524"/>
      <c r="J28" s="390" t="s">
        <v>787</v>
      </c>
      <c r="K28" s="530">
        <v>1</v>
      </c>
      <c r="L28" s="524" t="s">
        <v>788</v>
      </c>
      <c r="M28" s="390">
        <v>0</v>
      </c>
      <c r="N28" s="390">
        <f t="shared" si="0"/>
        <v>0</v>
      </c>
      <c r="O28" s="531">
        <v>0</v>
      </c>
      <c r="P28" s="284">
        <f>Y6*F28*H28*K28*M28*O28</f>
        <v>0</v>
      </c>
      <c r="Q28" s="284">
        <f>P28/(1+Y5)</f>
        <v>0</v>
      </c>
      <c r="R28" s="389">
        <v>0</v>
      </c>
      <c r="S28" s="284">
        <v>0</v>
      </c>
      <c r="T28" s="390">
        <f>(Y4*R28+S28)*F28</f>
        <v>0</v>
      </c>
      <c r="U28" s="524">
        <v>0</v>
      </c>
      <c r="V28" s="287">
        <v>0</v>
      </c>
      <c r="W28" s="524">
        <v>0</v>
      </c>
      <c r="X28" s="395">
        <v>0</v>
      </c>
      <c r="Y28" s="395">
        <f t="shared" si="1"/>
        <v>0</v>
      </c>
    </row>
    <row r="29" spans="1:25">
      <c r="A29" s="287"/>
      <c r="B29" s="389">
        <v>21</v>
      </c>
      <c r="C29" s="443" t="s">
        <v>618</v>
      </c>
      <c r="D29" s="287" t="s">
        <v>722</v>
      </c>
      <c r="E29" s="389" t="s">
        <v>356</v>
      </c>
      <c r="F29" s="390">
        <v>0.77</v>
      </c>
      <c r="G29" s="524" t="s">
        <v>786</v>
      </c>
      <c r="H29" s="525">
        <v>1</v>
      </c>
      <c r="I29" s="524"/>
      <c r="J29" s="390" t="s">
        <v>787</v>
      </c>
      <c r="K29" s="530">
        <v>1</v>
      </c>
      <c r="L29" s="524" t="s">
        <v>788</v>
      </c>
      <c r="M29" s="390">
        <v>0</v>
      </c>
      <c r="N29" s="390">
        <f t="shared" si="0"/>
        <v>0</v>
      </c>
      <c r="O29" s="531">
        <v>0</v>
      </c>
      <c r="P29" s="284">
        <f>Y6*F29*H29*K29*M29*O29</f>
        <v>0</v>
      </c>
      <c r="Q29" s="284">
        <f>P29/(1+Y5)</f>
        <v>0</v>
      </c>
      <c r="R29" s="389">
        <v>0</v>
      </c>
      <c r="S29" s="284">
        <v>0</v>
      </c>
      <c r="T29" s="390">
        <f>(Y4*R29+S29)*F29</f>
        <v>0</v>
      </c>
      <c r="U29" s="524">
        <v>0</v>
      </c>
      <c r="V29" s="287">
        <v>0</v>
      </c>
      <c r="W29" s="524">
        <v>0</v>
      </c>
      <c r="X29" s="395">
        <v>0</v>
      </c>
      <c r="Y29" s="395">
        <f t="shared" si="1"/>
        <v>0</v>
      </c>
    </row>
    <row r="30" spans="1:25">
      <c r="A30" s="287"/>
      <c r="B30" s="389">
        <v>22</v>
      </c>
      <c r="C30" s="443" t="s">
        <v>682</v>
      </c>
      <c r="D30" s="287" t="s">
        <v>723</v>
      </c>
      <c r="E30" s="389" t="s">
        <v>356</v>
      </c>
      <c r="F30" s="390">
        <v>0.77</v>
      </c>
      <c r="G30" s="524" t="s">
        <v>786</v>
      </c>
      <c r="H30" s="525">
        <v>1</v>
      </c>
      <c r="I30" s="524"/>
      <c r="J30" s="390" t="s">
        <v>787</v>
      </c>
      <c r="K30" s="530">
        <v>1</v>
      </c>
      <c r="L30" s="524" t="s">
        <v>788</v>
      </c>
      <c r="M30" s="390">
        <v>0</v>
      </c>
      <c r="N30" s="390">
        <f t="shared" si="0"/>
        <v>0</v>
      </c>
      <c r="O30" s="531">
        <v>0</v>
      </c>
      <c r="P30" s="284">
        <f>Y6*F30*H30*K30*M30*O30</f>
        <v>0</v>
      </c>
      <c r="Q30" s="284">
        <f>P30/(1+Y5)</f>
        <v>0</v>
      </c>
      <c r="R30" s="389">
        <v>0</v>
      </c>
      <c r="S30" s="284">
        <v>0</v>
      </c>
      <c r="T30" s="390">
        <f>(Y4*R30+S30)*F30</f>
        <v>0</v>
      </c>
      <c r="U30" s="524">
        <v>0</v>
      </c>
      <c r="V30" s="287">
        <v>0</v>
      </c>
      <c r="W30" s="524">
        <v>0</v>
      </c>
      <c r="X30" s="395">
        <v>0</v>
      </c>
      <c r="Y30" s="395">
        <f t="shared" si="1"/>
        <v>0</v>
      </c>
    </row>
    <row r="31" spans="1:25">
      <c r="A31" s="287"/>
      <c r="B31" s="389">
        <v>23</v>
      </c>
      <c r="C31" s="443" t="s">
        <v>636</v>
      </c>
      <c r="D31" s="287" t="s">
        <v>725</v>
      </c>
      <c r="E31" s="389" t="s">
        <v>726</v>
      </c>
      <c r="F31" s="390">
        <v>0</v>
      </c>
      <c r="G31" s="524" t="s">
        <v>786</v>
      </c>
      <c r="H31" s="525">
        <v>1</v>
      </c>
      <c r="I31" s="524"/>
      <c r="J31" s="390" t="s">
        <v>787</v>
      </c>
      <c r="K31" s="530">
        <v>1</v>
      </c>
      <c r="L31" s="524" t="s">
        <v>788</v>
      </c>
      <c r="M31" s="390">
        <v>0</v>
      </c>
      <c r="N31" s="390">
        <f t="shared" si="0"/>
        <v>0</v>
      </c>
      <c r="O31" s="531">
        <v>0</v>
      </c>
      <c r="P31" s="284">
        <f>Y6*F31*H31*K31*M31*O31</f>
        <v>0</v>
      </c>
      <c r="Q31" s="284">
        <f>P31/(1+Y5)</f>
        <v>0</v>
      </c>
      <c r="R31" s="389">
        <v>0</v>
      </c>
      <c r="S31" s="284">
        <v>0</v>
      </c>
      <c r="T31" s="390">
        <f>(Y4*R31+S31)*F31</f>
        <v>0</v>
      </c>
      <c r="U31" s="524">
        <v>0</v>
      </c>
      <c r="V31" s="287">
        <v>0</v>
      </c>
      <c r="W31" s="524">
        <v>0</v>
      </c>
      <c r="X31" s="395">
        <v>0</v>
      </c>
      <c r="Y31" s="395">
        <f t="shared" si="1"/>
        <v>0</v>
      </c>
    </row>
    <row r="32" spans="1:25">
      <c r="A32" s="287"/>
      <c r="B32" s="389">
        <v>24</v>
      </c>
      <c r="C32" s="443" t="s">
        <v>631</v>
      </c>
      <c r="D32" s="287" t="s">
        <v>727</v>
      </c>
      <c r="E32" s="389" t="s">
        <v>720</v>
      </c>
      <c r="F32" s="390">
        <v>1E-3</v>
      </c>
      <c r="G32" s="524" t="s">
        <v>786</v>
      </c>
      <c r="H32" s="525">
        <v>1</v>
      </c>
      <c r="I32" s="524"/>
      <c r="J32" s="390" t="s">
        <v>787</v>
      </c>
      <c r="K32" s="530">
        <v>1</v>
      </c>
      <c r="L32" s="524" t="s">
        <v>788</v>
      </c>
      <c r="M32" s="390">
        <v>0</v>
      </c>
      <c r="N32" s="390">
        <f t="shared" si="0"/>
        <v>0</v>
      </c>
      <c r="O32" s="531">
        <v>0</v>
      </c>
      <c r="P32" s="284">
        <f>Y6*F32*H32*K32*M32*O32</f>
        <v>0</v>
      </c>
      <c r="Q32" s="284">
        <f>P32/(1+Y5)</f>
        <v>0</v>
      </c>
      <c r="R32" s="389">
        <v>0</v>
      </c>
      <c r="S32" s="284">
        <v>0</v>
      </c>
      <c r="T32" s="390">
        <f>(Y4*R32+S32)*F32</f>
        <v>0</v>
      </c>
      <c r="U32" s="524">
        <v>0</v>
      </c>
      <c r="V32" s="287">
        <v>0</v>
      </c>
      <c r="W32" s="524">
        <v>0</v>
      </c>
      <c r="X32" s="395">
        <v>0</v>
      </c>
      <c r="Y32" s="395">
        <f t="shared" si="1"/>
        <v>0</v>
      </c>
    </row>
    <row r="33" spans="1:25">
      <c r="A33" s="287"/>
      <c r="B33" s="389">
        <v>25</v>
      </c>
      <c r="C33" s="443" t="s">
        <v>681</v>
      </c>
      <c r="D33" s="287" t="s">
        <v>728</v>
      </c>
      <c r="E33" s="389" t="s">
        <v>726</v>
      </c>
      <c r="F33" s="390">
        <v>0</v>
      </c>
      <c r="G33" s="524" t="s">
        <v>786</v>
      </c>
      <c r="H33" s="525">
        <v>1</v>
      </c>
      <c r="I33" s="524"/>
      <c r="J33" s="390" t="s">
        <v>787</v>
      </c>
      <c r="K33" s="530">
        <v>1</v>
      </c>
      <c r="L33" s="524" t="s">
        <v>788</v>
      </c>
      <c r="M33" s="390">
        <v>0</v>
      </c>
      <c r="N33" s="390">
        <f t="shared" si="0"/>
        <v>0</v>
      </c>
      <c r="O33" s="531">
        <v>0</v>
      </c>
      <c r="P33" s="284">
        <f>Y6*F33*H33*K33*M33*O33</f>
        <v>0</v>
      </c>
      <c r="Q33" s="284">
        <f>P33/(1+Y5)</f>
        <v>0</v>
      </c>
      <c r="R33" s="389">
        <v>0</v>
      </c>
      <c r="S33" s="284">
        <v>0</v>
      </c>
      <c r="T33" s="390">
        <f>(Y4*R33+S33)*F33</f>
        <v>0</v>
      </c>
      <c r="U33" s="524">
        <v>0</v>
      </c>
      <c r="V33" s="287">
        <v>0</v>
      </c>
      <c r="W33" s="524">
        <v>0</v>
      </c>
      <c r="X33" s="395">
        <v>0</v>
      </c>
      <c r="Y33" s="395">
        <f t="shared" si="1"/>
        <v>0</v>
      </c>
    </row>
    <row r="34" spans="1:25">
      <c r="A34" s="287"/>
      <c r="B34" s="389">
        <v>26</v>
      </c>
      <c r="C34" s="443" t="s">
        <v>729</v>
      </c>
      <c r="D34" s="287" t="s">
        <v>730</v>
      </c>
      <c r="E34" s="389" t="s">
        <v>720</v>
      </c>
      <c r="F34" s="390">
        <v>1E-3</v>
      </c>
      <c r="G34" s="524" t="s">
        <v>786</v>
      </c>
      <c r="H34" s="525">
        <v>1</v>
      </c>
      <c r="I34" s="524"/>
      <c r="J34" s="390" t="s">
        <v>787</v>
      </c>
      <c r="K34" s="530">
        <v>1</v>
      </c>
      <c r="L34" s="524" t="s">
        <v>788</v>
      </c>
      <c r="M34" s="390">
        <v>0</v>
      </c>
      <c r="N34" s="390">
        <f t="shared" si="0"/>
        <v>0</v>
      </c>
      <c r="O34" s="531">
        <v>0</v>
      </c>
      <c r="P34" s="284">
        <f>Y6*F34*H34*K34*M34*O34</f>
        <v>0</v>
      </c>
      <c r="Q34" s="284">
        <f>P34/(1+Y5)</f>
        <v>0</v>
      </c>
      <c r="R34" s="389">
        <v>0</v>
      </c>
      <c r="S34" s="284">
        <v>0</v>
      </c>
      <c r="T34" s="390">
        <f>(Y4*R34+S34)*F34</f>
        <v>0</v>
      </c>
      <c r="U34" s="524">
        <v>0</v>
      </c>
      <c r="V34" s="287">
        <v>0</v>
      </c>
      <c r="W34" s="524">
        <v>0</v>
      </c>
      <c r="X34" s="395">
        <v>0</v>
      </c>
      <c r="Y34" s="395">
        <f t="shared" si="1"/>
        <v>0</v>
      </c>
    </row>
    <row r="35" spans="1:25">
      <c r="A35" s="287"/>
      <c r="B35" s="389">
        <v>27</v>
      </c>
      <c r="C35" s="443" t="s">
        <v>619</v>
      </c>
      <c r="D35" s="287" t="s">
        <v>731</v>
      </c>
      <c r="E35" s="389" t="s">
        <v>720</v>
      </c>
      <c r="F35" s="390">
        <v>1E-3</v>
      </c>
      <c r="G35" s="524" t="s">
        <v>791</v>
      </c>
      <c r="H35" s="525">
        <v>1.3</v>
      </c>
      <c r="I35" s="524"/>
      <c r="J35" s="390" t="s">
        <v>787</v>
      </c>
      <c r="K35" s="530">
        <v>1</v>
      </c>
      <c r="L35" s="524" t="s">
        <v>788</v>
      </c>
      <c r="M35" s="390">
        <v>0</v>
      </c>
      <c r="N35" s="390">
        <f t="shared" si="0"/>
        <v>0</v>
      </c>
      <c r="O35" s="531">
        <v>0</v>
      </c>
      <c r="P35" s="284">
        <f>Y6*F35*H35*K35*M35*O35</f>
        <v>0</v>
      </c>
      <c r="Q35" s="284">
        <f>P35/(1+Y5)</f>
        <v>0</v>
      </c>
      <c r="R35" s="389">
        <v>0</v>
      </c>
      <c r="S35" s="284">
        <v>0</v>
      </c>
      <c r="T35" s="390">
        <f>(Y4*R35+S35)*F35</f>
        <v>0</v>
      </c>
      <c r="U35" s="524">
        <v>0</v>
      </c>
      <c r="V35" s="287">
        <v>0</v>
      </c>
      <c r="W35" s="524">
        <v>0</v>
      </c>
      <c r="X35" s="395">
        <v>0</v>
      </c>
      <c r="Y35" s="395">
        <f t="shared" si="1"/>
        <v>0</v>
      </c>
    </row>
    <row r="36" spans="1:25">
      <c r="A36" s="287"/>
      <c r="B36" s="389">
        <v>28</v>
      </c>
      <c r="C36" s="443" t="s">
        <v>646</v>
      </c>
      <c r="D36" s="287" t="s">
        <v>732</v>
      </c>
      <c r="E36" s="389" t="s">
        <v>720</v>
      </c>
      <c r="F36" s="390">
        <v>1E-3</v>
      </c>
      <c r="G36" s="524" t="s">
        <v>792</v>
      </c>
      <c r="H36" s="525">
        <v>1.4</v>
      </c>
      <c r="I36" s="524"/>
      <c r="J36" s="390" t="s">
        <v>787</v>
      </c>
      <c r="K36" s="530">
        <v>1</v>
      </c>
      <c r="L36" s="524" t="s">
        <v>788</v>
      </c>
      <c r="M36" s="390">
        <v>0</v>
      </c>
      <c r="N36" s="390">
        <f t="shared" si="0"/>
        <v>0</v>
      </c>
      <c r="O36" s="531">
        <v>0</v>
      </c>
      <c r="P36" s="284">
        <f>Y6*F36*H36*K36*M36*O36</f>
        <v>0</v>
      </c>
      <c r="Q36" s="284">
        <f>P36/(1+Y5)</f>
        <v>0</v>
      </c>
      <c r="R36" s="389">
        <v>0</v>
      </c>
      <c r="S36" s="284">
        <v>0</v>
      </c>
      <c r="T36" s="390">
        <f>(Y4*R36+S36)*F36</f>
        <v>0</v>
      </c>
      <c r="U36" s="524">
        <v>0</v>
      </c>
      <c r="V36" s="287">
        <v>0</v>
      </c>
      <c r="W36" s="524">
        <v>0</v>
      </c>
      <c r="X36" s="395">
        <v>0</v>
      </c>
      <c r="Y36" s="395">
        <f t="shared" si="1"/>
        <v>0</v>
      </c>
    </row>
    <row r="37" spans="1:25">
      <c r="A37" s="287"/>
      <c r="B37" s="389">
        <v>29</v>
      </c>
      <c r="C37" s="443" t="s">
        <v>617</v>
      </c>
      <c r="D37" s="287" t="s">
        <v>733</v>
      </c>
      <c r="E37" s="389" t="s">
        <v>734</v>
      </c>
      <c r="F37" s="390">
        <v>0</v>
      </c>
      <c r="G37" s="524" t="s">
        <v>786</v>
      </c>
      <c r="H37" s="525">
        <v>1</v>
      </c>
      <c r="I37" s="524"/>
      <c r="J37" s="390" t="s">
        <v>787</v>
      </c>
      <c r="K37" s="530">
        <v>1</v>
      </c>
      <c r="L37" s="524" t="s">
        <v>788</v>
      </c>
      <c r="M37" s="390">
        <v>0</v>
      </c>
      <c r="N37" s="390">
        <f t="shared" si="0"/>
        <v>0</v>
      </c>
      <c r="O37" s="531">
        <v>0</v>
      </c>
      <c r="P37" s="284">
        <f>Y6*F37*H37*K37*M37*O37</f>
        <v>0</v>
      </c>
      <c r="Q37" s="284">
        <f>P37/(1+Y5)</f>
        <v>0</v>
      </c>
      <c r="R37" s="389">
        <v>0</v>
      </c>
      <c r="S37" s="284">
        <v>0</v>
      </c>
      <c r="T37" s="390">
        <f>(Y4*R37+S37)*F37</f>
        <v>0</v>
      </c>
      <c r="U37" s="524">
        <v>0</v>
      </c>
      <c r="V37" s="287">
        <v>0</v>
      </c>
      <c r="W37" s="524">
        <v>0</v>
      </c>
      <c r="X37" s="395">
        <v>0</v>
      </c>
      <c r="Y37" s="395">
        <f t="shared" si="1"/>
        <v>0</v>
      </c>
    </row>
    <row r="38" spans="1:25">
      <c r="A38" s="287"/>
      <c r="B38" s="389">
        <v>30</v>
      </c>
      <c r="C38" s="443" t="s">
        <v>735</v>
      </c>
      <c r="D38" s="287" t="s">
        <v>736</v>
      </c>
      <c r="E38" s="389" t="s">
        <v>414</v>
      </c>
      <c r="F38" s="390">
        <v>0</v>
      </c>
      <c r="G38" s="524" t="s">
        <v>791</v>
      </c>
      <c r="H38" s="525">
        <v>1.3</v>
      </c>
      <c r="I38" s="524"/>
      <c r="J38" s="390" t="s">
        <v>787</v>
      </c>
      <c r="K38" s="530">
        <v>1</v>
      </c>
      <c r="L38" s="524" t="s">
        <v>788</v>
      </c>
      <c r="M38" s="390">
        <v>0</v>
      </c>
      <c r="N38" s="390">
        <f t="shared" si="0"/>
        <v>0</v>
      </c>
      <c r="O38" s="531">
        <v>0</v>
      </c>
      <c r="P38" s="284">
        <f>Y6*F38*H38*K38*M38*O38</f>
        <v>0</v>
      </c>
      <c r="Q38" s="284">
        <f>P38/(1+Y5)</f>
        <v>0</v>
      </c>
      <c r="R38" s="389">
        <v>0</v>
      </c>
      <c r="S38" s="284">
        <v>0</v>
      </c>
      <c r="T38" s="390">
        <f>(Y4*R38+S38)*F38</f>
        <v>0</v>
      </c>
      <c r="U38" s="524">
        <v>0</v>
      </c>
      <c r="V38" s="287">
        <v>0</v>
      </c>
      <c r="W38" s="524">
        <v>0</v>
      </c>
      <c r="X38" s="395">
        <v>0</v>
      </c>
      <c r="Y38" s="395">
        <f t="shared" si="1"/>
        <v>0</v>
      </c>
    </row>
    <row r="39" spans="1:25">
      <c r="A39" s="287"/>
      <c r="B39" s="389">
        <v>31</v>
      </c>
      <c r="C39" s="443" t="s">
        <v>680</v>
      </c>
      <c r="D39" s="287" t="s">
        <v>737</v>
      </c>
      <c r="E39" s="389" t="s">
        <v>414</v>
      </c>
      <c r="F39" s="390">
        <v>0</v>
      </c>
      <c r="G39" s="524" t="s">
        <v>789</v>
      </c>
      <c r="H39" s="525">
        <v>1.1000000000000001</v>
      </c>
      <c r="I39" s="524"/>
      <c r="J39" s="390" t="s">
        <v>787</v>
      </c>
      <c r="K39" s="530">
        <v>1</v>
      </c>
      <c r="L39" s="524" t="s">
        <v>788</v>
      </c>
      <c r="M39" s="390">
        <v>0</v>
      </c>
      <c r="N39" s="390">
        <f t="shared" si="0"/>
        <v>0</v>
      </c>
      <c r="O39" s="531">
        <v>0</v>
      </c>
      <c r="P39" s="284">
        <f>Y6*F39*H39*K39*M39*O39</f>
        <v>0</v>
      </c>
      <c r="Q39" s="284">
        <f>P39/(1+Y5)</f>
        <v>0</v>
      </c>
      <c r="R39" s="389">
        <v>0</v>
      </c>
      <c r="S39" s="284">
        <v>0</v>
      </c>
      <c r="T39" s="390">
        <f>(Y4*R39+S39)*F39</f>
        <v>0</v>
      </c>
      <c r="U39" s="524">
        <v>0</v>
      </c>
      <c r="V39" s="287">
        <v>0</v>
      </c>
      <c r="W39" s="524">
        <v>0</v>
      </c>
      <c r="X39" s="395">
        <v>0</v>
      </c>
      <c r="Y39" s="395">
        <f t="shared" si="1"/>
        <v>0</v>
      </c>
    </row>
    <row r="40" spans="1:25">
      <c r="A40" s="287"/>
      <c r="B40" s="389">
        <v>32</v>
      </c>
      <c r="C40" s="443" t="s">
        <v>639</v>
      </c>
      <c r="D40" s="287" t="s">
        <v>738</v>
      </c>
      <c r="E40" s="389" t="s">
        <v>720</v>
      </c>
      <c r="F40" s="390">
        <v>1E-3</v>
      </c>
      <c r="G40" s="524" t="s">
        <v>786</v>
      </c>
      <c r="H40" s="525">
        <v>1</v>
      </c>
      <c r="I40" s="524"/>
      <c r="J40" s="390" t="s">
        <v>787</v>
      </c>
      <c r="K40" s="530">
        <v>1</v>
      </c>
      <c r="L40" s="524" t="s">
        <v>788</v>
      </c>
      <c r="M40" s="390">
        <v>0</v>
      </c>
      <c r="N40" s="390">
        <f t="shared" si="0"/>
        <v>0</v>
      </c>
      <c r="O40" s="531">
        <v>0</v>
      </c>
      <c r="P40" s="284">
        <f>Y6*F40*H40*K40*M40*O40</f>
        <v>0</v>
      </c>
      <c r="Q40" s="284">
        <f>P40/(1+Y5)</f>
        <v>0</v>
      </c>
      <c r="R40" s="389">
        <v>0</v>
      </c>
      <c r="S40" s="284">
        <v>0</v>
      </c>
      <c r="T40" s="390">
        <f>(Y4*R40+S40)*F40</f>
        <v>0</v>
      </c>
      <c r="U40" s="524">
        <v>0</v>
      </c>
      <c r="V40" s="287">
        <v>0</v>
      </c>
      <c r="W40" s="524">
        <v>0</v>
      </c>
      <c r="X40" s="395">
        <v>0</v>
      </c>
      <c r="Y40" s="395">
        <f t="shared" si="1"/>
        <v>0</v>
      </c>
    </row>
    <row r="41" spans="1:25">
      <c r="A41" s="287"/>
      <c r="B41" s="389">
        <v>33</v>
      </c>
      <c r="C41" s="443" t="s">
        <v>628</v>
      </c>
      <c r="D41" s="287" t="s">
        <v>739</v>
      </c>
      <c r="E41" s="389" t="s">
        <v>720</v>
      </c>
      <c r="F41" s="390">
        <v>1E-3</v>
      </c>
      <c r="G41" s="524" t="s">
        <v>786</v>
      </c>
      <c r="H41" s="525">
        <v>1</v>
      </c>
      <c r="I41" s="524"/>
      <c r="J41" s="390" t="s">
        <v>787</v>
      </c>
      <c r="K41" s="530">
        <v>1</v>
      </c>
      <c r="L41" s="524" t="s">
        <v>788</v>
      </c>
      <c r="M41" s="390">
        <v>0</v>
      </c>
      <c r="N41" s="390">
        <f t="shared" si="0"/>
        <v>0</v>
      </c>
      <c r="O41" s="531">
        <v>0</v>
      </c>
      <c r="P41" s="284">
        <f>Y6*F41*H41*K41*M41*O41</f>
        <v>0</v>
      </c>
      <c r="Q41" s="284">
        <f>P41/(1+Y5)</f>
        <v>0</v>
      </c>
      <c r="R41" s="389">
        <v>0</v>
      </c>
      <c r="S41" s="284">
        <v>0</v>
      </c>
      <c r="T41" s="390">
        <f>(Y4*R41+S41)*F41</f>
        <v>0</v>
      </c>
      <c r="U41" s="524">
        <v>0</v>
      </c>
      <c r="V41" s="287">
        <v>0</v>
      </c>
      <c r="W41" s="524">
        <v>0</v>
      </c>
      <c r="X41" s="395">
        <v>0</v>
      </c>
      <c r="Y41" s="395">
        <f t="shared" si="1"/>
        <v>0</v>
      </c>
    </row>
    <row r="42" spans="1:25">
      <c r="A42" s="287"/>
      <c r="B42" s="389">
        <v>34</v>
      </c>
      <c r="C42" s="443" t="s">
        <v>632</v>
      </c>
      <c r="D42" s="287" t="s">
        <v>740</v>
      </c>
      <c r="E42" s="389" t="s">
        <v>720</v>
      </c>
      <c r="F42" s="390">
        <v>1E-3</v>
      </c>
      <c r="G42" s="524" t="s">
        <v>786</v>
      </c>
      <c r="H42" s="525">
        <v>1</v>
      </c>
      <c r="I42" s="524"/>
      <c r="J42" s="390" t="s">
        <v>787</v>
      </c>
      <c r="K42" s="530">
        <v>1</v>
      </c>
      <c r="L42" s="524" t="s">
        <v>788</v>
      </c>
      <c r="M42" s="390">
        <v>0</v>
      </c>
      <c r="N42" s="390">
        <f t="shared" si="0"/>
        <v>0</v>
      </c>
      <c r="O42" s="531">
        <v>0</v>
      </c>
      <c r="P42" s="284">
        <f>Y6*F42*H42*K42*M42*O42</f>
        <v>0</v>
      </c>
      <c r="Q42" s="284">
        <f>P42/(1+Y5)</f>
        <v>0</v>
      </c>
      <c r="R42" s="389">
        <v>0</v>
      </c>
      <c r="S42" s="284">
        <v>0</v>
      </c>
      <c r="T42" s="390">
        <f>(Y4*R42+S42)*F42</f>
        <v>0</v>
      </c>
      <c r="U42" s="524">
        <v>0</v>
      </c>
      <c r="V42" s="287">
        <v>0</v>
      </c>
      <c r="W42" s="524">
        <v>0</v>
      </c>
      <c r="X42" s="395">
        <v>0</v>
      </c>
      <c r="Y42" s="395">
        <f t="shared" si="1"/>
        <v>0</v>
      </c>
    </row>
    <row r="43" spans="1:25">
      <c r="A43" s="287"/>
      <c r="B43" s="389">
        <v>35</v>
      </c>
      <c r="C43" s="443" t="s">
        <v>664</v>
      </c>
      <c r="D43" s="287" t="s">
        <v>741</v>
      </c>
      <c r="E43" s="389" t="s">
        <v>720</v>
      </c>
      <c r="F43" s="390">
        <v>1E-3</v>
      </c>
      <c r="G43" s="524" t="s">
        <v>786</v>
      </c>
      <c r="H43" s="525">
        <v>1</v>
      </c>
      <c r="I43" s="524"/>
      <c r="J43" s="390" t="s">
        <v>787</v>
      </c>
      <c r="K43" s="530">
        <v>1</v>
      </c>
      <c r="L43" s="524" t="s">
        <v>788</v>
      </c>
      <c r="M43" s="390">
        <v>0</v>
      </c>
      <c r="N43" s="390">
        <f t="shared" si="0"/>
        <v>0</v>
      </c>
      <c r="O43" s="531">
        <v>0</v>
      </c>
      <c r="P43" s="284">
        <f>Y6*F43*H43*K43*M43*O43</f>
        <v>0</v>
      </c>
      <c r="Q43" s="284">
        <f>P43/(1+Y5)</f>
        <v>0</v>
      </c>
      <c r="R43" s="389">
        <v>0</v>
      </c>
      <c r="S43" s="284">
        <v>0</v>
      </c>
      <c r="T43" s="390">
        <f>(Y4*R43+S43)*F43</f>
        <v>0</v>
      </c>
      <c r="U43" s="524">
        <v>0</v>
      </c>
      <c r="V43" s="287">
        <v>0</v>
      </c>
      <c r="W43" s="524">
        <v>0</v>
      </c>
      <c r="X43" s="395">
        <v>0</v>
      </c>
      <c r="Y43" s="395">
        <f t="shared" si="1"/>
        <v>0</v>
      </c>
    </row>
    <row r="44" spans="1:25">
      <c r="A44" s="287"/>
      <c r="B44" s="389">
        <v>36</v>
      </c>
      <c r="C44" s="443" t="s">
        <v>627</v>
      </c>
      <c r="D44" s="287" t="s">
        <v>742</v>
      </c>
      <c r="E44" s="389" t="s">
        <v>720</v>
      </c>
      <c r="F44" s="390">
        <v>1E-3</v>
      </c>
      <c r="G44" s="524" t="s">
        <v>789</v>
      </c>
      <c r="H44" s="525">
        <v>1.1000000000000001</v>
      </c>
      <c r="I44" s="524"/>
      <c r="J44" s="390" t="s">
        <v>787</v>
      </c>
      <c r="K44" s="530">
        <v>1</v>
      </c>
      <c r="L44" s="524" t="s">
        <v>788</v>
      </c>
      <c r="M44" s="390">
        <v>0</v>
      </c>
      <c r="N44" s="390">
        <f t="shared" si="0"/>
        <v>0</v>
      </c>
      <c r="O44" s="531">
        <v>0</v>
      </c>
      <c r="P44" s="284">
        <f>Y6*F44*H44*K44*M44*O44</f>
        <v>0</v>
      </c>
      <c r="Q44" s="284">
        <f>P44/(1+Y5)</f>
        <v>0</v>
      </c>
      <c r="R44" s="389">
        <v>0</v>
      </c>
      <c r="S44" s="284">
        <v>0</v>
      </c>
      <c r="T44" s="390">
        <f>(Y4*R44+S44)*F44</f>
        <v>0</v>
      </c>
      <c r="U44" s="524">
        <v>0</v>
      </c>
      <c r="V44" s="287">
        <v>0</v>
      </c>
      <c r="W44" s="524">
        <v>0</v>
      </c>
      <c r="X44" s="395">
        <v>0</v>
      </c>
      <c r="Y44" s="395">
        <f t="shared" si="1"/>
        <v>0</v>
      </c>
    </row>
    <row r="45" spans="1:25">
      <c r="A45" s="287"/>
      <c r="B45" s="389">
        <v>37</v>
      </c>
      <c r="C45" s="443" t="s">
        <v>663</v>
      </c>
      <c r="D45" s="287" t="s">
        <v>743</v>
      </c>
      <c r="E45" s="389" t="s">
        <v>720</v>
      </c>
      <c r="F45" s="390">
        <v>1E-3</v>
      </c>
      <c r="G45" s="524" t="s">
        <v>789</v>
      </c>
      <c r="H45" s="525">
        <v>1.1000000000000001</v>
      </c>
      <c r="I45" s="524"/>
      <c r="J45" s="390" t="s">
        <v>787</v>
      </c>
      <c r="K45" s="530">
        <v>1</v>
      </c>
      <c r="L45" s="524" t="s">
        <v>788</v>
      </c>
      <c r="M45" s="390">
        <v>0</v>
      </c>
      <c r="N45" s="390">
        <f t="shared" si="0"/>
        <v>0</v>
      </c>
      <c r="O45" s="531">
        <v>0</v>
      </c>
      <c r="P45" s="284">
        <f>Y6*F45*H45*K45*M45*O45</f>
        <v>0</v>
      </c>
      <c r="Q45" s="284">
        <f>P45/(1+Y5)</f>
        <v>0</v>
      </c>
      <c r="R45" s="389">
        <v>0</v>
      </c>
      <c r="S45" s="284">
        <v>0</v>
      </c>
      <c r="T45" s="390">
        <f>(Y4*R45+S45)*F45</f>
        <v>0</v>
      </c>
      <c r="U45" s="524">
        <v>0</v>
      </c>
      <c r="V45" s="287">
        <v>0</v>
      </c>
      <c r="W45" s="524">
        <v>0</v>
      </c>
      <c r="X45" s="395">
        <v>0</v>
      </c>
      <c r="Y45" s="395">
        <f t="shared" si="1"/>
        <v>0</v>
      </c>
    </row>
    <row r="46" spans="1:25">
      <c r="A46" s="287"/>
      <c r="B46" s="389">
        <v>38</v>
      </c>
      <c r="C46" s="443" t="s">
        <v>666</v>
      </c>
      <c r="D46" s="287" t="s">
        <v>744</v>
      </c>
      <c r="E46" s="389" t="s">
        <v>720</v>
      </c>
      <c r="F46" s="390">
        <v>1E-3</v>
      </c>
      <c r="G46" s="524" t="s">
        <v>786</v>
      </c>
      <c r="H46" s="525">
        <v>1</v>
      </c>
      <c r="I46" s="524"/>
      <c r="J46" s="390" t="s">
        <v>787</v>
      </c>
      <c r="K46" s="530">
        <v>1</v>
      </c>
      <c r="L46" s="524" t="s">
        <v>788</v>
      </c>
      <c r="M46" s="390">
        <v>0</v>
      </c>
      <c r="N46" s="390">
        <f t="shared" si="0"/>
        <v>0</v>
      </c>
      <c r="O46" s="531">
        <v>0</v>
      </c>
      <c r="P46" s="284">
        <f>Y6*F46*H46*K46*M46*O46</f>
        <v>0</v>
      </c>
      <c r="Q46" s="284">
        <f>P46/(1+Y5)</f>
        <v>0</v>
      </c>
      <c r="R46" s="389">
        <v>0</v>
      </c>
      <c r="S46" s="284">
        <v>0</v>
      </c>
      <c r="T46" s="390">
        <f>(Y4*R46+S46)*F46</f>
        <v>0</v>
      </c>
      <c r="U46" s="524">
        <v>0</v>
      </c>
      <c r="V46" s="287">
        <v>0</v>
      </c>
      <c r="W46" s="524">
        <v>0</v>
      </c>
      <c r="X46" s="395">
        <v>0</v>
      </c>
      <c r="Y46" s="395">
        <f t="shared" si="1"/>
        <v>0</v>
      </c>
    </row>
    <row r="47" spans="1:25">
      <c r="A47" s="287"/>
      <c r="B47" s="389">
        <v>39</v>
      </c>
      <c r="C47" s="443" t="s">
        <v>661</v>
      </c>
      <c r="D47" s="287" t="s">
        <v>745</v>
      </c>
      <c r="E47" s="389" t="s">
        <v>720</v>
      </c>
      <c r="F47" s="390">
        <v>1E-3</v>
      </c>
      <c r="G47" s="524" t="s">
        <v>786</v>
      </c>
      <c r="H47" s="525">
        <v>1</v>
      </c>
      <c r="I47" s="524"/>
      <c r="J47" s="390" t="s">
        <v>787</v>
      </c>
      <c r="K47" s="530">
        <v>1</v>
      </c>
      <c r="L47" s="524" t="s">
        <v>788</v>
      </c>
      <c r="M47" s="390">
        <v>0</v>
      </c>
      <c r="N47" s="390">
        <f t="shared" si="0"/>
        <v>0</v>
      </c>
      <c r="O47" s="531">
        <v>0</v>
      </c>
      <c r="P47" s="284">
        <f>Y6*F47*H47*K47*M47*O47</f>
        <v>0</v>
      </c>
      <c r="Q47" s="284">
        <f>P47/(1+Y5)</f>
        <v>0</v>
      </c>
      <c r="R47" s="389">
        <v>0</v>
      </c>
      <c r="S47" s="284">
        <v>0</v>
      </c>
      <c r="T47" s="390">
        <f>(Y4*R47+S47)*F47</f>
        <v>0</v>
      </c>
      <c r="U47" s="524">
        <v>0</v>
      </c>
      <c r="V47" s="287">
        <v>0</v>
      </c>
      <c r="W47" s="524">
        <v>0</v>
      </c>
      <c r="X47" s="395">
        <v>0</v>
      </c>
      <c r="Y47" s="395">
        <f t="shared" si="1"/>
        <v>0</v>
      </c>
    </row>
    <row r="48" spans="1:25">
      <c r="A48" s="287"/>
      <c r="B48" s="389">
        <v>40</v>
      </c>
      <c r="C48" s="443" t="s">
        <v>670</v>
      </c>
      <c r="D48" s="287" t="s">
        <v>746</v>
      </c>
      <c r="E48" s="389" t="s">
        <v>720</v>
      </c>
      <c r="F48" s="390">
        <v>1E-3</v>
      </c>
      <c r="G48" s="524" t="s">
        <v>791</v>
      </c>
      <c r="H48" s="525">
        <v>1.3</v>
      </c>
      <c r="I48" s="524"/>
      <c r="J48" s="390" t="s">
        <v>787</v>
      </c>
      <c r="K48" s="530">
        <v>1</v>
      </c>
      <c r="L48" s="524" t="s">
        <v>788</v>
      </c>
      <c r="M48" s="390">
        <v>0</v>
      </c>
      <c r="N48" s="390">
        <f t="shared" si="0"/>
        <v>0</v>
      </c>
      <c r="O48" s="531">
        <v>0</v>
      </c>
      <c r="P48" s="284">
        <f>Y6*F48*H48*K48*M48*O48</f>
        <v>0</v>
      </c>
      <c r="Q48" s="284">
        <f>P48/(1+Y5)</f>
        <v>0</v>
      </c>
      <c r="R48" s="389">
        <v>0</v>
      </c>
      <c r="S48" s="284">
        <v>0</v>
      </c>
      <c r="T48" s="390">
        <f>(Y4*R48+S48)*F48</f>
        <v>0</v>
      </c>
      <c r="U48" s="524">
        <v>0</v>
      </c>
      <c r="V48" s="287">
        <v>0</v>
      </c>
      <c r="W48" s="524">
        <v>0</v>
      </c>
      <c r="X48" s="395">
        <v>0</v>
      </c>
      <c r="Y48" s="395">
        <f t="shared" si="1"/>
        <v>0</v>
      </c>
    </row>
    <row r="49" spans="1:25">
      <c r="A49" s="287"/>
      <c r="B49" s="389">
        <v>41</v>
      </c>
      <c r="C49" s="443" t="s">
        <v>614</v>
      </c>
      <c r="D49" s="287" t="s">
        <v>747</v>
      </c>
      <c r="E49" s="389" t="s">
        <v>720</v>
      </c>
      <c r="F49" s="390">
        <v>1E-3</v>
      </c>
      <c r="G49" s="524" t="s">
        <v>791</v>
      </c>
      <c r="H49" s="525">
        <v>1.3</v>
      </c>
      <c r="I49" s="524"/>
      <c r="J49" s="390" t="s">
        <v>787</v>
      </c>
      <c r="K49" s="530">
        <v>1</v>
      </c>
      <c r="L49" s="524" t="s">
        <v>788</v>
      </c>
      <c r="M49" s="390">
        <v>0</v>
      </c>
      <c r="N49" s="390">
        <f t="shared" si="0"/>
        <v>0</v>
      </c>
      <c r="O49" s="531">
        <v>0</v>
      </c>
      <c r="P49" s="284">
        <f>Y6*F49*H49*K49*M49*O49</f>
        <v>0</v>
      </c>
      <c r="Q49" s="284">
        <f>P49/(1+Y5)</f>
        <v>0</v>
      </c>
      <c r="R49" s="389">
        <v>0</v>
      </c>
      <c r="S49" s="284">
        <v>0</v>
      </c>
      <c r="T49" s="390">
        <f>(Y4*R49+S49)*F49</f>
        <v>0</v>
      </c>
      <c r="U49" s="524">
        <v>0</v>
      </c>
      <c r="V49" s="287">
        <v>0</v>
      </c>
      <c r="W49" s="524">
        <v>0</v>
      </c>
      <c r="X49" s="395">
        <v>0</v>
      </c>
      <c r="Y49" s="395">
        <f t="shared" si="1"/>
        <v>0</v>
      </c>
    </row>
    <row r="50" spans="1:25">
      <c r="A50" s="287"/>
      <c r="B50" s="389">
        <v>42</v>
      </c>
      <c r="C50" s="443" t="s">
        <v>648</v>
      </c>
      <c r="D50" s="287" t="s">
        <v>748</v>
      </c>
      <c r="E50" s="389" t="s">
        <v>356</v>
      </c>
      <c r="F50" s="390">
        <v>0</v>
      </c>
      <c r="G50" s="524" t="s">
        <v>786</v>
      </c>
      <c r="H50" s="525">
        <v>1</v>
      </c>
      <c r="I50" s="524"/>
      <c r="J50" s="390" t="s">
        <v>787</v>
      </c>
      <c r="K50" s="530">
        <v>1</v>
      </c>
      <c r="L50" s="524" t="s">
        <v>788</v>
      </c>
      <c r="M50" s="390">
        <v>0</v>
      </c>
      <c r="N50" s="390">
        <f t="shared" si="0"/>
        <v>0</v>
      </c>
      <c r="O50" s="531">
        <v>0</v>
      </c>
      <c r="P50" s="284">
        <f>Y6*F50*H50*K50*M50*O50</f>
        <v>0</v>
      </c>
      <c r="Q50" s="284">
        <f>P50/(1+Y5)</f>
        <v>0</v>
      </c>
      <c r="R50" s="389">
        <v>0</v>
      </c>
      <c r="S50" s="284">
        <v>0</v>
      </c>
      <c r="T50" s="390">
        <f>(Y4*R50+S50)*F50</f>
        <v>0</v>
      </c>
      <c r="U50" s="524">
        <v>0</v>
      </c>
      <c r="V50" s="287">
        <v>0</v>
      </c>
      <c r="W50" s="524">
        <v>0</v>
      </c>
      <c r="X50" s="395">
        <v>0</v>
      </c>
      <c r="Y50" s="395">
        <f t="shared" si="1"/>
        <v>0</v>
      </c>
    </row>
    <row r="51" spans="1:25">
      <c r="A51" s="287"/>
      <c r="B51" s="389">
        <v>43</v>
      </c>
      <c r="C51" s="443" t="s">
        <v>649</v>
      </c>
      <c r="D51" s="287" t="s">
        <v>749</v>
      </c>
      <c r="E51" s="389" t="s">
        <v>356</v>
      </c>
      <c r="F51" s="390">
        <v>0</v>
      </c>
      <c r="G51" s="524" t="s">
        <v>786</v>
      </c>
      <c r="H51" s="525">
        <v>1</v>
      </c>
      <c r="I51" s="524"/>
      <c r="J51" s="390" t="s">
        <v>787</v>
      </c>
      <c r="K51" s="530">
        <v>1</v>
      </c>
      <c r="L51" s="524" t="s">
        <v>788</v>
      </c>
      <c r="M51" s="390">
        <v>0</v>
      </c>
      <c r="N51" s="390">
        <f t="shared" si="0"/>
        <v>0</v>
      </c>
      <c r="O51" s="531">
        <v>0</v>
      </c>
      <c r="P51" s="284">
        <f>Y6*F51*H51*K51*M51*O51</f>
        <v>0</v>
      </c>
      <c r="Q51" s="284">
        <f>P51/(1+Y5)</f>
        <v>0</v>
      </c>
      <c r="R51" s="389">
        <v>0</v>
      </c>
      <c r="S51" s="284">
        <v>0</v>
      </c>
      <c r="T51" s="390">
        <f>(Y4*R51+S51)*F51</f>
        <v>0</v>
      </c>
      <c r="U51" s="524">
        <v>0</v>
      </c>
      <c r="V51" s="287">
        <v>0</v>
      </c>
      <c r="W51" s="524">
        <v>0</v>
      </c>
      <c r="X51" s="395">
        <v>0</v>
      </c>
      <c r="Y51" s="395">
        <f t="shared" si="1"/>
        <v>0</v>
      </c>
    </row>
    <row r="52" spans="1:25">
      <c r="A52" s="287"/>
      <c r="B52" s="389">
        <v>44</v>
      </c>
      <c r="C52" s="443" t="s">
        <v>650</v>
      </c>
      <c r="D52" s="287" t="s">
        <v>750</v>
      </c>
      <c r="E52" s="389" t="s">
        <v>356</v>
      </c>
      <c r="F52" s="390">
        <v>0</v>
      </c>
      <c r="G52" s="524" t="s">
        <v>786</v>
      </c>
      <c r="H52" s="525">
        <v>1</v>
      </c>
      <c r="I52" s="524"/>
      <c r="J52" s="390" t="s">
        <v>787</v>
      </c>
      <c r="K52" s="530">
        <v>1</v>
      </c>
      <c r="L52" s="524" t="s">
        <v>788</v>
      </c>
      <c r="M52" s="390">
        <v>0</v>
      </c>
      <c r="N52" s="390">
        <f t="shared" si="0"/>
        <v>0</v>
      </c>
      <c r="O52" s="531">
        <v>0</v>
      </c>
      <c r="P52" s="284">
        <f>Y6*F52*H52*K52*M52*O52</f>
        <v>0</v>
      </c>
      <c r="Q52" s="284">
        <f>P52/(1+Y5)</f>
        <v>0</v>
      </c>
      <c r="R52" s="389">
        <v>0</v>
      </c>
      <c r="S52" s="284">
        <v>0</v>
      </c>
      <c r="T52" s="390">
        <f>(Y4*R52+S52)*F52</f>
        <v>0</v>
      </c>
      <c r="U52" s="524">
        <v>0</v>
      </c>
      <c r="V52" s="287">
        <v>0</v>
      </c>
      <c r="W52" s="524">
        <v>0</v>
      </c>
      <c r="X52" s="395">
        <v>0</v>
      </c>
      <c r="Y52" s="395">
        <f t="shared" si="1"/>
        <v>0</v>
      </c>
    </row>
    <row r="53" spans="1:25">
      <c r="A53" s="288"/>
      <c r="B53" s="407">
        <v>45</v>
      </c>
      <c r="C53" s="444" t="s">
        <v>655</v>
      </c>
      <c r="D53" s="288" t="s">
        <v>751</v>
      </c>
      <c r="E53" s="407" t="s">
        <v>752</v>
      </c>
      <c r="F53" s="408">
        <v>2.3E-3</v>
      </c>
      <c r="G53" s="526" t="s">
        <v>786</v>
      </c>
      <c r="H53" s="527">
        <v>1</v>
      </c>
      <c r="I53" s="526"/>
      <c r="J53" s="408" t="s">
        <v>787</v>
      </c>
      <c r="K53" s="532">
        <v>1</v>
      </c>
      <c r="L53" s="526" t="s">
        <v>788</v>
      </c>
      <c r="M53" s="408">
        <v>0</v>
      </c>
      <c r="N53" s="408">
        <f t="shared" si="0"/>
        <v>0</v>
      </c>
      <c r="O53" s="533">
        <v>0</v>
      </c>
      <c r="P53" s="286">
        <f>Y6*F53*H53*K53*M53*O53</f>
        <v>0</v>
      </c>
      <c r="Q53" s="286">
        <f>P53/(1+Y5)</f>
        <v>0</v>
      </c>
      <c r="R53" s="407">
        <v>0</v>
      </c>
      <c r="S53" s="286">
        <v>0</v>
      </c>
      <c r="T53" s="408">
        <f>(Y4*R53+S53)*F53</f>
        <v>0</v>
      </c>
      <c r="U53" s="526">
        <v>0</v>
      </c>
      <c r="V53" s="288">
        <v>0</v>
      </c>
      <c r="W53" s="526">
        <v>0</v>
      </c>
      <c r="X53" s="434">
        <v>0</v>
      </c>
      <c r="Y53" s="434">
        <f t="shared" si="1"/>
        <v>0</v>
      </c>
    </row>
  </sheetData>
  <mergeCells count="20">
    <mergeCell ref="E7:E8"/>
    <mergeCell ref="F7:F8"/>
    <mergeCell ref="G7:G8"/>
    <mergeCell ref="H7:H8"/>
    <mergeCell ref="I7:I8"/>
    <mergeCell ref="U7:U8"/>
    <mergeCell ref="X7:X8"/>
    <mergeCell ref="Y7:Y8"/>
    <mergeCell ref="A1:V1"/>
    <mergeCell ref="A2:V2"/>
    <mergeCell ref="A3:V3"/>
    <mergeCell ref="J7:K7"/>
    <mergeCell ref="L7:N7"/>
    <mergeCell ref="O7:Q7"/>
    <mergeCell ref="R7:T7"/>
    <mergeCell ref="V7:W7"/>
    <mergeCell ref="A7:A8"/>
    <mergeCell ref="B7:B8"/>
    <mergeCell ref="C7:C8"/>
    <mergeCell ref="D7:D8"/>
  </mergeCells>
  <conditionalFormatting sqref="K9:K53">
    <cfRule type="cellIs" dxfId="9" priority="1" stopIfTrue="1" operator="equal">
      <formula>0</formula>
    </cfRule>
  </conditionalFormatting>
  <conditionalFormatting sqref="M9:M53">
    <cfRule type="cellIs" dxfId="8" priority="2" stopIfTrue="1" operator="equal">
      <formula>0</formula>
    </cfRule>
  </conditionalFormatting>
  <pageMargins left="0.75" right="0.75" top="0.79" bottom="0.79" header="0.3" footer="0.3"/>
  <pageSetup paperSize="9" scale="80" orientation="landscape" useFirstPageNumber="1"/>
  <headerFooter>
    <oddFooter>&amp;CTrang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Q199"/>
  <sheetViews>
    <sheetView showZeros="0" zoomScale="85" zoomScaleNormal="85" workbookViewId="0">
      <pane xSplit="1" ySplit="1" topLeftCell="C106" activePane="bottomRight" state="frozen"/>
      <selection pane="topRight"/>
      <selection pane="bottomLeft"/>
      <selection pane="bottomRight" activeCell="K117" sqref="K117"/>
    </sheetView>
  </sheetViews>
  <sheetFormatPr defaultColWidth="9" defaultRowHeight="14.4"/>
  <cols>
    <col min="1" max="1" width="4.77734375" customWidth="1"/>
    <col min="2" max="2" width="8.44140625" hidden="1" customWidth="1"/>
    <col min="3" max="3" width="15.44140625" customWidth="1"/>
    <col min="4" max="4" width="7" customWidth="1"/>
    <col min="5" max="5" width="8.77734375" hidden="1" customWidth="1"/>
    <col min="6" max="6" width="8" customWidth="1"/>
    <col min="7" max="7" width="11" customWidth="1"/>
    <col min="8" max="8" width="17" customWidth="1"/>
    <col min="9" max="9" width="8.77734375" hidden="1" customWidth="1"/>
    <col min="10" max="10" width="12" customWidth="1"/>
    <col min="11" max="12" width="7.44140625" customWidth="1"/>
    <col min="13" max="16" width="8.44140625" customWidth="1"/>
    <col min="17" max="18" width="7.44140625" customWidth="1"/>
    <col min="19" max="23" width="8.77734375" hidden="1" customWidth="1"/>
    <col min="24" max="27" width="8" customWidth="1"/>
    <col min="28" max="28" width="12.44140625" customWidth="1"/>
    <col min="29" max="30" width="10.44140625" customWidth="1"/>
    <col min="31" max="32" width="10" customWidth="1"/>
    <col min="33" max="34" width="7.44140625" hidden="1" customWidth="1"/>
    <col min="35" max="35" width="9.44140625" customWidth="1"/>
    <col min="36" max="36" width="7.44140625" customWidth="1"/>
    <col min="37" max="37" width="8" customWidth="1"/>
    <col min="38" max="38" width="11.44140625" customWidth="1"/>
    <col min="39" max="39" width="5.44140625" customWidth="1"/>
    <col min="40" max="40" width="10.21875" customWidth="1"/>
    <col min="41" max="43" width="9" customWidth="1"/>
  </cols>
  <sheetData>
    <row r="1" spans="1:43" ht="17.850000000000001" customHeight="1">
      <c r="A1" s="895" t="s">
        <v>761</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895"/>
      <c r="AP1" s="478"/>
      <c r="AQ1" s="478"/>
    </row>
    <row r="2" spans="1:43" ht="35.700000000000003" customHeight="1">
      <c r="A2" s="950" t="str">
        <f>'5.Tiên lượng'!B2</f>
        <v>CÔNG TRÌNH: NÂNG CẤP, CẢI TẠO TUYẾN ĐƯỜNG HUYỆN ĐH.93
ĐOẠN TỪ ĐƯỜNG ĐH.91 ĐẾN UBND XÃ THIỆN TÂN</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478"/>
      <c r="AQ2" s="478"/>
    </row>
    <row r="3" spans="1:43" ht="17.850000000000001" customHeight="1">
      <c r="A3" s="951"/>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2" t="s">
        <v>793</v>
      </c>
      <c r="AG3" s="952"/>
      <c r="AH3" s="952"/>
      <c r="AI3" s="952"/>
      <c r="AJ3" s="952"/>
      <c r="AK3" s="507"/>
      <c r="AL3" s="1"/>
      <c r="AM3" s="1"/>
      <c r="AN3" s="1"/>
      <c r="AO3" s="1"/>
      <c r="AP3" s="478"/>
      <c r="AQ3" s="478"/>
    </row>
    <row r="4" spans="1:43" ht="25.35" customHeight="1">
      <c r="A4" s="948" t="s">
        <v>5</v>
      </c>
      <c r="B4" s="942" t="s">
        <v>794</v>
      </c>
      <c r="C4" s="948" t="s">
        <v>686</v>
      </c>
      <c r="D4" s="948" t="s">
        <v>594</v>
      </c>
      <c r="E4" s="948" t="s">
        <v>795</v>
      </c>
      <c r="F4" s="946" t="s">
        <v>796</v>
      </c>
      <c r="G4" s="948" t="s">
        <v>770</v>
      </c>
      <c r="H4" s="942" t="s">
        <v>797</v>
      </c>
      <c r="I4" s="942" t="s">
        <v>769</v>
      </c>
      <c r="J4" s="948" t="s">
        <v>798</v>
      </c>
      <c r="K4" s="948" t="s">
        <v>799</v>
      </c>
      <c r="L4" s="499"/>
      <c r="M4" s="953" t="s">
        <v>800</v>
      </c>
      <c r="N4" s="954"/>
      <c r="O4" s="954"/>
      <c r="P4" s="954"/>
      <c r="Q4" s="954"/>
      <c r="R4" s="954"/>
      <c r="S4" s="500"/>
      <c r="T4" s="948" t="s">
        <v>801</v>
      </c>
      <c r="U4" s="948" t="s">
        <v>802</v>
      </c>
      <c r="V4" s="942" t="s">
        <v>803</v>
      </c>
      <c r="W4" s="942" t="s">
        <v>804</v>
      </c>
      <c r="X4" s="953" t="s">
        <v>805</v>
      </c>
      <c r="Y4" s="954"/>
      <c r="Z4" s="954"/>
      <c r="AA4" s="955"/>
      <c r="AB4" s="946" t="s">
        <v>806</v>
      </c>
      <c r="AC4" s="953" t="s">
        <v>807</v>
      </c>
      <c r="AD4" s="954"/>
      <c r="AE4" s="954"/>
      <c r="AF4" s="955"/>
      <c r="AG4" s="953" t="s">
        <v>808</v>
      </c>
      <c r="AH4" s="954"/>
      <c r="AI4" s="954"/>
      <c r="AJ4" s="955"/>
      <c r="AK4" s="942" t="s">
        <v>809</v>
      </c>
      <c r="AL4" s="944" t="s">
        <v>261</v>
      </c>
      <c r="AM4" s="942" t="s">
        <v>810</v>
      </c>
      <c r="AN4" s="944" t="s">
        <v>811</v>
      </c>
      <c r="AO4" s="944" t="s">
        <v>812</v>
      </c>
      <c r="AP4" s="510"/>
      <c r="AQ4" s="510"/>
    </row>
    <row r="5" spans="1:43" ht="79.5" customHeight="1">
      <c r="A5" s="949"/>
      <c r="B5" s="943"/>
      <c r="C5" s="949"/>
      <c r="D5" s="949"/>
      <c r="E5" s="949"/>
      <c r="F5" s="947"/>
      <c r="G5" s="949"/>
      <c r="H5" s="943"/>
      <c r="I5" s="943"/>
      <c r="J5" s="949"/>
      <c r="K5" s="949"/>
      <c r="L5" s="491" t="s">
        <v>813</v>
      </c>
      <c r="M5" s="491" t="s">
        <v>814</v>
      </c>
      <c r="N5" s="491" t="s">
        <v>815</v>
      </c>
      <c r="O5" s="491" t="s">
        <v>816</v>
      </c>
      <c r="P5" s="491" t="s">
        <v>817</v>
      </c>
      <c r="Q5" s="491" t="s">
        <v>818</v>
      </c>
      <c r="R5" s="491" t="s">
        <v>819</v>
      </c>
      <c r="S5" s="491" t="s">
        <v>820</v>
      </c>
      <c r="T5" s="949"/>
      <c r="U5" s="949"/>
      <c r="V5" s="943"/>
      <c r="W5" s="943"/>
      <c r="X5" s="492" t="s">
        <v>821</v>
      </c>
      <c r="Y5" s="492" t="s">
        <v>822</v>
      </c>
      <c r="Z5" s="492" t="s">
        <v>823</v>
      </c>
      <c r="AA5" s="492" t="s">
        <v>824</v>
      </c>
      <c r="AB5" s="947"/>
      <c r="AC5" s="492" t="s">
        <v>814</v>
      </c>
      <c r="AD5" s="492" t="s">
        <v>815</v>
      </c>
      <c r="AE5" s="492" t="s">
        <v>816</v>
      </c>
      <c r="AF5" s="492" t="s">
        <v>817</v>
      </c>
      <c r="AG5" s="492" t="s">
        <v>825</v>
      </c>
      <c r="AH5" s="492" t="s">
        <v>826</v>
      </c>
      <c r="AI5" s="492" t="s">
        <v>827</v>
      </c>
      <c r="AJ5" s="492" t="s">
        <v>828</v>
      </c>
      <c r="AK5" s="943"/>
      <c r="AL5" s="945"/>
      <c r="AM5" s="943"/>
      <c r="AN5" s="945"/>
      <c r="AO5" s="945"/>
      <c r="AP5" s="510"/>
      <c r="AQ5" s="510"/>
    </row>
    <row r="6" spans="1:43" ht="27.6">
      <c r="A6" s="493">
        <v>1</v>
      </c>
      <c r="B6" s="671" t="s">
        <v>667</v>
      </c>
      <c r="C6" s="494" t="s">
        <v>699</v>
      </c>
      <c r="D6" s="493" t="s">
        <v>700</v>
      </c>
      <c r="E6" s="495">
        <v>0</v>
      </c>
      <c r="F6" s="496">
        <v>88</v>
      </c>
      <c r="G6" s="494" t="s">
        <v>829</v>
      </c>
      <c r="H6" s="494" t="s">
        <v>830</v>
      </c>
      <c r="I6" s="493"/>
      <c r="J6" s="494" t="s">
        <v>831</v>
      </c>
      <c r="K6" s="493">
        <f>L9+L8+L7+L6</f>
        <v>43</v>
      </c>
      <c r="L6" s="493">
        <v>21</v>
      </c>
      <c r="M6" s="493">
        <f>MIN(L6,1)</f>
        <v>1</v>
      </c>
      <c r="N6" s="493">
        <f>IF(L6&lt;10,L6-M6,9)</f>
        <v>9</v>
      </c>
      <c r="O6" s="493">
        <f>IF(L6&lt;60,L6-M6-N6,50)</f>
        <v>11</v>
      </c>
      <c r="P6" s="493">
        <f t="shared" ref="P6:P121" si="0">L6-M6-N6-O6</f>
        <v>0</v>
      </c>
      <c r="Q6" s="495" t="s">
        <v>832</v>
      </c>
      <c r="R6" s="493">
        <v>0.68</v>
      </c>
      <c r="S6" s="495"/>
      <c r="T6" s="493"/>
      <c r="U6" s="493"/>
      <c r="V6" s="493"/>
      <c r="W6" s="493"/>
      <c r="X6" s="501">
        <v>1.7999999999999999E-2</v>
      </c>
      <c r="Y6" s="503">
        <v>1.4999999999999999E-2</v>
      </c>
      <c r="Z6" s="503">
        <v>1.2E-2</v>
      </c>
      <c r="AA6" s="504">
        <v>1.14E-2</v>
      </c>
      <c r="AB6" s="496">
        <v>1607649.12076923</v>
      </c>
      <c r="AC6" s="496">
        <f>R6*X6*AB6</f>
        <v>19677.625238215373</v>
      </c>
      <c r="AD6" s="496">
        <f>R6*Y6*AB6</f>
        <v>16398.021031846147</v>
      </c>
      <c r="AE6" s="496">
        <f>R6*Z6*AB6</f>
        <v>13118.416825476917</v>
      </c>
      <c r="AF6" s="496">
        <f>R6*AA6*AB6</f>
        <v>12462.495984203073</v>
      </c>
      <c r="AG6" s="493">
        <v>0</v>
      </c>
      <c r="AH6" s="496">
        <f>ROUND(AG6*AJ3,0)</f>
        <v>0</v>
      </c>
      <c r="AI6" s="493">
        <v>0</v>
      </c>
      <c r="AJ6" s="496">
        <f>ROUND(AI6*AJ3,0)</f>
        <v>0</v>
      </c>
      <c r="AK6" s="508">
        <v>0</v>
      </c>
      <c r="AL6" s="496">
        <f>(M6*AC6)+(N6*AD6)+(O6*AE6)+(P6*AF6)+AK6+AL7+AL8+AL9</f>
        <v>956872.75668184576</v>
      </c>
      <c r="AM6" s="457">
        <v>1</v>
      </c>
      <c r="AN6" s="509">
        <f>AL6*AM6</f>
        <v>956872.75668184576</v>
      </c>
      <c r="AO6" s="509">
        <f>(AN6/F6)+AH6+AJ6</f>
        <v>10873.554053202794</v>
      </c>
      <c r="AP6" s="72"/>
      <c r="AQ6" s="72"/>
    </row>
    <row r="7" spans="1:43" ht="27.6">
      <c r="A7" s="461"/>
      <c r="B7" s="461"/>
      <c r="C7" s="462"/>
      <c r="D7" s="461"/>
      <c r="E7" s="462">
        <v>0</v>
      </c>
      <c r="F7" s="496">
        <f>F6</f>
        <v>88</v>
      </c>
      <c r="G7" s="462"/>
      <c r="H7" s="494" t="s">
        <v>830</v>
      </c>
      <c r="I7" s="461"/>
      <c r="J7" s="494" t="s">
        <v>831</v>
      </c>
      <c r="K7" s="461"/>
      <c r="L7" s="461">
        <v>9</v>
      </c>
      <c r="M7" s="461">
        <f>IF(SUM(L6:L7)&lt;=1,L7,1-SUM(M6:M6))</f>
        <v>0</v>
      </c>
      <c r="N7" s="461">
        <f>IF(SUM(L6:L7)&lt;=10,L7-M7,9-SUM(N6:N6))</f>
        <v>0</v>
      </c>
      <c r="O7" s="461">
        <f>IF(SUM(L6:L7)&lt;=60,L7-M7-N7,50-SUM(O6:O6))</f>
        <v>9</v>
      </c>
      <c r="P7" s="461">
        <f t="shared" si="0"/>
        <v>0</v>
      </c>
      <c r="Q7" s="462" t="s">
        <v>833</v>
      </c>
      <c r="R7" s="461">
        <v>1.35</v>
      </c>
      <c r="S7" s="462"/>
      <c r="T7" s="461"/>
      <c r="U7" s="461"/>
      <c r="V7" s="461"/>
      <c r="W7" s="461"/>
      <c r="X7" s="502"/>
      <c r="Y7" s="505"/>
      <c r="Z7" s="505"/>
      <c r="AA7" s="506"/>
      <c r="AB7" s="497">
        <v>1607649.12076923</v>
      </c>
      <c r="AC7" s="497">
        <f>R7*X6*AB7</f>
        <v>39065.873634692289</v>
      </c>
      <c r="AD7" s="497">
        <f>R7*Y6*AB7</f>
        <v>32554.894695576906</v>
      </c>
      <c r="AE7" s="497">
        <f>R7*Z6*AB7</f>
        <v>26043.915756461531</v>
      </c>
      <c r="AF7" s="497">
        <f>R7*AA6*AB7</f>
        <v>24741.719968638452</v>
      </c>
      <c r="AG7" s="461"/>
      <c r="AH7" s="497"/>
      <c r="AI7" s="461"/>
      <c r="AJ7" s="497"/>
      <c r="AK7" s="476">
        <v>0</v>
      </c>
      <c r="AL7" s="497">
        <f t="shared" ref="AL7:AL9" si="1">(M7*AC7)+(N7*AD7)+(O7*AE7)+(P7*AF7)+AK7</f>
        <v>234395.24180815378</v>
      </c>
      <c r="AM7" s="462">
        <v>0</v>
      </c>
      <c r="AN7" s="497"/>
      <c r="AO7" s="497"/>
      <c r="AP7" s="72"/>
      <c r="AQ7" s="72"/>
    </row>
    <row r="8" spans="1:43" ht="27.6">
      <c r="A8" s="461"/>
      <c r="B8" s="461"/>
      <c r="C8" s="462"/>
      <c r="D8" s="461"/>
      <c r="E8" s="462">
        <v>0</v>
      </c>
      <c r="F8" s="496">
        <f>F7</f>
        <v>88</v>
      </c>
      <c r="G8" s="462"/>
      <c r="H8" s="494" t="s">
        <v>830</v>
      </c>
      <c r="I8" s="461"/>
      <c r="J8" s="494" t="s">
        <v>831</v>
      </c>
      <c r="K8" s="461"/>
      <c r="L8" s="461">
        <v>7</v>
      </c>
      <c r="M8" s="461">
        <f>IF(SUM(L6:L8)&lt;=1,L8,1-SUM(M6:M7))</f>
        <v>0</v>
      </c>
      <c r="N8" s="461">
        <f>IF(SUM(L6:L8)&lt;=10,L8-M8,9-SUM(N6:N7))</f>
        <v>0</v>
      </c>
      <c r="O8" s="461">
        <f>IF(SUM(L6:L8)&lt;=60,L8-M8-N8,50-SUM(O6:O7))</f>
        <v>7</v>
      </c>
      <c r="P8" s="461">
        <f t="shared" si="0"/>
        <v>0</v>
      </c>
      <c r="Q8" s="462" t="s">
        <v>834</v>
      </c>
      <c r="R8" s="461">
        <v>1.5</v>
      </c>
      <c r="S8" s="462"/>
      <c r="T8" s="461"/>
      <c r="U8" s="461"/>
      <c r="V8" s="461"/>
      <c r="W8" s="461"/>
      <c r="X8" s="502"/>
      <c r="Y8" s="505"/>
      <c r="Z8" s="505"/>
      <c r="AA8" s="506"/>
      <c r="AB8" s="497">
        <v>1607649.12076923</v>
      </c>
      <c r="AC8" s="497">
        <f>R8*X6*AB8</f>
        <v>43406.526260769206</v>
      </c>
      <c r="AD8" s="497">
        <f>R8*Y6*AB8</f>
        <v>36172.105217307675</v>
      </c>
      <c r="AE8" s="497">
        <f>R8*Z6*AB8</f>
        <v>28937.684173846141</v>
      </c>
      <c r="AF8" s="497">
        <f>R8*AA6*AB8</f>
        <v>27490.799965153834</v>
      </c>
      <c r="AG8" s="461"/>
      <c r="AH8" s="497"/>
      <c r="AI8" s="461"/>
      <c r="AJ8" s="497"/>
      <c r="AK8" s="476">
        <v>0</v>
      </c>
      <c r="AL8" s="497">
        <f t="shared" si="1"/>
        <v>202563.78921692297</v>
      </c>
      <c r="AM8" s="462">
        <v>0</v>
      </c>
      <c r="AN8" s="497"/>
      <c r="AO8" s="497"/>
      <c r="AP8" s="72"/>
      <c r="AQ8" s="72"/>
    </row>
    <row r="9" spans="1:43" ht="27.6">
      <c r="A9" s="461"/>
      <c r="B9" s="461"/>
      <c r="C9" s="462"/>
      <c r="D9" s="461"/>
      <c r="E9" s="462">
        <v>0</v>
      </c>
      <c r="F9" s="496">
        <f>F8</f>
        <v>88</v>
      </c>
      <c r="G9" s="462"/>
      <c r="H9" s="494" t="s">
        <v>830</v>
      </c>
      <c r="I9" s="461"/>
      <c r="J9" s="494" t="s">
        <v>831</v>
      </c>
      <c r="K9" s="461"/>
      <c r="L9" s="461">
        <v>6</v>
      </c>
      <c r="M9" s="461">
        <f>IF(SUM(L6:L9)&lt;=1,L9,1-SUM(M6:M8))</f>
        <v>0</v>
      </c>
      <c r="N9" s="461">
        <f>IF(SUM(L6:L9)&lt;=10,L9-M9,9-SUM(N6:N8))</f>
        <v>0</v>
      </c>
      <c r="O9" s="461">
        <f>IF(SUM(L6:L9)&lt;=60,L9-M9-N9,50-SUM(O6:O8))</f>
        <v>6</v>
      </c>
      <c r="P9" s="461">
        <f t="shared" si="0"/>
        <v>0</v>
      </c>
      <c r="Q9" s="462" t="s">
        <v>835</v>
      </c>
      <c r="R9" s="461">
        <v>1.8</v>
      </c>
      <c r="S9" s="462"/>
      <c r="T9" s="461"/>
      <c r="U9" s="461"/>
      <c r="V9" s="461"/>
      <c r="W9" s="461"/>
      <c r="X9" s="502"/>
      <c r="Y9" s="505"/>
      <c r="Z9" s="505"/>
      <c r="AA9" s="506"/>
      <c r="AB9" s="497">
        <v>1607649.12076923</v>
      </c>
      <c r="AC9" s="497">
        <f>R9*X6*AB9</f>
        <v>52087.831512923047</v>
      </c>
      <c r="AD9" s="497">
        <f>R9*Y6*AB9</f>
        <v>43406.526260769206</v>
      </c>
      <c r="AE9" s="497">
        <f>R9*Z6*AB9</f>
        <v>34725.221008615372</v>
      </c>
      <c r="AF9" s="497">
        <f>R9*AA6*AB9</f>
        <v>32988.959958184598</v>
      </c>
      <c r="AG9" s="461"/>
      <c r="AH9" s="497"/>
      <c r="AI9" s="461"/>
      <c r="AJ9" s="497"/>
      <c r="AK9" s="476">
        <v>0</v>
      </c>
      <c r="AL9" s="497">
        <f t="shared" si="1"/>
        <v>208351.32605169225</v>
      </c>
      <c r="AM9" s="462">
        <v>0</v>
      </c>
      <c r="AN9" s="497"/>
      <c r="AO9" s="497"/>
      <c r="AP9" s="72"/>
      <c r="AQ9" s="72"/>
    </row>
    <row r="10" spans="1:43" ht="27.6">
      <c r="A10" s="461">
        <v>2</v>
      </c>
      <c r="B10" s="672" t="s">
        <v>669</v>
      </c>
      <c r="C10" s="494" t="s">
        <v>701</v>
      </c>
      <c r="D10" s="461" t="s">
        <v>700</v>
      </c>
      <c r="E10" s="462">
        <v>0</v>
      </c>
      <c r="F10" s="496">
        <v>44</v>
      </c>
      <c r="G10" s="494" t="s">
        <v>829</v>
      </c>
      <c r="H10" s="494" t="s">
        <v>830</v>
      </c>
      <c r="I10" s="461"/>
      <c r="J10" s="494" t="s">
        <v>831</v>
      </c>
      <c r="K10" s="461">
        <f>L13+L12+L11+L10</f>
        <v>43</v>
      </c>
      <c r="L10" s="461">
        <v>21</v>
      </c>
      <c r="M10" s="461">
        <f>MIN(L10,1)</f>
        <v>1</v>
      </c>
      <c r="N10" s="461">
        <f>IF(L10&lt;10,L10-M10,9)</f>
        <v>9</v>
      </c>
      <c r="O10" s="461">
        <f>IF(L10&lt;60,L10-M10-N10,50)</f>
        <v>11</v>
      </c>
      <c r="P10" s="461">
        <f t="shared" si="0"/>
        <v>0</v>
      </c>
      <c r="Q10" s="495" t="s">
        <v>832</v>
      </c>
      <c r="R10" s="493">
        <v>0.68</v>
      </c>
      <c r="S10" s="462"/>
      <c r="T10" s="461"/>
      <c r="U10" s="461"/>
      <c r="V10" s="461"/>
      <c r="W10" s="461"/>
      <c r="X10" s="502">
        <v>1.7999999999999999E-2</v>
      </c>
      <c r="Y10" s="505">
        <v>1.4999999999999999E-2</v>
      </c>
      <c r="Z10" s="505">
        <v>1.2E-2</v>
      </c>
      <c r="AA10" s="506">
        <v>1.14E-2</v>
      </c>
      <c r="AB10" s="497">
        <v>1607649.12076923</v>
      </c>
      <c r="AC10" s="497">
        <f>R10*X10*AB10</f>
        <v>19677.625238215373</v>
      </c>
      <c r="AD10" s="497">
        <f>R10*Y10*AB10</f>
        <v>16398.021031846147</v>
      </c>
      <c r="AE10" s="497">
        <f>R10*Z10*AB10</f>
        <v>13118.416825476917</v>
      </c>
      <c r="AF10" s="497">
        <f>R10*AA10*AB10</f>
        <v>12462.495984203073</v>
      </c>
      <c r="AG10" s="461">
        <v>0</v>
      </c>
      <c r="AH10" s="497">
        <f>ROUND(AG10*AJ3,0)</f>
        <v>0</v>
      </c>
      <c r="AI10" s="461">
        <v>0</v>
      </c>
      <c r="AJ10" s="497">
        <f>ROUND(AI10*AJ3,0)</f>
        <v>0</v>
      </c>
      <c r="AK10" s="476">
        <v>0</v>
      </c>
      <c r="AL10" s="497">
        <f>(M10*AC10)+(N10*AD10)+(O10*AE10)+(P10*AF10)+AK10+AL11+AL12+AL13</f>
        <v>956872.75668184576</v>
      </c>
      <c r="AM10" s="462">
        <v>1</v>
      </c>
      <c r="AN10" s="497">
        <f>AL10*AM10</f>
        <v>956872.75668184576</v>
      </c>
      <c r="AO10" s="497">
        <f>(AN10/F10)+AH10+AJ10</f>
        <v>21747.108106405587</v>
      </c>
      <c r="AP10" s="72"/>
      <c r="AQ10" s="72"/>
    </row>
    <row r="11" spans="1:43" ht="27.6">
      <c r="A11" s="461"/>
      <c r="B11" s="461"/>
      <c r="C11" s="494"/>
      <c r="D11" s="461"/>
      <c r="E11" s="462">
        <v>0</v>
      </c>
      <c r="F11" s="496">
        <v>44</v>
      </c>
      <c r="G11" s="462"/>
      <c r="H11" s="494" t="s">
        <v>830</v>
      </c>
      <c r="I11" s="461"/>
      <c r="J11" s="494" t="s">
        <v>831</v>
      </c>
      <c r="K11" s="461"/>
      <c r="L11" s="461">
        <v>9</v>
      </c>
      <c r="M11" s="461">
        <f>IF(SUM(L10:L11)&lt;=1,L11,1-SUM(M10:M10))</f>
        <v>0</v>
      </c>
      <c r="N11" s="461">
        <f>IF(SUM(L10:L11)&lt;=10,L11-M11,9-SUM(N10:N10))</f>
        <v>0</v>
      </c>
      <c r="O11" s="461">
        <f>IF(SUM(L10:L11)&lt;=60,L11-M11-N11,50-SUM(O10:O10))</f>
        <v>9</v>
      </c>
      <c r="P11" s="461">
        <f t="shared" si="0"/>
        <v>0</v>
      </c>
      <c r="Q11" s="462" t="s">
        <v>833</v>
      </c>
      <c r="R11" s="461">
        <v>1.35</v>
      </c>
      <c r="S11" s="462"/>
      <c r="T11" s="461"/>
      <c r="U11" s="461"/>
      <c r="V11" s="461"/>
      <c r="W11" s="461"/>
      <c r="X11" s="502"/>
      <c r="Y11" s="505"/>
      <c r="Z11" s="505"/>
      <c r="AA11" s="506"/>
      <c r="AB11" s="497">
        <v>1607649.12076923</v>
      </c>
      <c r="AC11" s="497">
        <f>R11*X10*AB11</f>
        <v>39065.873634692289</v>
      </c>
      <c r="AD11" s="497">
        <f>R11*Y10*AB11</f>
        <v>32554.894695576906</v>
      </c>
      <c r="AE11" s="497">
        <f>R11*Z10*AB11</f>
        <v>26043.915756461531</v>
      </c>
      <c r="AF11" s="497">
        <f>R11*AA10*AB11</f>
        <v>24741.719968638452</v>
      </c>
      <c r="AG11" s="461"/>
      <c r="AH11" s="497"/>
      <c r="AI11" s="461"/>
      <c r="AJ11" s="497"/>
      <c r="AK11" s="476">
        <v>0</v>
      </c>
      <c r="AL11" s="497">
        <f t="shared" ref="AL11:AL13" si="2">(M11*AC11)+(N11*AD11)+(O11*AE11)+(P11*AF11)+AK11</f>
        <v>234395.24180815378</v>
      </c>
      <c r="AM11" s="462">
        <v>0</v>
      </c>
      <c r="AN11" s="497"/>
      <c r="AO11" s="497"/>
      <c r="AP11" s="72"/>
      <c r="AQ11" s="72"/>
    </row>
    <row r="12" spans="1:43" ht="27.6">
      <c r="A12" s="461"/>
      <c r="B12" s="461"/>
      <c r="C12" s="494"/>
      <c r="D12" s="461"/>
      <c r="E12" s="462">
        <v>0</v>
      </c>
      <c r="F12" s="496">
        <v>44</v>
      </c>
      <c r="G12" s="462"/>
      <c r="H12" s="494" t="s">
        <v>830</v>
      </c>
      <c r="I12" s="461"/>
      <c r="J12" s="494" t="s">
        <v>831</v>
      </c>
      <c r="K12" s="461"/>
      <c r="L12" s="461">
        <v>7</v>
      </c>
      <c r="M12" s="461">
        <f>IF(SUM(L10:L12)&lt;=1,L12,1-SUM(M10:M11))</f>
        <v>0</v>
      </c>
      <c r="N12" s="461">
        <f>IF(SUM(L10:L12)&lt;=10,L12-M12,9-SUM(N10:N11))</f>
        <v>0</v>
      </c>
      <c r="O12" s="461">
        <f>IF(SUM(L10:L12)&lt;=60,L12-M12-N12,50-SUM(O10:O11))</f>
        <v>7</v>
      </c>
      <c r="P12" s="461">
        <f t="shared" si="0"/>
        <v>0</v>
      </c>
      <c r="Q12" s="462" t="s">
        <v>834</v>
      </c>
      <c r="R12" s="461">
        <v>1.5</v>
      </c>
      <c r="S12" s="462"/>
      <c r="T12" s="461"/>
      <c r="U12" s="461"/>
      <c r="V12" s="461"/>
      <c r="W12" s="461"/>
      <c r="X12" s="502"/>
      <c r="Y12" s="505"/>
      <c r="Z12" s="505"/>
      <c r="AA12" s="506"/>
      <c r="AB12" s="497">
        <v>1607649.12076923</v>
      </c>
      <c r="AC12" s="497">
        <f>R12*X10*AB12</f>
        <v>43406.526260769206</v>
      </c>
      <c r="AD12" s="497">
        <f>R12*Y10*AB12</f>
        <v>36172.105217307675</v>
      </c>
      <c r="AE12" s="497">
        <f>R12*Z10*AB12</f>
        <v>28937.684173846141</v>
      </c>
      <c r="AF12" s="497">
        <f>R12*AA10*AB12</f>
        <v>27490.799965153834</v>
      </c>
      <c r="AG12" s="461"/>
      <c r="AH12" s="497"/>
      <c r="AI12" s="461"/>
      <c r="AJ12" s="497"/>
      <c r="AK12" s="476">
        <v>0</v>
      </c>
      <c r="AL12" s="497">
        <f t="shared" si="2"/>
        <v>202563.78921692297</v>
      </c>
      <c r="AM12" s="462">
        <v>0</v>
      </c>
      <c r="AN12" s="497"/>
      <c r="AO12" s="497"/>
      <c r="AP12" s="72"/>
      <c r="AQ12" s="72"/>
    </row>
    <row r="13" spans="1:43" ht="27.6">
      <c r="A13" s="461"/>
      <c r="B13" s="461"/>
      <c r="C13" s="494"/>
      <c r="D13" s="461"/>
      <c r="E13" s="462">
        <v>0</v>
      </c>
      <c r="F13" s="496">
        <v>44</v>
      </c>
      <c r="G13" s="462"/>
      <c r="H13" s="494" t="s">
        <v>830</v>
      </c>
      <c r="I13" s="461"/>
      <c r="J13" s="494" t="s">
        <v>831</v>
      </c>
      <c r="K13" s="461"/>
      <c r="L13" s="461">
        <v>6</v>
      </c>
      <c r="M13" s="461">
        <f>IF(SUM(L10:L13)&lt;=1,L13,1-SUM(M10:M12))</f>
        <v>0</v>
      </c>
      <c r="N13" s="461">
        <f>IF(SUM(L10:L13)&lt;=10,L13-M13,9-SUM(N10:N12))</f>
        <v>0</v>
      </c>
      <c r="O13" s="461">
        <f>IF(SUM(L10:L13)&lt;=60,L13-M13-N13,50-SUM(O10:O12))</f>
        <v>6</v>
      </c>
      <c r="P13" s="461">
        <f t="shared" si="0"/>
        <v>0</v>
      </c>
      <c r="Q13" s="462" t="s">
        <v>835</v>
      </c>
      <c r="R13" s="461">
        <v>1.8</v>
      </c>
      <c r="S13" s="462"/>
      <c r="T13" s="461"/>
      <c r="U13" s="461"/>
      <c r="V13" s="461"/>
      <c r="W13" s="461"/>
      <c r="X13" s="502"/>
      <c r="Y13" s="505"/>
      <c r="Z13" s="505"/>
      <c r="AA13" s="506"/>
      <c r="AB13" s="497">
        <v>1607649.12076923</v>
      </c>
      <c r="AC13" s="497">
        <f>R13*X10*AB13</f>
        <v>52087.831512923047</v>
      </c>
      <c r="AD13" s="497">
        <f>R13*Y10*AB13</f>
        <v>43406.526260769206</v>
      </c>
      <c r="AE13" s="497">
        <f>R13*Z10*AB13</f>
        <v>34725.221008615372</v>
      </c>
      <c r="AF13" s="497">
        <f>R13*AA10*AB13</f>
        <v>32988.959958184598</v>
      </c>
      <c r="AG13" s="461"/>
      <c r="AH13" s="497"/>
      <c r="AI13" s="461"/>
      <c r="AJ13" s="497"/>
      <c r="AK13" s="476">
        <v>0</v>
      </c>
      <c r="AL13" s="497">
        <f t="shared" si="2"/>
        <v>208351.32605169225</v>
      </c>
      <c r="AM13" s="462">
        <v>0</v>
      </c>
      <c r="AN13" s="497"/>
      <c r="AO13" s="497"/>
      <c r="AP13" s="72"/>
      <c r="AQ13" s="72"/>
    </row>
    <row r="14" spans="1:43" ht="27.6">
      <c r="A14" s="461">
        <v>3</v>
      </c>
      <c r="B14" s="672" t="s">
        <v>679</v>
      </c>
      <c r="C14" s="494" t="s">
        <v>702</v>
      </c>
      <c r="D14" s="461" t="s">
        <v>700</v>
      </c>
      <c r="E14" s="462">
        <v>0</v>
      </c>
      <c r="F14" s="497">
        <v>11</v>
      </c>
      <c r="G14" s="494" t="s">
        <v>829</v>
      </c>
      <c r="H14" s="494" t="s">
        <v>830</v>
      </c>
      <c r="I14" s="461"/>
      <c r="J14" s="494" t="s">
        <v>831</v>
      </c>
      <c r="K14" s="461">
        <f>L17+L16+L15+L14</f>
        <v>43</v>
      </c>
      <c r="L14" s="461">
        <v>21</v>
      </c>
      <c r="M14" s="461">
        <f>MIN(L14,1)</f>
        <v>1</v>
      </c>
      <c r="N14" s="461">
        <f>IF(L14&lt;10,L14-M14,9)</f>
        <v>9</v>
      </c>
      <c r="O14" s="461">
        <f>IF(L14&lt;60,L14-M14-N14,50)</f>
        <v>11</v>
      </c>
      <c r="P14" s="461">
        <f t="shared" si="0"/>
        <v>0</v>
      </c>
      <c r="Q14" s="462" t="s">
        <v>836</v>
      </c>
      <c r="R14" s="493">
        <v>0.68</v>
      </c>
      <c r="S14" s="462"/>
      <c r="T14" s="461"/>
      <c r="U14" s="461"/>
      <c r="V14" s="461"/>
      <c r="W14" s="461"/>
      <c r="X14" s="502">
        <v>1.7999999999999999E-2</v>
      </c>
      <c r="Y14" s="505">
        <v>1.4999999999999999E-2</v>
      </c>
      <c r="Z14" s="505">
        <v>1.2E-2</v>
      </c>
      <c r="AA14" s="506">
        <v>1.14E-2</v>
      </c>
      <c r="AB14" s="497">
        <v>1607649.12076923</v>
      </c>
      <c r="AC14" s="497">
        <f>R14*X14*AB14</f>
        <v>19677.625238215373</v>
      </c>
      <c r="AD14" s="497">
        <f>R14*Y14*AB14</f>
        <v>16398.021031846147</v>
      </c>
      <c r="AE14" s="497">
        <f>R14*Z14*AB14</f>
        <v>13118.416825476917</v>
      </c>
      <c r="AF14" s="497">
        <f>R14*AA14*AB14</f>
        <v>12462.495984203073</v>
      </c>
      <c r="AG14" s="461">
        <v>0</v>
      </c>
      <c r="AH14" s="497">
        <f>ROUND(AG14*AJ3,0)</f>
        <v>0</v>
      </c>
      <c r="AI14" s="461">
        <v>0</v>
      </c>
      <c r="AJ14" s="497">
        <f>ROUND(AI14*AJ3,0)</f>
        <v>0</v>
      </c>
      <c r="AK14" s="476">
        <v>0</v>
      </c>
      <c r="AL14" s="497">
        <f>(M14*AC14)+(N14*AD14)+(O14*AE14)+(P14*AF14)+AK14+AL15+AL16+AL17</f>
        <v>956872.75668184576</v>
      </c>
      <c r="AM14" s="462">
        <v>1</v>
      </c>
      <c r="AN14" s="497">
        <f>AL14*AM14</f>
        <v>956872.75668184576</v>
      </c>
      <c r="AO14" s="497">
        <f>(AN14/F14)+AH14+AJ14</f>
        <v>86988.432425622348</v>
      </c>
      <c r="AP14" s="72"/>
      <c r="AQ14" s="72"/>
    </row>
    <row r="15" spans="1:43" ht="27.6">
      <c r="A15" s="461"/>
      <c r="B15" s="461"/>
      <c r="C15" s="494"/>
      <c r="D15" s="461"/>
      <c r="E15" s="462">
        <v>0</v>
      </c>
      <c r="F15" s="497">
        <v>11</v>
      </c>
      <c r="G15" s="462"/>
      <c r="H15" s="494" t="s">
        <v>830</v>
      </c>
      <c r="I15" s="461"/>
      <c r="J15" s="494" t="s">
        <v>831</v>
      </c>
      <c r="K15" s="461"/>
      <c r="L15" s="461">
        <v>9</v>
      </c>
      <c r="M15" s="461">
        <f>IF(SUM(L14:L15)&lt;=1,L15,1-SUM(M14:M14))</f>
        <v>0</v>
      </c>
      <c r="N15" s="461">
        <f>IF(SUM(L14:L15)&lt;=10,L15-M15,9-SUM(N14:N14))</f>
        <v>0</v>
      </c>
      <c r="O15" s="461">
        <f>IF(SUM(L14:L15)&lt;=60,L15-M15-N15,50-SUM(O14:O14))</f>
        <v>9</v>
      </c>
      <c r="P15" s="461">
        <f t="shared" si="0"/>
        <v>0</v>
      </c>
      <c r="Q15" s="462" t="s">
        <v>833</v>
      </c>
      <c r="R15" s="461">
        <v>1.35</v>
      </c>
      <c r="S15" s="462"/>
      <c r="T15" s="461"/>
      <c r="U15" s="461"/>
      <c r="V15" s="461"/>
      <c r="W15" s="461"/>
      <c r="X15" s="502"/>
      <c r="Y15" s="505"/>
      <c r="Z15" s="505"/>
      <c r="AA15" s="506"/>
      <c r="AB15" s="497">
        <v>1607649.12076923</v>
      </c>
      <c r="AC15" s="497">
        <f>R15*X14*AB15</f>
        <v>39065.873634692289</v>
      </c>
      <c r="AD15" s="497">
        <f>R15*Y14*AB15</f>
        <v>32554.894695576906</v>
      </c>
      <c r="AE15" s="497">
        <f>R15*Z14*AB15</f>
        <v>26043.915756461531</v>
      </c>
      <c r="AF15" s="497">
        <f>R15*AA14*AB15</f>
        <v>24741.719968638452</v>
      </c>
      <c r="AG15" s="461"/>
      <c r="AH15" s="497"/>
      <c r="AI15" s="461"/>
      <c r="AJ15" s="497"/>
      <c r="AK15" s="476">
        <v>0</v>
      </c>
      <c r="AL15" s="497">
        <f t="shared" ref="AL15:AL17" si="3">(M15*AC15)+(N15*AD15)+(O15*AE15)+(P15*AF15)+AK15</f>
        <v>234395.24180815378</v>
      </c>
      <c r="AM15" s="462">
        <v>0</v>
      </c>
      <c r="AN15" s="497"/>
      <c r="AO15" s="497"/>
      <c r="AP15" s="72"/>
      <c r="AQ15" s="72"/>
    </row>
    <row r="16" spans="1:43" ht="27.6">
      <c r="A16" s="461"/>
      <c r="B16" s="461"/>
      <c r="C16" s="494"/>
      <c r="D16" s="461"/>
      <c r="E16" s="462">
        <v>0</v>
      </c>
      <c r="F16" s="497">
        <v>11</v>
      </c>
      <c r="G16" s="462"/>
      <c r="H16" s="494" t="s">
        <v>830</v>
      </c>
      <c r="I16" s="461"/>
      <c r="J16" s="494" t="s">
        <v>831</v>
      </c>
      <c r="K16" s="461"/>
      <c r="L16" s="461">
        <v>7</v>
      </c>
      <c r="M16" s="461">
        <f>IF(SUM(L14:L16)&lt;=1,L16,1-SUM(M14:M15))</f>
        <v>0</v>
      </c>
      <c r="N16" s="461">
        <f>IF(SUM(L14:L16)&lt;=10,L16-M16,9-SUM(N14:N15))</f>
        <v>0</v>
      </c>
      <c r="O16" s="461">
        <f>IF(SUM(L14:L16)&lt;=60,L16-M16-N16,50-SUM(O14:O15))</f>
        <v>7</v>
      </c>
      <c r="P16" s="461">
        <f t="shared" si="0"/>
        <v>0</v>
      </c>
      <c r="Q16" s="462" t="s">
        <v>834</v>
      </c>
      <c r="R16" s="461">
        <v>1.5</v>
      </c>
      <c r="S16" s="462"/>
      <c r="T16" s="461"/>
      <c r="U16" s="461"/>
      <c r="V16" s="461"/>
      <c r="W16" s="461"/>
      <c r="X16" s="502"/>
      <c r="Y16" s="505"/>
      <c r="Z16" s="505"/>
      <c r="AA16" s="506"/>
      <c r="AB16" s="497">
        <v>1607649.12076923</v>
      </c>
      <c r="AC16" s="497">
        <f>R16*X14*AB16</f>
        <v>43406.526260769206</v>
      </c>
      <c r="AD16" s="497">
        <f>R16*Y14*AB16</f>
        <v>36172.105217307675</v>
      </c>
      <c r="AE16" s="497">
        <f>R16*Z14*AB16</f>
        <v>28937.684173846141</v>
      </c>
      <c r="AF16" s="497">
        <f>R16*AA14*AB16</f>
        <v>27490.799965153834</v>
      </c>
      <c r="AG16" s="461"/>
      <c r="AH16" s="497"/>
      <c r="AI16" s="461"/>
      <c r="AJ16" s="497"/>
      <c r="AK16" s="476">
        <v>0</v>
      </c>
      <c r="AL16" s="497">
        <f t="shared" si="3"/>
        <v>202563.78921692297</v>
      </c>
      <c r="AM16" s="462">
        <v>0</v>
      </c>
      <c r="AN16" s="497"/>
      <c r="AO16" s="497"/>
      <c r="AP16" s="72"/>
      <c r="AQ16" s="72"/>
    </row>
    <row r="17" spans="1:43" ht="27.6">
      <c r="A17" s="461"/>
      <c r="B17" s="461"/>
      <c r="C17" s="494"/>
      <c r="D17" s="461"/>
      <c r="E17" s="462">
        <v>0</v>
      </c>
      <c r="F17" s="497">
        <v>11</v>
      </c>
      <c r="G17" s="462"/>
      <c r="H17" s="494" t="s">
        <v>830</v>
      </c>
      <c r="I17" s="461"/>
      <c r="J17" s="494" t="s">
        <v>831</v>
      </c>
      <c r="K17" s="461"/>
      <c r="L17" s="461">
        <v>6</v>
      </c>
      <c r="M17" s="461">
        <f>IF(SUM(L14:L17)&lt;=1,L17,1-SUM(M14:M16))</f>
        <v>0</v>
      </c>
      <c r="N17" s="461">
        <f>IF(SUM(L14:L17)&lt;=10,L17-M17,9-SUM(N14:N16))</f>
        <v>0</v>
      </c>
      <c r="O17" s="461">
        <f>IF(SUM(L14:L17)&lt;=60,L17-M17-N17,50-SUM(O14:O16))</f>
        <v>6</v>
      </c>
      <c r="P17" s="461">
        <f t="shared" si="0"/>
        <v>0</v>
      </c>
      <c r="Q17" s="462" t="s">
        <v>835</v>
      </c>
      <c r="R17" s="461">
        <v>1.8</v>
      </c>
      <c r="S17" s="462"/>
      <c r="T17" s="461"/>
      <c r="U17" s="461"/>
      <c r="V17" s="461"/>
      <c r="W17" s="461"/>
      <c r="X17" s="502"/>
      <c r="Y17" s="505"/>
      <c r="Z17" s="505"/>
      <c r="AA17" s="506"/>
      <c r="AB17" s="497">
        <v>1607649.12076923</v>
      </c>
      <c r="AC17" s="497">
        <f>R17*X14*AB17</f>
        <v>52087.831512923047</v>
      </c>
      <c r="AD17" s="497">
        <f>R17*Y14*AB17</f>
        <v>43406.526260769206</v>
      </c>
      <c r="AE17" s="497">
        <f>R17*Z14*AB17</f>
        <v>34725.221008615372</v>
      </c>
      <c r="AF17" s="497">
        <f>R17*AA14*AB17</f>
        <v>32988.959958184598</v>
      </c>
      <c r="AG17" s="461"/>
      <c r="AH17" s="497"/>
      <c r="AI17" s="461"/>
      <c r="AJ17" s="497"/>
      <c r="AK17" s="476">
        <v>0</v>
      </c>
      <c r="AL17" s="497">
        <f t="shared" si="3"/>
        <v>208351.32605169225</v>
      </c>
      <c r="AM17" s="462">
        <v>0</v>
      </c>
      <c r="AN17" s="497"/>
      <c r="AO17" s="497"/>
      <c r="AP17" s="72"/>
      <c r="AQ17" s="72"/>
    </row>
    <row r="18" spans="1:43" ht="27.6">
      <c r="A18" s="461">
        <v>4</v>
      </c>
      <c r="B18" s="672" t="s">
        <v>677</v>
      </c>
      <c r="C18" s="494" t="s">
        <v>703</v>
      </c>
      <c r="D18" s="461" t="s">
        <v>700</v>
      </c>
      <c r="E18" s="462">
        <v>0</v>
      </c>
      <c r="F18" s="497">
        <v>48</v>
      </c>
      <c r="G18" s="494" t="s">
        <v>829</v>
      </c>
      <c r="H18" s="494" t="s">
        <v>830</v>
      </c>
      <c r="I18" s="461"/>
      <c r="J18" s="494" t="s">
        <v>831</v>
      </c>
      <c r="K18" s="461">
        <f>L21+L20+L19+L18</f>
        <v>43</v>
      </c>
      <c r="L18" s="461">
        <v>21</v>
      </c>
      <c r="M18" s="461">
        <f>MIN(L18,1)</f>
        <v>1</v>
      </c>
      <c r="N18" s="461">
        <f>IF(L18&lt;10,L18-M18,9)</f>
        <v>9</v>
      </c>
      <c r="O18" s="461">
        <f>IF(L18&lt;60,L18-M18-N18,50)</f>
        <v>11</v>
      </c>
      <c r="P18" s="461">
        <f t="shared" si="0"/>
        <v>0</v>
      </c>
      <c r="Q18" s="462" t="s">
        <v>836</v>
      </c>
      <c r="R18" s="493">
        <v>0.68</v>
      </c>
      <c r="S18" s="462"/>
      <c r="T18" s="461"/>
      <c r="U18" s="461"/>
      <c r="V18" s="461"/>
      <c r="W18" s="461"/>
      <c r="X18" s="502">
        <v>1.7999999999999999E-2</v>
      </c>
      <c r="Y18" s="505">
        <v>1.4999999999999999E-2</v>
      </c>
      <c r="Z18" s="505">
        <v>1.2E-2</v>
      </c>
      <c r="AA18" s="506">
        <v>1.14E-2</v>
      </c>
      <c r="AB18" s="497">
        <v>1607649.12076923</v>
      </c>
      <c r="AC18" s="497">
        <f>R18*X18*AB18</f>
        <v>19677.625238215373</v>
      </c>
      <c r="AD18" s="497">
        <f>R18*Y18*AB18</f>
        <v>16398.021031846147</v>
      </c>
      <c r="AE18" s="497">
        <f>R18*Z18*AB18</f>
        <v>13118.416825476917</v>
      </c>
      <c r="AF18" s="497">
        <f>R18*AA18*AB18</f>
        <v>12462.495984203073</v>
      </c>
      <c r="AG18" s="461">
        <v>0</v>
      </c>
      <c r="AH18" s="497">
        <f>ROUND(AG18*AJ3,0)</f>
        <v>0</v>
      </c>
      <c r="AI18" s="461">
        <v>0</v>
      </c>
      <c r="AJ18" s="497">
        <f>ROUND(AI18*AJ3,0)</f>
        <v>0</v>
      </c>
      <c r="AK18" s="476">
        <v>0</v>
      </c>
      <c r="AL18" s="497">
        <f>(M18*AC18)+(N18*AD18)+(O18*AE18)+(P18*AF18)+AK18+AL19+AL20+AL21</f>
        <v>956872.75668184576</v>
      </c>
      <c r="AM18" s="462">
        <v>1</v>
      </c>
      <c r="AN18" s="497">
        <f>AL18*AM18</f>
        <v>956872.75668184576</v>
      </c>
      <c r="AO18" s="497">
        <f>(AN18/F18)+AH18+AJ18</f>
        <v>19934.849097538452</v>
      </c>
      <c r="AP18" s="72"/>
      <c r="AQ18" s="72"/>
    </row>
    <row r="19" spans="1:43" ht="27.6">
      <c r="A19" s="461"/>
      <c r="B19" s="461"/>
      <c r="C19" s="494"/>
      <c r="D19" s="461"/>
      <c r="E19" s="462">
        <v>0</v>
      </c>
      <c r="F19" s="497">
        <f>F18</f>
        <v>48</v>
      </c>
      <c r="G19" s="462"/>
      <c r="H19" s="494" t="s">
        <v>830</v>
      </c>
      <c r="I19" s="461"/>
      <c r="J19" s="494" t="s">
        <v>831</v>
      </c>
      <c r="K19" s="461"/>
      <c r="L19" s="461">
        <v>9</v>
      </c>
      <c r="M19" s="461">
        <f>IF(SUM(L18:L19)&lt;=1,L19,1-SUM(M18:M18))</f>
        <v>0</v>
      </c>
      <c r="N19" s="461">
        <f>IF(SUM(L18:L19)&lt;=10,L19-M19,9-SUM(N18:N18))</f>
        <v>0</v>
      </c>
      <c r="O19" s="461">
        <f>IF(SUM(L18:L19)&lt;=60,L19-M19-N19,50-SUM(O18:O18))</f>
        <v>9</v>
      </c>
      <c r="P19" s="461">
        <f t="shared" si="0"/>
        <v>0</v>
      </c>
      <c r="Q19" s="462" t="s">
        <v>833</v>
      </c>
      <c r="R19" s="461">
        <v>1.35</v>
      </c>
      <c r="S19" s="462"/>
      <c r="T19" s="461"/>
      <c r="U19" s="461"/>
      <c r="V19" s="461"/>
      <c r="W19" s="461"/>
      <c r="X19" s="502"/>
      <c r="Y19" s="505"/>
      <c r="Z19" s="505"/>
      <c r="AA19" s="506"/>
      <c r="AB19" s="497">
        <v>1607649.12076923</v>
      </c>
      <c r="AC19" s="497">
        <f>R19*X18*AB19</f>
        <v>39065.873634692289</v>
      </c>
      <c r="AD19" s="497">
        <f>R19*Y18*AB19</f>
        <v>32554.894695576906</v>
      </c>
      <c r="AE19" s="497">
        <f>R19*Z18*AB19</f>
        <v>26043.915756461531</v>
      </c>
      <c r="AF19" s="497">
        <f>R19*AA18*AB19</f>
        <v>24741.719968638452</v>
      </c>
      <c r="AG19" s="461"/>
      <c r="AH19" s="497"/>
      <c r="AI19" s="461"/>
      <c r="AJ19" s="497"/>
      <c r="AK19" s="476">
        <v>0</v>
      </c>
      <c r="AL19" s="497">
        <f t="shared" ref="AL19:AL21" si="4">(M19*AC19)+(N19*AD19)+(O19*AE19)+(P19*AF19)+AK19</f>
        <v>234395.24180815378</v>
      </c>
      <c r="AM19" s="462">
        <v>0</v>
      </c>
      <c r="AN19" s="497"/>
      <c r="AO19" s="497"/>
      <c r="AP19" s="72"/>
      <c r="AQ19" s="72"/>
    </row>
    <row r="20" spans="1:43" ht="27.6">
      <c r="A20" s="461"/>
      <c r="B20" s="461"/>
      <c r="C20" s="494"/>
      <c r="D20" s="461"/>
      <c r="E20" s="462">
        <v>0</v>
      </c>
      <c r="F20" s="497">
        <f>F19</f>
        <v>48</v>
      </c>
      <c r="G20" s="462"/>
      <c r="H20" s="494" t="s">
        <v>830</v>
      </c>
      <c r="I20" s="461"/>
      <c r="J20" s="494" t="s">
        <v>831</v>
      </c>
      <c r="K20" s="461"/>
      <c r="L20" s="461">
        <v>7</v>
      </c>
      <c r="M20" s="461">
        <f>IF(SUM(L18:L20)&lt;=1,L20,1-SUM(M18:M19))</f>
        <v>0</v>
      </c>
      <c r="N20" s="461">
        <f>IF(SUM(L18:L20)&lt;=10,L20-M20,9-SUM(N18:N19))</f>
        <v>0</v>
      </c>
      <c r="O20" s="461">
        <f>IF(SUM(L18:L20)&lt;=60,L20-M20-N20,50-SUM(O18:O19))</f>
        <v>7</v>
      </c>
      <c r="P20" s="461">
        <f t="shared" si="0"/>
        <v>0</v>
      </c>
      <c r="Q20" s="462" t="s">
        <v>834</v>
      </c>
      <c r="R20" s="461">
        <v>1.5</v>
      </c>
      <c r="S20" s="462"/>
      <c r="T20" s="461"/>
      <c r="U20" s="461"/>
      <c r="V20" s="461"/>
      <c r="W20" s="461"/>
      <c r="X20" s="502"/>
      <c r="Y20" s="505"/>
      <c r="Z20" s="505"/>
      <c r="AA20" s="506"/>
      <c r="AB20" s="497">
        <v>1607649.12076923</v>
      </c>
      <c r="AC20" s="497">
        <f>R20*X18*AB20</f>
        <v>43406.526260769206</v>
      </c>
      <c r="AD20" s="497">
        <f>R20*Y18*AB20</f>
        <v>36172.105217307675</v>
      </c>
      <c r="AE20" s="497">
        <f>R20*Z18*AB20</f>
        <v>28937.684173846141</v>
      </c>
      <c r="AF20" s="497">
        <f>R20*AA18*AB20</f>
        <v>27490.799965153834</v>
      </c>
      <c r="AG20" s="461"/>
      <c r="AH20" s="497"/>
      <c r="AI20" s="461"/>
      <c r="AJ20" s="497"/>
      <c r="AK20" s="476">
        <v>0</v>
      </c>
      <c r="AL20" s="497">
        <f t="shared" si="4"/>
        <v>202563.78921692297</v>
      </c>
      <c r="AM20" s="462">
        <v>0</v>
      </c>
      <c r="AN20" s="497"/>
      <c r="AO20" s="497"/>
      <c r="AP20" s="72"/>
      <c r="AQ20" s="72"/>
    </row>
    <row r="21" spans="1:43" ht="27.6">
      <c r="A21" s="461"/>
      <c r="B21" s="461"/>
      <c r="C21" s="494"/>
      <c r="D21" s="461"/>
      <c r="E21" s="462">
        <v>0</v>
      </c>
      <c r="F21" s="497">
        <f>F19</f>
        <v>48</v>
      </c>
      <c r="G21" s="462"/>
      <c r="H21" s="494" t="s">
        <v>830</v>
      </c>
      <c r="I21" s="461"/>
      <c r="J21" s="494" t="s">
        <v>831</v>
      </c>
      <c r="K21" s="461"/>
      <c r="L21" s="461">
        <v>6</v>
      </c>
      <c r="M21" s="461">
        <f>IF(SUM(L18:L21)&lt;=1,L21,1-SUM(M18:M20))</f>
        <v>0</v>
      </c>
      <c r="N21" s="461">
        <f>IF(SUM(L18:L21)&lt;=10,L21-M21,9-SUM(N18:N20))</f>
        <v>0</v>
      </c>
      <c r="O21" s="461">
        <f>IF(SUM(L18:L21)&lt;=60,L21-M21-N21,50-SUM(O18:O20))</f>
        <v>6</v>
      </c>
      <c r="P21" s="461">
        <f t="shared" si="0"/>
        <v>0</v>
      </c>
      <c r="Q21" s="462" t="s">
        <v>835</v>
      </c>
      <c r="R21" s="461">
        <v>1.8</v>
      </c>
      <c r="S21" s="462"/>
      <c r="T21" s="461"/>
      <c r="U21" s="461"/>
      <c r="V21" s="461"/>
      <c r="W21" s="461"/>
      <c r="X21" s="502"/>
      <c r="Y21" s="505"/>
      <c r="Z21" s="505"/>
      <c r="AA21" s="506"/>
      <c r="AB21" s="497">
        <v>1607649.12076923</v>
      </c>
      <c r="AC21" s="497">
        <f>R21*X18*AB21</f>
        <v>52087.831512923047</v>
      </c>
      <c r="AD21" s="497">
        <f>R21*Y18*AB21</f>
        <v>43406.526260769206</v>
      </c>
      <c r="AE21" s="497">
        <f>R21*Z18*AB21</f>
        <v>34725.221008615372</v>
      </c>
      <c r="AF21" s="497">
        <f>R21*AA18*AB21</f>
        <v>32988.959958184598</v>
      </c>
      <c r="AG21" s="461"/>
      <c r="AH21" s="497"/>
      <c r="AI21" s="461"/>
      <c r="AJ21" s="497"/>
      <c r="AK21" s="476">
        <v>0</v>
      </c>
      <c r="AL21" s="497">
        <f t="shared" si="4"/>
        <v>208351.32605169225</v>
      </c>
      <c r="AM21" s="462">
        <v>0</v>
      </c>
      <c r="AN21" s="497"/>
      <c r="AO21" s="497"/>
      <c r="AP21" s="72"/>
      <c r="AQ21" s="72"/>
    </row>
    <row r="22" spans="1:43" ht="27.6">
      <c r="A22" s="461">
        <v>5</v>
      </c>
      <c r="B22" s="672" t="s">
        <v>677</v>
      </c>
      <c r="C22" s="494" t="s">
        <v>704</v>
      </c>
      <c r="D22" s="461" t="s">
        <v>700</v>
      </c>
      <c r="E22" s="462">
        <v>0</v>
      </c>
      <c r="F22" s="497">
        <v>86</v>
      </c>
      <c r="G22" s="494" t="s">
        <v>829</v>
      </c>
      <c r="H22" s="494" t="s">
        <v>830</v>
      </c>
      <c r="I22" s="461"/>
      <c r="J22" s="494" t="s">
        <v>831</v>
      </c>
      <c r="K22" s="461">
        <f>L25+L24+L23+L22</f>
        <v>43</v>
      </c>
      <c r="L22" s="461">
        <v>21</v>
      </c>
      <c r="M22" s="461">
        <f>MIN(L22,1)</f>
        <v>1</v>
      </c>
      <c r="N22" s="461">
        <f>IF(L22&lt;10,L22-M22,9)</f>
        <v>9</v>
      </c>
      <c r="O22" s="461">
        <f>IF(L22&lt;60,L22-M22-N22,50)</f>
        <v>11</v>
      </c>
      <c r="P22" s="461">
        <f t="shared" si="0"/>
        <v>0</v>
      </c>
      <c r="Q22" s="462" t="s">
        <v>836</v>
      </c>
      <c r="R22" s="493">
        <v>0.68</v>
      </c>
      <c r="S22" s="462"/>
      <c r="T22" s="461"/>
      <c r="U22" s="461"/>
      <c r="V22" s="461"/>
      <c r="W22" s="461"/>
      <c r="X22" s="502">
        <v>1.7999999999999999E-2</v>
      </c>
      <c r="Y22" s="505">
        <v>1.4999999999999999E-2</v>
      </c>
      <c r="Z22" s="505">
        <v>1.2E-2</v>
      </c>
      <c r="AA22" s="506">
        <v>1.14E-2</v>
      </c>
      <c r="AB22" s="497">
        <v>1607649.12076923</v>
      </c>
      <c r="AC22" s="497">
        <f>R22*X22*AB22</f>
        <v>19677.625238215373</v>
      </c>
      <c r="AD22" s="497">
        <f>R22*Y22*AB22</f>
        <v>16398.021031846147</v>
      </c>
      <c r="AE22" s="497">
        <f>R22*Z22*AB22</f>
        <v>13118.416825476917</v>
      </c>
      <c r="AF22" s="497">
        <f>R22*AA22*AB22</f>
        <v>12462.495984203073</v>
      </c>
      <c r="AG22" s="461">
        <v>0</v>
      </c>
      <c r="AH22" s="497">
        <f>ROUND(AG22*AJ3,0)</f>
        <v>0</v>
      </c>
      <c r="AI22" s="461">
        <v>0</v>
      </c>
      <c r="AJ22" s="497">
        <f>ROUND(AI22*AJ3,0)</f>
        <v>0</v>
      </c>
      <c r="AK22" s="476">
        <v>0</v>
      </c>
      <c r="AL22" s="497">
        <f>(M22*AC22)+(N22*AD22)+(O22*AE22)+(P22*AF22)+AK22+AL23+AL24+AL25</f>
        <v>956872.75668184576</v>
      </c>
      <c r="AM22" s="462">
        <v>1</v>
      </c>
      <c r="AN22" s="497">
        <f>AL22*AM22</f>
        <v>956872.75668184576</v>
      </c>
      <c r="AO22" s="497">
        <f>(AN22/F22)+AH22+AJ22</f>
        <v>11126.427403277276</v>
      </c>
      <c r="AP22" s="72"/>
      <c r="AQ22" s="72"/>
    </row>
    <row r="23" spans="1:43" ht="27.6">
      <c r="A23" s="461"/>
      <c r="B23" s="461"/>
      <c r="C23" s="494"/>
      <c r="D23" s="461"/>
      <c r="E23" s="462">
        <v>0</v>
      </c>
      <c r="F23" s="497">
        <v>86</v>
      </c>
      <c r="G23" s="462"/>
      <c r="H23" s="494" t="s">
        <v>830</v>
      </c>
      <c r="I23" s="461"/>
      <c r="J23" s="494" t="s">
        <v>831</v>
      </c>
      <c r="K23" s="461"/>
      <c r="L23" s="461">
        <v>9</v>
      </c>
      <c r="M23" s="461">
        <f>IF(SUM(L22:L23)&lt;=1,L23,1-SUM(M22:M22))</f>
        <v>0</v>
      </c>
      <c r="N23" s="461">
        <f>IF(SUM(L22:L23)&lt;=10,L23-M23,9-SUM(N22:N22))</f>
        <v>0</v>
      </c>
      <c r="O23" s="461">
        <f>IF(SUM(L22:L23)&lt;=60,L23-M23-N23,50-SUM(O22:O22))</f>
        <v>9</v>
      </c>
      <c r="P23" s="461">
        <f t="shared" si="0"/>
        <v>0</v>
      </c>
      <c r="Q23" s="462" t="s">
        <v>833</v>
      </c>
      <c r="R23" s="461">
        <v>1.35</v>
      </c>
      <c r="S23" s="462"/>
      <c r="T23" s="461"/>
      <c r="U23" s="461"/>
      <c r="V23" s="461"/>
      <c r="W23" s="461"/>
      <c r="X23" s="502"/>
      <c r="Y23" s="505"/>
      <c r="Z23" s="505"/>
      <c r="AA23" s="506"/>
      <c r="AB23" s="497">
        <v>1607649.12076923</v>
      </c>
      <c r="AC23" s="497">
        <f>R23*X22*AB23</f>
        <v>39065.873634692289</v>
      </c>
      <c r="AD23" s="497">
        <f>R23*Y22*AB23</f>
        <v>32554.894695576906</v>
      </c>
      <c r="AE23" s="497">
        <f>R23*Z22*AB23</f>
        <v>26043.915756461531</v>
      </c>
      <c r="AF23" s="497">
        <f>R23*AA22*AB23</f>
        <v>24741.719968638452</v>
      </c>
      <c r="AG23" s="461"/>
      <c r="AH23" s="497"/>
      <c r="AI23" s="461"/>
      <c r="AJ23" s="497"/>
      <c r="AK23" s="476">
        <v>0</v>
      </c>
      <c r="AL23" s="497">
        <f t="shared" ref="AL23:AL25" si="5">(M23*AC23)+(N23*AD23)+(O23*AE23)+(P23*AF23)+AK23</f>
        <v>234395.24180815378</v>
      </c>
      <c r="AM23" s="462">
        <v>0</v>
      </c>
      <c r="AN23" s="497"/>
      <c r="AO23" s="497"/>
      <c r="AP23" s="72"/>
      <c r="AQ23" s="72"/>
    </row>
    <row r="24" spans="1:43" ht="27.6">
      <c r="A24" s="461"/>
      <c r="B24" s="461"/>
      <c r="C24" s="494"/>
      <c r="D24" s="461"/>
      <c r="E24" s="462">
        <v>0</v>
      </c>
      <c r="F24" s="497">
        <v>86</v>
      </c>
      <c r="G24" s="462"/>
      <c r="H24" s="494" t="s">
        <v>830</v>
      </c>
      <c r="I24" s="461"/>
      <c r="J24" s="494" t="s">
        <v>831</v>
      </c>
      <c r="K24" s="461"/>
      <c r="L24" s="461">
        <v>7</v>
      </c>
      <c r="M24" s="461">
        <f>IF(SUM(L22:L24)&lt;=1,L24,1-SUM(M22:M23))</f>
        <v>0</v>
      </c>
      <c r="N24" s="461">
        <f>IF(SUM(L22:L24)&lt;=10,L24-M24,9-SUM(N22:N23))</f>
        <v>0</v>
      </c>
      <c r="O24" s="461">
        <f>IF(SUM(L22:L24)&lt;=60,L24-M24-N24,50-SUM(O22:O23))</f>
        <v>7</v>
      </c>
      <c r="P24" s="461">
        <f t="shared" si="0"/>
        <v>0</v>
      </c>
      <c r="Q24" s="462" t="s">
        <v>834</v>
      </c>
      <c r="R24" s="461">
        <v>1.5</v>
      </c>
      <c r="S24" s="462"/>
      <c r="T24" s="461"/>
      <c r="U24" s="461"/>
      <c r="V24" s="461"/>
      <c r="W24" s="461"/>
      <c r="X24" s="502"/>
      <c r="Y24" s="505"/>
      <c r="Z24" s="505"/>
      <c r="AA24" s="506"/>
      <c r="AB24" s="497">
        <v>1607649.12076923</v>
      </c>
      <c r="AC24" s="497">
        <f>R24*X22*AB24</f>
        <v>43406.526260769206</v>
      </c>
      <c r="AD24" s="497">
        <f>R24*Y22*AB24</f>
        <v>36172.105217307675</v>
      </c>
      <c r="AE24" s="497">
        <f>R24*Z22*AB24</f>
        <v>28937.684173846141</v>
      </c>
      <c r="AF24" s="497">
        <f>R24*AA22*AB24</f>
        <v>27490.799965153834</v>
      </c>
      <c r="AG24" s="461"/>
      <c r="AH24" s="497"/>
      <c r="AI24" s="461"/>
      <c r="AJ24" s="497"/>
      <c r="AK24" s="476">
        <v>0</v>
      </c>
      <c r="AL24" s="497">
        <f t="shared" si="5"/>
        <v>202563.78921692297</v>
      </c>
      <c r="AM24" s="462">
        <v>0</v>
      </c>
      <c r="AN24" s="497"/>
      <c r="AO24" s="497"/>
      <c r="AP24" s="72"/>
      <c r="AQ24" s="72"/>
    </row>
    <row r="25" spans="1:43" ht="27.6">
      <c r="A25" s="461"/>
      <c r="B25" s="461"/>
      <c r="C25" s="494"/>
      <c r="D25" s="461"/>
      <c r="E25" s="462">
        <v>0</v>
      </c>
      <c r="F25" s="497">
        <v>86</v>
      </c>
      <c r="G25" s="462"/>
      <c r="H25" s="494" t="s">
        <v>830</v>
      </c>
      <c r="I25" s="461"/>
      <c r="J25" s="494" t="s">
        <v>831</v>
      </c>
      <c r="K25" s="461"/>
      <c r="L25" s="461">
        <v>6</v>
      </c>
      <c r="M25" s="461">
        <f>IF(SUM(L22:L25)&lt;=1,L25,1-SUM(M22:M24))</f>
        <v>0</v>
      </c>
      <c r="N25" s="461">
        <f>IF(SUM(L22:L25)&lt;=10,L25-M25,9-SUM(N22:N24))</f>
        <v>0</v>
      </c>
      <c r="O25" s="461">
        <f>IF(SUM(L22:L25)&lt;=60,L25-M25-N25,50-SUM(O22:O24))</f>
        <v>6</v>
      </c>
      <c r="P25" s="461">
        <f t="shared" si="0"/>
        <v>0</v>
      </c>
      <c r="Q25" s="462" t="s">
        <v>835</v>
      </c>
      <c r="R25" s="461">
        <v>1.8</v>
      </c>
      <c r="S25" s="462"/>
      <c r="T25" s="461"/>
      <c r="U25" s="461"/>
      <c r="V25" s="461"/>
      <c r="W25" s="461"/>
      <c r="X25" s="502"/>
      <c r="Y25" s="505"/>
      <c r="Z25" s="505"/>
      <c r="AA25" s="506"/>
      <c r="AB25" s="497">
        <v>1607649.12076923</v>
      </c>
      <c r="AC25" s="497">
        <f>R25*X22*AB25</f>
        <v>52087.831512923047</v>
      </c>
      <c r="AD25" s="497">
        <f>R25*Y22*AB25</f>
        <v>43406.526260769206</v>
      </c>
      <c r="AE25" s="497">
        <f>R25*Z22*AB25</f>
        <v>34725.221008615372</v>
      </c>
      <c r="AF25" s="497">
        <f>R25*AA22*AB25</f>
        <v>32988.959958184598</v>
      </c>
      <c r="AG25" s="461"/>
      <c r="AH25" s="497"/>
      <c r="AI25" s="461"/>
      <c r="AJ25" s="497"/>
      <c r="AK25" s="476">
        <v>0</v>
      </c>
      <c r="AL25" s="497">
        <f t="shared" si="5"/>
        <v>208351.32605169225</v>
      </c>
      <c r="AM25" s="462">
        <v>0</v>
      </c>
      <c r="AN25" s="497"/>
      <c r="AO25" s="497"/>
      <c r="AP25" s="72"/>
      <c r="AQ25" s="72"/>
    </row>
    <row r="26" spans="1:43" ht="27.6">
      <c r="A26" s="461">
        <v>6</v>
      </c>
      <c r="B26" s="672" t="s">
        <v>678</v>
      </c>
      <c r="C26" s="494" t="s">
        <v>705</v>
      </c>
      <c r="D26" s="461" t="s">
        <v>700</v>
      </c>
      <c r="E26" s="462">
        <v>0</v>
      </c>
      <c r="F26" s="497">
        <v>24</v>
      </c>
      <c r="G26" s="498" t="s">
        <v>829</v>
      </c>
      <c r="H26" s="494" t="s">
        <v>830</v>
      </c>
      <c r="I26" s="461"/>
      <c r="J26" s="494" t="s">
        <v>831</v>
      </c>
      <c r="K26" s="461">
        <f>L29+L28+L27+L26</f>
        <v>43</v>
      </c>
      <c r="L26" s="461">
        <v>21</v>
      </c>
      <c r="M26" s="461">
        <f>MIN(L26,1)</f>
        <v>1</v>
      </c>
      <c r="N26" s="461">
        <f>IF(L26&lt;10,L26-M26,9)</f>
        <v>9</v>
      </c>
      <c r="O26" s="461">
        <f>IF(L26&lt;60,L26-M26-N26,50)</f>
        <v>11</v>
      </c>
      <c r="P26" s="461">
        <f t="shared" si="0"/>
        <v>0</v>
      </c>
      <c r="Q26" s="462" t="s">
        <v>836</v>
      </c>
      <c r="R26" s="461">
        <v>0.56999999999999995</v>
      </c>
      <c r="S26" s="462"/>
      <c r="T26" s="461"/>
      <c r="U26" s="461"/>
      <c r="V26" s="461"/>
      <c r="W26" s="461"/>
      <c r="X26" s="502">
        <v>1.7999999999999999E-2</v>
      </c>
      <c r="Y26" s="505">
        <v>1.4999999999999999E-2</v>
      </c>
      <c r="Z26" s="505">
        <v>1.2E-2</v>
      </c>
      <c r="AA26" s="506">
        <v>1.14E-2</v>
      </c>
      <c r="AB26" s="497">
        <v>1607649.12076923</v>
      </c>
      <c r="AC26" s="497">
        <f>R26*X26*AB26</f>
        <v>16494.479979092295</v>
      </c>
      <c r="AD26" s="497">
        <f>R26*Y26*AB26</f>
        <v>13745.399982576913</v>
      </c>
      <c r="AE26" s="497">
        <f>R26*Z26*AB26</f>
        <v>10996.319986061533</v>
      </c>
      <c r="AF26" s="497">
        <f>R26*AA26*AB26</f>
        <v>10446.503986758455</v>
      </c>
      <c r="AG26" s="461">
        <v>0</v>
      </c>
      <c r="AH26" s="497">
        <f>ROUND(AG26*AJ3,0)</f>
        <v>0</v>
      </c>
      <c r="AI26" s="461">
        <v>0</v>
      </c>
      <c r="AJ26" s="497">
        <f>ROUND(AI26*AJ3,0)</f>
        <v>0</v>
      </c>
      <c r="AK26" s="476">
        <v>0</v>
      </c>
      <c r="AL26" s="497">
        <f>(M26*AC26)+(N26*AD26)+(O26*AE26)+(P26*AF26)+AK26+AL27+AL28+AL29</f>
        <v>906472.95674573036</v>
      </c>
      <c r="AM26" s="462">
        <v>1</v>
      </c>
      <c r="AN26" s="497">
        <f>AL26*AM26</f>
        <v>906472.95674573036</v>
      </c>
      <c r="AO26" s="497">
        <f>(AN26/F26)+AH26+AJ26</f>
        <v>37769.706531072101</v>
      </c>
      <c r="AP26" s="72"/>
      <c r="AQ26" s="72"/>
    </row>
    <row r="27" spans="1:43" ht="27.6">
      <c r="A27" s="461"/>
      <c r="B27" s="461"/>
      <c r="C27" s="494"/>
      <c r="D27" s="461"/>
      <c r="E27" s="462">
        <v>0</v>
      </c>
      <c r="F27" s="497">
        <f>F26</f>
        <v>24</v>
      </c>
      <c r="G27" s="462"/>
      <c r="H27" s="494" t="s">
        <v>830</v>
      </c>
      <c r="I27" s="461"/>
      <c r="J27" s="494" t="s">
        <v>831</v>
      </c>
      <c r="K27" s="461"/>
      <c r="L27" s="461">
        <v>9</v>
      </c>
      <c r="M27" s="461">
        <f>IF(SUM(L26:L27)&lt;=1,L27,1-SUM(M26:M26))</f>
        <v>0</v>
      </c>
      <c r="N27" s="461">
        <f>IF(SUM(L26:L27)&lt;=10,L27-M27,9-SUM(N26:N26))</f>
        <v>0</v>
      </c>
      <c r="O27" s="461">
        <f>IF(SUM(L26:L27)&lt;=60,L27-M27-N27,50-SUM(O26:O26))</f>
        <v>9</v>
      </c>
      <c r="P27" s="461">
        <f t="shared" si="0"/>
        <v>0</v>
      </c>
      <c r="Q27" s="462" t="s">
        <v>833</v>
      </c>
      <c r="R27" s="461">
        <v>1.35</v>
      </c>
      <c r="S27" s="462"/>
      <c r="T27" s="461"/>
      <c r="U27" s="461"/>
      <c r="V27" s="461"/>
      <c r="W27" s="461"/>
      <c r="X27" s="502"/>
      <c r="Y27" s="505"/>
      <c r="Z27" s="505"/>
      <c r="AA27" s="506"/>
      <c r="AB27" s="497">
        <v>1607649.12076923</v>
      </c>
      <c r="AC27" s="497">
        <f>R27*X26*AB27</f>
        <v>39065.873634692289</v>
      </c>
      <c r="AD27" s="497">
        <f>R27*Y26*AB27</f>
        <v>32554.894695576906</v>
      </c>
      <c r="AE27" s="497">
        <f>R27*Z26*AB27</f>
        <v>26043.915756461531</v>
      </c>
      <c r="AF27" s="497">
        <f>R27*AA26*AB27</f>
        <v>24741.719968638452</v>
      </c>
      <c r="AG27" s="461"/>
      <c r="AH27" s="497"/>
      <c r="AI27" s="461"/>
      <c r="AJ27" s="497"/>
      <c r="AK27" s="476">
        <v>0</v>
      </c>
      <c r="AL27" s="497">
        <f t="shared" ref="AL27:AL29" si="6">(M27*AC27)+(N27*AD27)+(O27*AE27)+(P27*AF27)+AK27</f>
        <v>234395.24180815378</v>
      </c>
      <c r="AM27" s="462">
        <v>0</v>
      </c>
      <c r="AN27" s="497"/>
      <c r="AO27" s="497"/>
      <c r="AP27" s="72"/>
      <c r="AQ27" s="72"/>
    </row>
    <row r="28" spans="1:43" ht="27.6">
      <c r="A28" s="461"/>
      <c r="B28" s="461"/>
      <c r="C28" s="494"/>
      <c r="D28" s="461"/>
      <c r="E28" s="462">
        <v>0</v>
      </c>
      <c r="F28" s="497">
        <f>F27</f>
        <v>24</v>
      </c>
      <c r="G28" s="462"/>
      <c r="H28" s="494" t="s">
        <v>830</v>
      </c>
      <c r="I28" s="461"/>
      <c r="J28" s="494" t="s">
        <v>831</v>
      </c>
      <c r="K28" s="461"/>
      <c r="L28" s="461">
        <v>7</v>
      </c>
      <c r="M28" s="461">
        <f>IF(SUM(L26:L28)&lt;=1,L28,1-SUM(M26:M27))</f>
        <v>0</v>
      </c>
      <c r="N28" s="461">
        <f>IF(SUM(L26:L28)&lt;=10,L28-M28,9-SUM(N26:N27))</f>
        <v>0</v>
      </c>
      <c r="O28" s="461">
        <f>IF(SUM(L26:L28)&lt;=60,L28-M28-N28,50-SUM(O26:O27))</f>
        <v>7</v>
      </c>
      <c r="P28" s="461">
        <f t="shared" si="0"/>
        <v>0</v>
      </c>
      <c r="Q28" s="462" t="s">
        <v>834</v>
      </c>
      <c r="R28" s="461">
        <v>1.5</v>
      </c>
      <c r="S28" s="462"/>
      <c r="T28" s="461"/>
      <c r="U28" s="461"/>
      <c r="V28" s="461"/>
      <c r="W28" s="461"/>
      <c r="X28" s="502"/>
      <c r="Y28" s="505"/>
      <c r="Z28" s="505"/>
      <c r="AA28" s="506"/>
      <c r="AB28" s="497">
        <v>1607649.12076923</v>
      </c>
      <c r="AC28" s="497">
        <f>R28*X26*AB28</f>
        <v>43406.526260769206</v>
      </c>
      <c r="AD28" s="497">
        <f>R28*Y26*AB28</f>
        <v>36172.105217307675</v>
      </c>
      <c r="AE28" s="497">
        <f>R28*Z26*AB28</f>
        <v>28937.684173846141</v>
      </c>
      <c r="AF28" s="497">
        <f>R28*AA26*AB28</f>
        <v>27490.799965153834</v>
      </c>
      <c r="AG28" s="461"/>
      <c r="AH28" s="497"/>
      <c r="AI28" s="461"/>
      <c r="AJ28" s="497"/>
      <c r="AK28" s="476">
        <v>0</v>
      </c>
      <c r="AL28" s="497">
        <f t="shared" si="6"/>
        <v>202563.78921692297</v>
      </c>
      <c r="AM28" s="462">
        <v>0</v>
      </c>
      <c r="AN28" s="497"/>
      <c r="AO28" s="497"/>
      <c r="AP28" s="72"/>
      <c r="AQ28" s="72"/>
    </row>
    <row r="29" spans="1:43" ht="27.6">
      <c r="A29" s="461"/>
      <c r="B29" s="461"/>
      <c r="C29" s="494"/>
      <c r="D29" s="461"/>
      <c r="E29" s="462">
        <v>0</v>
      </c>
      <c r="F29" s="497">
        <f>F28</f>
        <v>24</v>
      </c>
      <c r="G29" s="462"/>
      <c r="H29" s="494" t="s">
        <v>830</v>
      </c>
      <c r="I29" s="461"/>
      <c r="J29" s="494" t="s">
        <v>831</v>
      </c>
      <c r="K29" s="461"/>
      <c r="L29" s="461">
        <v>6</v>
      </c>
      <c r="M29" s="461">
        <f>IF(SUM(L26:L29)&lt;=1,L29,1-SUM(M26:M28))</f>
        <v>0</v>
      </c>
      <c r="N29" s="461">
        <f>IF(SUM(L26:L29)&lt;=10,L29-M29,9-SUM(N26:N28))</f>
        <v>0</v>
      </c>
      <c r="O29" s="461">
        <f>IF(SUM(L26:L29)&lt;=60,L29-M29-N29,50-SUM(O26:O28))</f>
        <v>6</v>
      </c>
      <c r="P29" s="461">
        <f t="shared" si="0"/>
        <v>0</v>
      </c>
      <c r="Q29" s="462" t="s">
        <v>835</v>
      </c>
      <c r="R29" s="461">
        <v>1.8</v>
      </c>
      <c r="S29" s="462"/>
      <c r="T29" s="461"/>
      <c r="U29" s="461"/>
      <c r="V29" s="461"/>
      <c r="W29" s="461"/>
      <c r="X29" s="502"/>
      <c r="Y29" s="505"/>
      <c r="Z29" s="505"/>
      <c r="AA29" s="506"/>
      <c r="AB29" s="497">
        <v>1607649.12076923</v>
      </c>
      <c r="AC29" s="497">
        <f>R29*X26*AB29</f>
        <v>52087.831512923047</v>
      </c>
      <c r="AD29" s="497">
        <f>R29*Y26*AB29</f>
        <v>43406.526260769206</v>
      </c>
      <c r="AE29" s="497">
        <f>R29*Z26*AB29</f>
        <v>34725.221008615372</v>
      </c>
      <c r="AF29" s="497">
        <f>R29*AA26*AB29</f>
        <v>32988.959958184598</v>
      </c>
      <c r="AG29" s="461"/>
      <c r="AH29" s="497"/>
      <c r="AI29" s="461"/>
      <c r="AJ29" s="497"/>
      <c r="AK29" s="476">
        <v>0</v>
      </c>
      <c r="AL29" s="497">
        <f t="shared" si="6"/>
        <v>208351.32605169225</v>
      </c>
      <c r="AM29" s="462">
        <v>0</v>
      </c>
      <c r="AN29" s="497"/>
      <c r="AO29" s="497"/>
      <c r="AP29" s="72"/>
      <c r="AQ29" s="72"/>
    </row>
    <row r="30" spans="1:43" ht="27.6">
      <c r="A30" s="461">
        <v>7</v>
      </c>
      <c r="B30" s="672" t="s">
        <v>678</v>
      </c>
      <c r="C30" s="494" t="s">
        <v>706</v>
      </c>
      <c r="D30" s="461" t="s">
        <v>700</v>
      </c>
      <c r="E30" s="462">
        <v>0</v>
      </c>
      <c r="F30" s="497">
        <v>43</v>
      </c>
      <c r="G30" s="462"/>
      <c r="H30" s="494" t="s">
        <v>830</v>
      </c>
      <c r="I30" s="461"/>
      <c r="J30" s="494" t="s">
        <v>831</v>
      </c>
      <c r="K30" s="461">
        <f>L33+L32+L31+L30</f>
        <v>43</v>
      </c>
      <c r="L30" s="461">
        <v>21</v>
      </c>
      <c r="M30" s="461">
        <f>MIN(L30,1)</f>
        <v>1</v>
      </c>
      <c r="N30" s="461">
        <f>IF(L30&lt;10,L30-M30,9)</f>
        <v>9</v>
      </c>
      <c r="O30" s="461">
        <f>IF(L30&lt;60,L30-M30-N30,50)</f>
        <v>11</v>
      </c>
      <c r="P30" s="461">
        <f t="shared" si="0"/>
        <v>0</v>
      </c>
      <c r="Q30" s="462" t="s">
        <v>836</v>
      </c>
      <c r="R30" s="493">
        <v>0.68</v>
      </c>
      <c r="S30" s="462"/>
      <c r="T30" s="461"/>
      <c r="U30" s="461"/>
      <c r="V30" s="461"/>
      <c r="W30" s="461"/>
      <c r="X30" s="502">
        <v>1.7999999999999999E-2</v>
      </c>
      <c r="Y30" s="505">
        <v>1.4999999999999999E-2</v>
      </c>
      <c r="Z30" s="505">
        <v>1.2E-2</v>
      </c>
      <c r="AA30" s="506">
        <v>1.14E-2</v>
      </c>
      <c r="AB30" s="497">
        <v>1607649.12076923</v>
      </c>
      <c r="AC30" s="497">
        <f>R30*X30*AB30</f>
        <v>19677.625238215373</v>
      </c>
      <c r="AD30" s="497">
        <f>R30*Y30*AB30</f>
        <v>16398.021031846147</v>
      </c>
      <c r="AE30" s="497">
        <f>R30*Z30*AB30</f>
        <v>13118.416825476917</v>
      </c>
      <c r="AF30" s="497">
        <f>R30*AA30*AB30</f>
        <v>12462.495984203073</v>
      </c>
      <c r="AG30" s="461">
        <v>0</v>
      </c>
      <c r="AH30" s="497">
        <f>ROUND(AG30*AJ3,0)</f>
        <v>0</v>
      </c>
      <c r="AI30" s="461">
        <v>0</v>
      </c>
      <c r="AJ30" s="497">
        <f>ROUND(AI30*AJ3,0)</f>
        <v>0</v>
      </c>
      <c r="AK30" s="476">
        <v>0</v>
      </c>
      <c r="AL30" s="497">
        <f>(M30*AC30)+(N30*AD30)+(O30*AE30)+(P30*AF30)+AK30+AL31+AL32+AL33</f>
        <v>956872.75668184576</v>
      </c>
      <c r="AM30" s="462">
        <v>1</v>
      </c>
      <c r="AN30" s="497">
        <f>AL30*AM30</f>
        <v>956872.75668184576</v>
      </c>
      <c r="AO30" s="497">
        <f>(AN30/F30)+AH30+AJ30</f>
        <v>22252.854806554551</v>
      </c>
      <c r="AP30" s="72"/>
      <c r="AQ30" s="72"/>
    </row>
    <row r="31" spans="1:43" ht="27.6">
      <c r="A31" s="461"/>
      <c r="B31" s="461"/>
      <c r="C31" s="494"/>
      <c r="D31" s="461"/>
      <c r="E31" s="462">
        <v>0</v>
      </c>
      <c r="F31" s="497">
        <v>43</v>
      </c>
      <c r="G31" s="462"/>
      <c r="H31" s="494" t="s">
        <v>830</v>
      </c>
      <c r="I31" s="461"/>
      <c r="J31" s="494" t="s">
        <v>831</v>
      </c>
      <c r="K31" s="461"/>
      <c r="L31" s="461">
        <v>9</v>
      </c>
      <c r="M31" s="461">
        <f>IF(SUM(L30:L31)&lt;=1,L31,1-SUM(M30:M30))</f>
        <v>0</v>
      </c>
      <c r="N31" s="461">
        <f>IF(SUM(L30:L31)&lt;=10,L31-M31,9-SUM(N30:N30))</f>
        <v>0</v>
      </c>
      <c r="O31" s="461">
        <f>IF(SUM(L30:L31)&lt;=60,L31-M31-N31,50-SUM(O30:O30))</f>
        <v>9</v>
      </c>
      <c r="P31" s="461">
        <f t="shared" si="0"/>
        <v>0</v>
      </c>
      <c r="Q31" s="462" t="s">
        <v>833</v>
      </c>
      <c r="R31" s="461">
        <v>1.35</v>
      </c>
      <c r="S31" s="462"/>
      <c r="T31" s="461"/>
      <c r="U31" s="461"/>
      <c r="V31" s="461"/>
      <c r="W31" s="461"/>
      <c r="X31" s="502"/>
      <c r="Y31" s="505"/>
      <c r="Z31" s="505"/>
      <c r="AA31" s="506"/>
      <c r="AB31" s="497">
        <v>1607649.12076923</v>
      </c>
      <c r="AC31" s="497">
        <f>R31*X30*AB31</f>
        <v>39065.873634692289</v>
      </c>
      <c r="AD31" s="497">
        <f>R31*Y30*AB31</f>
        <v>32554.894695576906</v>
      </c>
      <c r="AE31" s="497">
        <f>R31*Z30*AB31</f>
        <v>26043.915756461531</v>
      </c>
      <c r="AF31" s="497">
        <f>R31*AA30*AB31</f>
        <v>24741.719968638452</v>
      </c>
      <c r="AG31" s="461"/>
      <c r="AH31" s="497"/>
      <c r="AI31" s="461"/>
      <c r="AJ31" s="497"/>
      <c r="AK31" s="476">
        <v>0</v>
      </c>
      <c r="AL31" s="497">
        <f t="shared" ref="AL31:AL34" si="7">(M31*AC31)+(N31*AD31)+(O31*AE31)+(P31*AF31)+AK31</f>
        <v>234395.24180815378</v>
      </c>
      <c r="AM31" s="462">
        <v>0</v>
      </c>
      <c r="AN31" s="497"/>
      <c r="AO31" s="497"/>
      <c r="AP31" s="72"/>
      <c r="AQ31" s="72"/>
    </row>
    <row r="32" spans="1:43" ht="27.6">
      <c r="A32" s="461"/>
      <c r="B32" s="461"/>
      <c r="C32" s="494"/>
      <c r="D32" s="461"/>
      <c r="E32" s="462">
        <v>0</v>
      </c>
      <c r="F32" s="497">
        <v>43</v>
      </c>
      <c r="G32" s="462"/>
      <c r="H32" s="494" t="s">
        <v>830</v>
      </c>
      <c r="I32" s="461"/>
      <c r="J32" s="494" t="s">
        <v>831</v>
      </c>
      <c r="K32" s="461"/>
      <c r="L32" s="461">
        <v>7</v>
      </c>
      <c r="M32" s="461">
        <f>IF(SUM(L30:L32)&lt;=1,L32,1-SUM(M30:M31))</f>
        <v>0</v>
      </c>
      <c r="N32" s="461">
        <f>IF(SUM(L30:L32)&lt;=10,L32-M32,9-SUM(N30:N31))</f>
        <v>0</v>
      </c>
      <c r="O32" s="461">
        <f>IF(SUM(L30:L32)&lt;=60,L32-M32-N32,50-SUM(O30:O31))</f>
        <v>7</v>
      </c>
      <c r="P32" s="461">
        <f t="shared" si="0"/>
        <v>0</v>
      </c>
      <c r="Q32" s="462" t="s">
        <v>834</v>
      </c>
      <c r="R32" s="461">
        <v>1.5</v>
      </c>
      <c r="S32" s="462"/>
      <c r="T32" s="461"/>
      <c r="U32" s="461"/>
      <c r="V32" s="461"/>
      <c r="W32" s="461"/>
      <c r="X32" s="502"/>
      <c r="Y32" s="505"/>
      <c r="Z32" s="505"/>
      <c r="AA32" s="506"/>
      <c r="AB32" s="497">
        <v>1607649.12076923</v>
      </c>
      <c r="AC32" s="497">
        <f>R32*X30*AB32</f>
        <v>43406.526260769206</v>
      </c>
      <c r="AD32" s="497">
        <f>R32*Y30*AB32</f>
        <v>36172.105217307675</v>
      </c>
      <c r="AE32" s="497">
        <f>R32*Z30*AB32</f>
        <v>28937.684173846141</v>
      </c>
      <c r="AF32" s="497">
        <f>R32*AA30*AB32</f>
        <v>27490.799965153834</v>
      </c>
      <c r="AG32" s="461"/>
      <c r="AH32" s="497"/>
      <c r="AI32" s="461"/>
      <c r="AJ32" s="497"/>
      <c r="AK32" s="476">
        <v>0</v>
      </c>
      <c r="AL32" s="497">
        <f t="shared" si="7"/>
        <v>202563.78921692297</v>
      </c>
      <c r="AM32" s="462">
        <v>0</v>
      </c>
      <c r="AN32" s="497"/>
      <c r="AO32" s="497"/>
      <c r="AP32" s="72"/>
      <c r="AQ32" s="72"/>
    </row>
    <row r="33" spans="1:43" ht="27.6">
      <c r="A33" s="461"/>
      <c r="B33" s="461"/>
      <c r="C33" s="494"/>
      <c r="D33" s="461"/>
      <c r="E33" s="462">
        <v>0</v>
      </c>
      <c r="F33" s="497">
        <v>43</v>
      </c>
      <c r="G33" s="462"/>
      <c r="H33" s="494" t="s">
        <v>830</v>
      </c>
      <c r="I33" s="461"/>
      <c r="J33" s="494" t="s">
        <v>831</v>
      </c>
      <c r="K33" s="461"/>
      <c r="L33" s="461">
        <v>6</v>
      </c>
      <c r="M33" s="461">
        <f>IF(SUM(L30:L33)&lt;=1,L33,1-SUM(M30:M32))</f>
        <v>0</v>
      </c>
      <c r="N33" s="461">
        <f>IF(SUM(L30:L33)&lt;=10,L33-M33,9-SUM(N30:N32))</f>
        <v>0</v>
      </c>
      <c r="O33" s="461">
        <f>IF(SUM(L30:L33)&lt;=60,L33-M33-N33,50-SUM(O30:O32))</f>
        <v>6</v>
      </c>
      <c r="P33" s="461">
        <f t="shared" si="0"/>
        <v>0</v>
      </c>
      <c r="Q33" s="462" t="s">
        <v>835</v>
      </c>
      <c r="R33" s="461">
        <v>1.8</v>
      </c>
      <c r="S33" s="462"/>
      <c r="T33" s="461"/>
      <c r="U33" s="461"/>
      <c r="V33" s="461"/>
      <c r="W33" s="461"/>
      <c r="X33" s="502"/>
      <c r="Y33" s="505"/>
      <c r="Z33" s="505"/>
      <c r="AA33" s="506"/>
      <c r="AB33" s="497">
        <v>1607649.12076923</v>
      </c>
      <c r="AC33" s="497">
        <f>R33*X30*AB33</f>
        <v>52087.831512923047</v>
      </c>
      <c r="AD33" s="497">
        <f>R33*Y30*AB33</f>
        <v>43406.526260769206</v>
      </c>
      <c r="AE33" s="497">
        <f>R33*Z30*AB33</f>
        <v>34725.221008615372</v>
      </c>
      <c r="AF33" s="497">
        <f>R33*AA30*AB33</f>
        <v>32988.959958184598</v>
      </c>
      <c r="AG33" s="461"/>
      <c r="AH33" s="497"/>
      <c r="AI33" s="461"/>
      <c r="AJ33" s="497"/>
      <c r="AK33" s="476">
        <v>0</v>
      </c>
      <c r="AL33" s="497">
        <f t="shared" si="7"/>
        <v>208351.32605169225</v>
      </c>
      <c r="AM33" s="462">
        <v>0</v>
      </c>
      <c r="AN33" s="497"/>
      <c r="AO33" s="497"/>
      <c r="AP33" s="72"/>
      <c r="AQ33" s="72"/>
    </row>
    <row r="34" spans="1:43" ht="27.6">
      <c r="A34" s="461">
        <v>8</v>
      </c>
      <c r="B34" s="672" t="s">
        <v>707</v>
      </c>
      <c r="C34" s="494" t="s">
        <v>708</v>
      </c>
      <c r="D34" s="461" t="s">
        <v>414</v>
      </c>
      <c r="E34" s="462">
        <v>0</v>
      </c>
      <c r="F34" s="497">
        <v>1</v>
      </c>
      <c r="G34" s="462"/>
      <c r="H34" s="494"/>
      <c r="I34" s="461"/>
      <c r="J34" s="494" t="s">
        <v>837</v>
      </c>
      <c r="K34" s="461">
        <f>L34</f>
        <v>0</v>
      </c>
      <c r="L34" s="461">
        <v>0</v>
      </c>
      <c r="M34" s="461">
        <f t="shared" ref="M34:M35" si="8">MIN(L34,1)</f>
        <v>0</v>
      </c>
      <c r="N34" s="461">
        <f t="shared" ref="N34:N35" si="9">IF(L34&lt;10,L34-M34,9)</f>
        <v>0</v>
      </c>
      <c r="O34" s="461">
        <f t="shared" ref="O34:O35" si="10">IF(L34&lt;60,L34-M34-N34,50)</f>
        <v>0</v>
      </c>
      <c r="P34" s="461">
        <f t="shared" si="0"/>
        <v>0</v>
      </c>
      <c r="Q34" s="462" t="s">
        <v>836</v>
      </c>
      <c r="R34" s="493">
        <v>0.68</v>
      </c>
      <c r="S34" s="462"/>
      <c r="T34" s="461"/>
      <c r="U34" s="461"/>
      <c r="V34" s="461"/>
      <c r="W34" s="461"/>
      <c r="X34" s="502">
        <v>0</v>
      </c>
      <c r="Y34" s="505">
        <v>0</v>
      </c>
      <c r="Z34" s="505">
        <v>0</v>
      </c>
      <c r="AA34" s="506">
        <v>0</v>
      </c>
      <c r="AB34" s="497">
        <v>1703586.24</v>
      </c>
      <c r="AC34" s="497">
        <f t="shared" ref="AC34:AC35" si="11">R34*X34*AB34</f>
        <v>0</v>
      </c>
      <c r="AD34" s="497">
        <f t="shared" ref="AD34:AD35" si="12">R34*Y34*AB34</f>
        <v>0</v>
      </c>
      <c r="AE34" s="497">
        <f t="shared" ref="AE34:AE35" si="13">R34*Z34*AB34</f>
        <v>0</v>
      </c>
      <c r="AF34" s="497">
        <f t="shared" ref="AF34:AF35" si="14">R34*AA34*AB34</f>
        <v>0</v>
      </c>
      <c r="AG34" s="461">
        <v>0</v>
      </c>
      <c r="AH34" s="497">
        <f>ROUND(AG34*AJ3,0)</f>
        <v>0</v>
      </c>
      <c r="AI34" s="461">
        <v>0</v>
      </c>
      <c r="AJ34" s="497">
        <f>ROUND(AI34*AJ3,0)</f>
        <v>0</v>
      </c>
      <c r="AK34" s="476">
        <v>0</v>
      </c>
      <c r="AL34" s="497">
        <f t="shared" si="7"/>
        <v>0</v>
      </c>
      <c r="AM34" s="462">
        <v>1</v>
      </c>
      <c r="AN34" s="497">
        <f t="shared" ref="AN34:AN35" si="15">AL34*AM34</f>
        <v>0</v>
      </c>
      <c r="AO34" s="497">
        <f t="shared" ref="AO34:AO35" si="16">(AN34/F34)+AH34+AJ34</f>
        <v>0</v>
      </c>
      <c r="AP34" s="72"/>
      <c r="AQ34" s="72"/>
    </row>
    <row r="35" spans="1:43" ht="27.6">
      <c r="A35" s="461">
        <v>9</v>
      </c>
      <c r="B35" s="672" t="s">
        <v>604</v>
      </c>
      <c r="C35" s="494" t="s">
        <v>709</v>
      </c>
      <c r="D35" s="461" t="s">
        <v>356</v>
      </c>
      <c r="E35" s="462">
        <v>0</v>
      </c>
      <c r="F35" s="497">
        <v>10</v>
      </c>
      <c r="G35" s="498" t="s">
        <v>838</v>
      </c>
      <c r="H35" s="494" t="s">
        <v>839</v>
      </c>
      <c r="I35" s="461"/>
      <c r="J35" s="494" t="s">
        <v>840</v>
      </c>
      <c r="K35" s="461">
        <f>L36+L35</f>
        <v>12</v>
      </c>
      <c r="L35" s="461">
        <v>6</v>
      </c>
      <c r="M35" s="461">
        <f t="shared" si="8"/>
        <v>1</v>
      </c>
      <c r="N35" s="461">
        <f t="shared" si="9"/>
        <v>5</v>
      </c>
      <c r="O35" s="461">
        <f t="shared" si="10"/>
        <v>0</v>
      </c>
      <c r="P35" s="461">
        <f t="shared" si="0"/>
        <v>0</v>
      </c>
      <c r="Q35" s="462" t="s">
        <v>834</v>
      </c>
      <c r="R35" s="461">
        <v>1.5</v>
      </c>
      <c r="S35" s="462"/>
      <c r="T35" s="461"/>
      <c r="U35" s="461"/>
      <c r="V35" s="461"/>
      <c r="W35" s="461"/>
      <c r="X35" s="502">
        <v>2.5999999999999999E-2</v>
      </c>
      <c r="Y35" s="505">
        <v>1.9E-2</v>
      </c>
      <c r="Z35" s="505">
        <v>1.2999999999999999E-2</v>
      </c>
      <c r="AA35" s="506">
        <v>1.235E-2</v>
      </c>
      <c r="AB35" s="497">
        <v>1929828.9442857101</v>
      </c>
      <c r="AC35" s="497">
        <f t="shared" si="11"/>
        <v>75263.328827142701</v>
      </c>
      <c r="AD35" s="497">
        <f t="shared" si="12"/>
        <v>55000.124912142732</v>
      </c>
      <c r="AE35" s="497">
        <f t="shared" si="13"/>
        <v>37631.66441357135</v>
      </c>
      <c r="AF35" s="497">
        <f t="shared" si="14"/>
        <v>35750.08119289278</v>
      </c>
      <c r="AG35" s="461">
        <v>0</v>
      </c>
      <c r="AH35" s="497">
        <f>ROUND(AG35*AJ3,0)</f>
        <v>0</v>
      </c>
      <c r="AI35" s="461">
        <v>0</v>
      </c>
      <c r="AJ35" s="497">
        <f>ROUND(AI35*AJ3,0)</f>
        <v>0</v>
      </c>
      <c r="AK35" s="476">
        <v>0</v>
      </c>
      <c r="AL35" s="497">
        <f>(M35*AC35)+(N35*AD35)+(O35*AE35)+(P35*AF35)+AK35+AL36</f>
        <v>704580.54755871277</v>
      </c>
      <c r="AM35" s="462">
        <v>1</v>
      </c>
      <c r="AN35" s="497">
        <f t="shared" si="15"/>
        <v>704580.54755871277</v>
      </c>
      <c r="AO35" s="497">
        <f t="shared" si="16"/>
        <v>70458.054755871271</v>
      </c>
      <c r="AP35" s="72"/>
      <c r="AQ35" s="72"/>
    </row>
    <row r="36" spans="1:43" ht="27.6">
      <c r="A36" s="461"/>
      <c r="B36" s="461"/>
      <c r="C36" s="494"/>
      <c r="D36" s="461"/>
      <c r="E36" s="462">
        <v>0</v>
      </c>
      <c r="F36" s="497">
        <v>10</v>
      </c>
      <c r="G36" s="462"/>
      <c r="H36" s="494" t="s">
        <v>839</v>
      </c>
      <c r="I36" s="461"/>
      <c r="J36" s="494" t="s">
        <v>840</v>
      </c>
      <c r="K36" s="461"/>
      <c r="L36" s="461">
        <v>6</v>
      </c>
      <c r="M36" s="461">
        <f>IF(SUM(L35:L36)&lt;=1,L36,1-SUM(M35:M35))</f>
        <v>0</v>
      </c>
      <c r="N36" s="461">
        <f>IF(SUM(L35:L36)&lt;=10,L36-M36,9-SUM(N35:N35))</f>
        <v>4</v>
      </c>
      <c r="O36" s="461">
        <f>IF(SUM(L35:L36)&lt;=60,L36-M36-N36,50-SUM(O35:O35))</f>
        <v>2</v>
      </c>
      <c r="P36" s="461">
        <f t="shared" si="0"/>
        <v>0</v>
      </c>
      <c r="Q36" s="462" t="s">
        <v>835</v>
      </c>
      <c r="R36" s="461">
        <v>1.8</v>
      </c>
      <c r="S36" s="462"/>
      <c r="T36" s="461"/>
      <c r="U36" s="461"/>
      <c r="V36" s="461"/>
      <c r="W36" s="461"/>
      <c r="X36" s="502"/>
      <c r="Y36" s="505"/>
      <c r="Z36" s="505"/>
      <c r="AA36" s="506"/>
      <c r="AB36" s="497">
        <v>1929828.9442857101</v>
      </c>
      <c r="AC36" s="497">
        <f>R36*X35*AB36</f>
        <v>90315.994592571238</v>
      </c>
      <c r="AD36" s="497">
        <f>R36*Y35*AB36</f>
        <v>66000.149894571281</v>
      </c>
      <c r="AE36" s="497">
        <f>R36*Z35*AB36</f>
        <v>45157.997296285619</v>
      </c>
      <c r="AF36" s="497">
        <f>R36*AA35*AB36</f>
        <v>42900.097431471338</v>
      </c>
      <c r="AG36" s="461"/>
      <c r="AH36" s="497"/>
      <c r="AI36" s="461"/>
      <c r="AJ36" s="497"/>
      <c r="AK36" s="476">
        <v>0</v>
      </c>
      <c r="AL36" s="497">
        <f>(M36*AC36)+(N36*AD36)+(O36*AE36)+(P36*AF36)+AK36</f>
        <v>354316.59417085635</v>
      </c>
      <c r="AM36" s="462">
        <v>0</v>
      </c>
      <c r="AN36" s="497"/>
      <c r="AO36" s="497"/>
      <c r="AP36" s="72"/>
      <c r="AQ36" s="72"/>
    </row>
    <row r="37" spans="1:43" ht="27.6">
      <c r="A37" s="461">
        <v>10</v>
      </c>
      <c r="B37" s="672" t="s">
        <v>654</v>
      </c>
      <c r="C37" s="494" t="s">
        <v>710</v>
      </c>
      <c r="D37" s="461" t="s">
        <v>356</v>
      </c>
      <c r="E37" s="462">
        <v>0</v>
      </c>
      <c r="F37" s="497">
        <v>10</v>
      </c>
      <c r="G37" s="498" t="s">
        <v>841</v>
      </c>
      <c r="H37" s="494" t="s">
        <v>842</v>
      </c>
      <c r="I37" s="461"/>
      <c r="J37" s="494" t="s">
        <v>840</v>
      </c>
      <c r="K37" s="461">
        <f>L39+L38+L37</f>
        <v>22</v>
      </c>
      <c r="L37" s="461">
        <v>9</v>
      </c>
      <c r="M37" s="461">
        <f>MIN(L37,1)</f>
        <v>1</v>
      </c>
      <c r="N37" s="461">
        <f>IF(L37&lt;10,L37-M37,9)</f>
        <v>8</v>
      </c>
      <c r="O37" s="461">
        <f>IF(L37&lt;60,L37-M37-N37,50)</f>
        <v>0</v>
      </c>
      <c r="P37" s="461">
        <f t="shared" si="0"/>
        <v>0</v>
      </c>
      <c r="Q37" s="462" t="s">
        <v>833</v>
      </c>
      <c r="R37" s="461">
        <v>1.35</v>
      </c>
      <c r="S37" s="462"/>
      <c r="T37" s="461"/>
      <c r="U37" s="461"/>
      <c r="V37" s="461"/>
      <c r="W37" s="461"/>
      <c r="X37" s="502">
        <v>0.02</v>
      </c>
      <c r="Y37" s="505">
        <v>1.4999999999999999E-2</v>
      </c>
      <c r="Z37" s="505">
        <v>0.01</v>
      </c>
      <c r="AA37" s="506">
        <v>9.4999999999999998E-3</v>
      </c>
      <c r="AB37" s="497">
        <v>1929828.9442857101</v>
      </c>
      <c r="AC37" s="497">
        <f>R37*X37*AB37</f>
        <v>52105.38149571418</v>
      </c>
      <c r="AD37" s="497">
        <f>R37*Y37*AB37</f>
        <v>39079.036121785633</v>
      </c>
      <c r="AE37" s="497">
        <f>R37*Z37*AB37</f>
        <v>26052.69074785709</v>
      </c>
      <c r="AF37" s="497">
        <f>R37*AA37*AB37</f>
        <v>24750.056210464234</v>
      </c>
      <c r="AG37" s="461">
        <v>0</v>
      </c>
      <c r="AH37" s="497">
        <f>ROUND(AG37*AJ3,0)</f>
        <v>0</v>
      </c>
      <c r="AI37" s="461">
        <v>0</v>
      </c>
      <c r="AJ37" s="497">
        <f>ROUND(AI37*AJ3,0)</f>
        <v>0</v>
      </c>
      <c r="AK37" s="476">
        <v>0</v>
      </c>
      <c r="AL37" s="497">
        <f>(M37*AC37)+(N37*AD37)+(O37*AE37)+(P37*AF37)+AK37+AL38+AL39</f>
        <v>790264.95268499828</v>
      </c>
      <c r="AM37" s="462">
        <v>1</v>
      </c>
      <c r="AN37" s="497">
        <f>AL37*AM37</f>
        <v>790264.95268499828</v>
      </c>
      <c r="AO37" s="497">
        <f>(AN37/F37)+AH37+AJ37</f>
        <v>79026.495268499828</v>
      </c>
      <c r="AP37" s="72"/>
      <c r="AQ37" s="72"/>
    </row>
    <row r="38" spans="1:43" ht="27.6">
      <c r="A38" s="461"/>
      <c r="B38" s="461"/>
      <c r="C38" s="494"/>
      <c r="D38" s="461"/>
      <c r="E38" s="462">
        <v>0</v>
      </c>
      <c r="F38" s="497">
        <v>10</v>
      </c>
      <c r="G38" s="462"/>
      <c r="H38" s="494" t="s">
        <v>842</v>
      </c>
      <c r="I38" s="461"/>
      <c r="J38" s="494" t="s">
        <v>840</v>
      </c>
      <c r="K38" s="461"/>
      <c r="L38" s="461">
        <v>7</v>
      </c>
      <c r="M38" s="461">
        <f>IF(SUM(L37:L38)&lt;=1,L38,1-SUM(M37:M37))</f>
        <v>0</v>
      </c>
      <c r="N38" s="461">
        <f>IF(SUM(L37:L38)&lt;=10,L38-M38,9-SUM(N37:N37))</f>
        <v>1</v>
      </c>
      <c r="O38" s="461">
        <f>IF(SUM(L37:L38)&lt;=60,L38-M38-N38,50-SUM(O37:O37))</f>
        <v>6</v>
      </c>
      <c r="P38" s="461">
        <f t="shared" si="0"/>
        <v>0</v>
      </c>
      <c r="Q38" s="462" t="s">
        <v>834</v>
      </c>
      <c r="R38" s="461">
        <v>1.5</v>
      </c>
      <c r="S38" s="462"/>
      <c r="T38" s="461"/>
      <c r="U38" s="461"/>
      <c r="V38" s="461"/>
      <c r="W38" s="461"/>
      <c r="X38" s="502"/>
      <c r="Y38" s="505"/>
      <c r="Z38" s="505"/>
      <c r="AA38" s="506"/>
      <c r="AB38" s="497">
        <v>1929828.9442857101</v>
      </c>
      <c r="AC38" s="497">
        <f>R38*X37*AB38</f>
        <v>57894.868328571298</v>
      </c>
      <c r="AD38" s="497">
        <f>R38*Y37*AB38</f>
        <v>43421.151246428475</v>
      </c>
      <c r="AE38" s="497">
        <f>R38*Z37*AB38</f>
        <v>28947.434164285649</v>
      </c>
      <c r="AF38" s="497">
        <f>R38*AA37*AB38</f>
        <v>27500.062456071366</v>
      </c>
      <c r="AG38" s="461"/>
      <c r="AH38" s="497"/>
      <c r="AI38" s="461"/>
      <c r="AJ38" s="497"/>
      <c r="AK38" s="476">
        <v>0</v>
      </c>
      <c r="AL38" s="497">
        <f t="shared" ref="AL38:AL39" si="17">(M38*AC38)+(N38*AD38)+(O38*AE38)+(P38*AF38)+AK38</f>
        <v>217105.75623214239</v>
      </c>
      <c r="AM38" s="462">
        <v>0</v>
      </c>
      <c r="AN38" s="497"/>
      <c r="AO38" s="497"/>
      <c r="AP38" s="72"/>
      <c r="AQ38" s="72"/>
    </row>
    <row r="39" spans="1:43" ht="27.6">
      <c r="A39" s="461"/>
      <c r="B39" s="461"/>
      <c r="C39" s="494"/>
      <c r="D39" s="461"/>
      <c r="E39" s="462">
        <v>0</v>
      </c>
      <c r="F39" s="497">
        <v>10</v>
      </c>
      <c r="G39" s="462"/>
      <c r="H39" s="494" t="s">
        <v>842</v>
      </c>
      <c r="I39" s="461"/>
      <c r="J39" s="494" t="s">
        <v>840</v>
      </c>
      <c r="K39" s="461"/>
      <c r="L39" s="461">
        <v>6</v>
      </c>
      <c r="M39" s="461">
        <f>IF(SUM(L37:L39)&lt;=1,L39,1-SUM(M37:M38))</f>
        <v>0</v>
      </c>
      <c r="N39" s="461">
        <f>IF(SUM(L37:L39)&lt;=10,L39-M39,9-SUM(N37:N38))</f>
        <v>0</v>
      </c>
      <c r="O39" s="461">
        <f>IF(SUM(L37:L39)&lt;=60,L39-M39-N39,50-SUM(O37:O38))</f>
        <v>6</v>
      </c>
      <c r="P39" s="461">
        <f t="shared" si="0"/>
        <v>0</v>
      </c>
      <c r="Q39" s="462" t="s">
        <v>835</v>
      </c>
      <c r="R39" s="461">
        <v>1.8</v>
      </c>
      <c r="S39" s="462"/>
      <c r="T39" s="461"/>
      <c r="U39" s="461"/>
      <c r="V39" s="461"/>
      <c r="W39" s="461"/>
      <c r="X39" s="502"/>
      <c r="Y39" s="505"/>
      <c r="Z39" s="505"/>
      <c r="AA39" s="506"/>
      <c r="AB39" s="497">
        <v>1929828.9442857101</v>
      </c>
      <c r="AC39" s="497">
        <f>R39*X37*AB39</f>
        <v>69473.841994285569</v>
      </c>
      <c r="AD39" s="497">
        <f>R39*Y37*AB39</f>
        <v>52105.381495714173</v>
      </c>
      <c r="AE39" s="497">
        <f>R39*Z37*AB39</f>
        <v>34736.920997142784</v>
      </c>
      <c r="AF39" s="497">
        <f>R39*AA37*AB39</f>
        <v>33000.074947285641</v>
      </c>
      <c r="AG39" s="461"/>
      <c r="AH39" s="497"/>
      <c r="AI39" s="461"/>
      <c r="AJ39" s="497"/>
      <c r="AK39" s="476">
        <v>0</v>
      </c>
      <c r="AL39" s="497">
        <f t="shared" si="17"/>
        <v>208421.52598285669</v>
      </c>
      <c r="AM39" s="462">
        <v>0</v>
      </c>
      <c r="AN39" s="497"/>
      <c r="AO39" s="497"/>
      <c r="AP39" s="72"/>
      <c r="AQ39" s="72"/>
    </row>
    <row r="40" spans="1:43" ht="27.6">
      <c r="A40" s="461">
        <v>11</v>
      </c>
      <c r="B40" s="672" t="s">
        <v>658</v>
      </c>
      <c r="C40" s="494" t="s">
        <v>711</v>
      </c>
      <c r="D40" s="461" t="s">
        <v>356</v>
      </c>
      <c r="E40" s="462">
        <v>0</v>
      </c>
      <c r="F40" s="497">
        <v>10</v>
      </c>
      <c r="G40" s="498" t="s">
        <v>841</v>
      </c>
      <c r="H40" s="494" t="s">
        <v>842</v>
      </c>
      <c r="I40" s="461"/>
      <c r="J40" s="494" t="s">
        <v>840</v>
      </c>
      <c r="K40" s="461">
        <f>L42+L41+L40</f>
        <v>22</v>
      </c>
      <c r="L40" s="461">
        <v>9</v>
      </c>
      <c r="M40" s="461">
        <f>MIN(L40,1)</f>
        <v>1</v>
      </c>
      <c r="N40" s="461">
        <f>IF(L40&lt;10,L40-M40,9)</f>
        <v>8</v>
      </c>
      <c r="O40" s="461">
        <f>IF(L40&lt;60,L40-M40-N40,50)</f>
        <v>0</v>
      </c>
      <c r="P40" s="461">
        <f t="shared" si="0"/>
        <v>0</v>
      </c>
      <c r="Q40" s="462" t="s">
        <v>833</v>
      </c>
      <c r="R40" s="461">
        <v>1.35</v>
      </c>
      <c r="S40" s="462"/>
      <c r="T40" s="461"/>
      <c r="U40" s="461"/>
      <c r="V40" s="461"/>
      <c r="W40" s="461"/>
      <c r="X40" s="502">
        <v>0.02</v>
      </c>
      <c r="Y40" s="505">
        <v>1.4999999999999999E-2</v>
      </c>
      <c r="Z40" s="505">
        <v>0.01</v>
      </c>
      <c r="AA40" s="506">
        <v>9.4999999999999998E-3</v>
      </c>
      <c r="AB40" s="497">
        <v>1929828.9442857101</v>
      </c>
      <c r="AC40" s="497">
        <f>R40*X40*AB40</f>
        <v>52105.38149571418</v>
      </c>
      <c r="AD40" s="497">
        <f>R40*Y40*AB40</f>
        <v>39079.036121785633</v>
      </c>
      <c r="AE40" s="497">
        <f>R40*Z40*AB40</f>
        <v>26052.69074785709</v>
      </c>
      <c r="AF40" s="497">
        <f>R40*AA40*AB40</f>
        <v>24750.056210464234</v>
      </c>
      <c r="AG40" s="461">
        <v>0</v>
      </c>
      <c r="AH40" s="497">
        <f>ROUND(AG40*AJ3,0)</f>
        <v>0</v>
      </c>
      <c r="AI40" s="461">
        <v>0</v>
      </c>
      <c r="AJ40" s="497">
        <f>ROUND(AI40*AJ3,0)</f>
        <v>0</v>
      </c>
      <c r="AK40" s="476">
        <v>0</v>
      </c>
      <c r="AL40" s="497">
        <f>(M40*AC40)+(N40*AD40)+(O40*AE40)+(P40*AF40)+AK40+AL41+AL42</f>
        <v>790264.95268499828</v>
      </c>
      <c r="AM40" s="462">
        <v>1</v>
      </c>
      <c r="AN40" s="497">
        <f>AL40*AM40</f>
        <v>790264.95268499828</v>
      </c>
      <c r="AO40" s="497">
        <f>(AN40/F40)+AH40+AJ40</f>
        <v>79026.495268499828</v>
      </c>
      <c r="AP40" s="72"/>
      <c r="AQ40" s="72"/>
    </row>
    <row r="41" spans="1:43" ht="27.6">
      <c r="A41" s="461"/>
      <c r="B41" s="461"/>
      <c r="C41" s="494"/>
      <c r="D41" s="461"/>
      <c r="E41" s="462">
        <v>0</v>
      </c>
      <c r="F41" s="497">
        <v>10</v>
      </c>
      <c r="G41" s="462"/>
      <c r="H41" s="494" t="s">
        <v>842</v>
      </c>
      <c r="I41" s="461"/>
      <c r="J41" s="494" t="s">
        <v>840</v>
      </c>
      <c r="K41" s="461"/>
      <c r="L41" s="461">
        <v>7</v>
      </c>
      <c r="M41" s="461">
        <f>IF(SUM(L40:L41)&lt;=1,L41,1-SUM(M40:M40))</f>
        <v>0</v>
      </c>
      <c r="N41" s="461">
        <f>IF(SUM(L40:L41)&lt;=10,L41-M41,9-SUM(N40:N40))</f>
        <v>1</v>
      </c>
      <c r="O41" s="461">
        <f>IF(SUM(L40:L41)&lt;=60,L41-M41-N41,50-SUM(O40:O40))</f>
        <v>6</v>
      </c>
      <c r="P41" s="461">
        <f t="shared" si="0"/>
        <v>0</v>
      </c>
      <c r="Q41" s="462" t="s">
        <v>834</v>
      </c>
      <c r="R41" s="461">
        <v>1.5</v>
      </c>
      <c r="S41" s="462"/>
      <c r="T41" s="461"/>
      <c r="U41" s="461"/>
      <c r="V41" s="461"/>
      <c r="W41" s="461"/>
      <c r="X41" s="502"/>
      <c r="Y41" s="505"/>
      <c r="Z41" s="505"/>
      <c r="AA41" s="506"/>
      <c r="AB41" s="497">
        <v>1929828.9442857101</v>
      </c>
      <c r="AC41" s="497">
        <f>R41*X40*AB41</f>
        <v>57894.868328571298</v>
      </c>
      <c r="AD41" s="497">
        <f>R41*Y40*AB41</f>
        <v>43421.151246428475</v>
      </c>
      <c r="AE41" s="497">
        <f>R41*Z40*AB41</f>
        <v>28947.434164285649</v>
      </c>
      <c r="AF41" s="497">
        <f>R41*AA40*AB41</f>
        <v>27500.062456071366</v>
      </c>
      <c r="AG41" s="461"/>
      <c r="AH41" s="497"/>
      <c r="AI41" s="461"/>
      <c r="AJ41" s="497"/>
      <c r="AK41" s="476">
        <v>0</v>
      </c>
      <c r="AL41" s="497">
        <f t="shared" ref="AL41:AL42" si="18">(M41*AC41)+(N41*AD41)+(O41*AE41)+(P41*AF41)+AK41</f>
        <v>217105.75623214239</v>
      </c>
      <c r="AM41" s="462">
        <v>0</v>
      </c>
      <c r="AN41" s="497"/>
      <c r="AO41" s="497"/>
      <c r="AP41" s="72"/>
      <c r="AQ41" s="72"/>
    </row>
    <row r="42" spans="1:43" ht="27.6">
      <c r="A42" s="461"/>
      <c r="B42" s="461"/>
      <c r="C42" s="494"/>
      <c r="D42" s="461"/>
      <c r="E42" s="462">
        <v>0</v>
      </c>
      <c r="F42" s="497">
        <v>10</v>
      </c>
      <c r="G42" s="462"/>
      <c r="H42" s="494" t="s">
        <v>842</v>
      </c>
      <c r="I42" s="461"/>
      <c r="J42" s="494" t="s">
        <v>840</v>
      </c>
      <c r="K42" s="461"/>
      <c r="L42" s="461">
        <v>6</v>
      </c>
      <c r="M42" s="461">
        <f>IF(SUM(L40:L42)&lt;=1,L42,1-SUM(M40:M41))</f>
        <v>0</v>
      </c>
      <c r="N42" s="461">
        <f>IF(SUM(L40:L42)&lt;=10,L42-M42,9-SUM(N40:N41))</f>
        <v>0</v>
      </c>
      <c r="O42" s="461">
        <f>IF(SUM(L40:L42)&lt;=60,L42-M42-N42,50-SUM(O40:O41))</f>
        <v>6</v>
      </c>
      <c r="P42" s="461">
        <f t="shared" si="0"/>
        <v>0</v>
      </c>
      <c r="Q42" s="462" t="s">
        <v>835</v>
      </c>
      <c r="R42" s="461">
        <v>1.8</v>
      </c>
      <c r="S42" s="462"/>
      <c r="T42" s="461"/>
      <c r="U42" s="461"/>
      <c r="V42" s="461"/>
      <c r="W42" s="461"/>
      <c r="X42" s="502"/>
      <c r="Y42" s="505"/>
      <c r="Z42" s="505"/>
      <c r="AA42" s="506"/>
      <c r="AB42" s="497">
        <v>1929828.9442857101</v>
      </c>
      <c r="AC42" s="497">
        <f>R42*X40*AB42</f>
        <v>69473.841994285569</v>
      </c>
      <c r="AD42" s="497">
        <f>R42*Y40*AB42</f>
        <v>52105.381495714173</v>
      </c>
      <c r="AE42" s="497">
        <f>R42*Z40*AB42</f>
        <v>34736.920997142784</v>
      </c>
      <c r="AF42" s="497">
        <f>R42*AA40*AB42</f>
        <v>33000.074947285641</v>
      </c>
      <c r="AG42" s="461"/>
      <c r="AH42" s="497"/>
      <c r="AI42" s="461"/>
      <c r="AJ42" s="497"/>
      <c r="AK42" s="476">
        <v>0</v>
      </c>
      <c r="AL42" s="497">
        <f t="shared" si="18"/>
        <v>208421.52598285669</v>
      </c>
      <c r="AM42" s="462">
        <v>0</v>
      </c>
      <c r="AN42" s="497"/>
      <c r="AO42" s="497"/>
      <c r="AP42" s="72"/>
      <c r="AQ42" s="72"/>
    </row>
    <row r="43" spans="1:43" ht="27.6">
      <c r="A43" s="461">
        <v>12</v>
      </c>
      <c r="B43" s="672" t="s">
        <v>656</v>
      </c>
      <c r="C43" s="494" t="s">
        <v>712</v>
      </c>
      <c r="D43" s="461" t="s">
        <v>356</v>
      </c>
      <c r="E43" s="462">
        <v>0</v>
      </c>
      <c r="F43" s="497">
        <v>10</v>
      </c>
      <c r="G43" s="498" t="s">
        <v>841</v>
      </c>
      <c r="H43" s="494" t="s">
        <v>842</v>
      </c>
      <c r="I43" s="461"/>
      <c r="J43" s="494" t="s">
        <v>840</v>
      </c>
      <c r="K43" s="461">
        <f>L45+L44+L43</f>
        <v>22</v>
      </c>
      <c r="L43" s="461">
        <v>9</v>
      </c>
      <c r="M43" s="461">
        <f>MIN(L43,1)</f>
        <v>1</v>
      </c>
      <c r="N43" s="461">
        <f>IF(L43&lt;10,L43-M43,9)</f>
        <v>8</v>
      </c>
      <c r="O43" s="461">
        <f>IF(L43&lt;60,L43-M43-N43,50)</f>
        <v>0</v>
      </c>
      <c r="P43" s="461">
        <f t="shared" si="0"/>
        <v>0</v>
      </c>
      <c r="Q43" s="462" t="s">
        <v>833</v>
      </c>
      <c r="R43" s="461">
        <v>1.35</v>
      </c>
      <c r="S43" s="462"/>
      <c r="T43" s="461"/>
      <c r="U43" s="461"/>
      <c r="V43" s="461"/>
      <c r="W43" s="461"/>
      <c r="X43" s="502">
        <v>0.02</v>
      </c>
      <c r="Y43" s="505">
        <v>1.4999999999999999E-2</v>
      </c>
      <c r="Z43" s="505">
        <v>0.01</v>
      </c>
      <c r="AA43" s="506">
        <v>9.4999999999999998E-3</v>
      </c>
      <c r="AB43" s="497">
        <v>1929828.9442857101</v>
      </c>
      <c r="AC43" s="497">
        <f>R43*X43*AB43</f>
        <v>52105.38149571418</v>
      </c>
      <c r="AD43" s="497">
        <f>R43*Y43*AB43</f>
        <v>39079.036121785633</v>
      </c>
      <c r="AE43" s="497">
        <f>R43*Z43*AB43</f>
        <v>26052.69074785709</v>
      </c>
      <c r="AF43" s="497">
        <f>R43*AA43*AB43</f>
        <v>24750.056210464234</v>
      </c>
      <c r="AG43" s="461">
        <v>0</v>
      </c>
      <c r="AH43" s="497">
        <f>ROUND(AG43*AJ3,0)</f>
        <v>0</v>
      </c>
      <c r="AI43" s="461">
        <v>0</v>
      </c>
      <c r="AJ43" s="497">
        <f>ROUND(AI43*AJ3,0)</f>
        <v>0</v>
      </c>
      <c r="AK43" s="476">
        <v>0</v>
      </c>
      <c r="AL43" s="497">
        <f>(M43*AC43)+(N43*AD43)+(O43*AE43)+(P43*AF43)+AK43+AL44+AL45</f>
        <v>790264.95268499828</v>
      </c>
      <c r="AM43" s="462">
        <v>1</v>
      </c>
      <c r="AN43" s="497">
        <f>AL43*AM43</f>
        <v>790264.95268499828</v>
      </c>
      <c r="AO43" s="497">
        <f>(AN43/F43)+AH43+AJ43</f>
        <v>79026.495268499828</v>
      </c>
      <c r="AP43" s="72"/>
      <c r="AQ43" s="72"/>
    </row>
    <row r="44" spans="1:43" ht="27.6">
      <c r="A44" s="461"/>
      <c r="B44" s="461"/>
      <c r="C44" s="494"/>
      <c r="D44" s="461"/>
      <c r="E44" s="462">
        <v>0</v>
      </c>
      <c r="F44" s="497">
        <v>10</v>
      </c>
      <c r="G44" s="462"/>
      <c r="H44" s="494" t="s">
        <v>842</v>
      </c>
      <c r="I44" s="461"/>
      <c r="J44" s="494" t="s">
        <v>840</v>
      </c>
      <c r="K44" s="461"/>
      <c r="L44" s="461">
        <v>7</v>
      </c>
      <c r="M44" s="461">
        <f>IF(SUM(L43:L44)&lt;=1,L44,1-SUM(M43:M43))</f>
        <v>0</v>
      </c>
      <c r="N44" s="461">
        <f>IF(SUM(L43:L44)&lt;=10,L44-M44,9-SUM(N43:N43))</f>
        <v>1</v>
      </c>
      <c r="O44" s="461">
        <f>IF(SUM(L43:L44)&lt;=60,L44-M44-N44,50-SUM(O43:O43))</f>
        <v>6</v>
      </c>
      <c r="P44" s="461">
        <f t="shared" si="0"/>
        <v>0</v>
      </c>
      <c r="Q44" s="462" t="s">
        <v>834</v>
      </c>
      <c r="R44" s="461">
        <v>1.5</v>
      </c>
      <c r="S44" s="462"/>
      <c r="T44" s="461"/>
      <c r="U44" s="461"/>
      <c r="V44" s="461"/>
      <c r="W44" s="461"/>
      <c r="X44" s="502"/>
      <c r="Y44" s="505"/>
      <c r="Z44" s="505"/>
      <c r="AA44" s="506"/>
      <c r="AB44" s="497">
        <v>1929828.9442857101</v>
      </c>
      <c r="AC44" s="497">
        <f>R44*X43*AB44</f>
        <v>57894.868328571298</v>
      </c>
      <c r="AD44" s="497">
        <f>R44*Y43*AB44</f>
        <v>43421.151246428475</v>
      </c>
      <c r="AE44" s="497">
        <f>R44*Z43*AB44</f>
        <v>28947.434164285649</v>
      </c>
      <c r="AF44" s="497">
        <f>R44*AA43*AB44</f>
        <v>27500.062456071366</v>
      </c>
      <c r="AG44" s="461"/>
      <c r="AH44" s="497"/>
      <c r="AI44" s="461"/>
      <c r="AJ44" s="497"/>
      <c r="AK44" s="476">
        <v>0</v>
      </c>
      <c r="AL44" s="497">
        <f t="shared" ref="AL44:AL45" si="19">(M44*AC44)+(N44*AD44)+(O44*AE44)+(P44*AF44)+AK44</f>
        <v>217105.75623214239</v>
      </c>
      <c r="AM44" s="462">
        <v>0</v>
      </c>
      <c r="AN44" s="497"/>
      <c r="AO44" s="497"/>
      <c r="AP44" s="72"/>
      <c r="AQ44" s="72"/>
    </row>
    <row r="45" spans="1:43" ht="27.6">
      <c r="A45" s="461"/>
      <c r="B45" s="461"/>
      <c r="C45" s="494"/>
      <c r="D45" s="461"/>
      <c r="E45" s="462">
        <v>0</v>
      </c>
      <c r="F45" s="497">
        <v>10</v>
      </c>
      <c r="G45" s="462"/>
      <c r="H45" s="494" t="s">
        <v>842</v>
      </c>
      <c r="I45" s="461"/>
      <c r="J45" s="494" t="s">
        <v>840</v>
      </c>
      <c r="K45" s="461"/>
      <c r="L45" s="461">
        <v>6</v>
      </c>
      <c r="M45" s="461">
        <f>IF(SUM(L43:L45)&lt;=1,L45,1-SUM(M43:M44))</f>
        <v>0</v>
      </c>
      <c r="N45" s="461">
        <f>IF(SUM(L43:L45)&lt;=10,L45-M45,9-SUM(N43:N44))</f>
        <v>0</v>
      </c>
      <c r="O45" s="461">
        <f>IF(SUM(L43:L45)&lt;=60,L45-M45-N45,50-SUM(O43:O44))</f>
        <v>6</v>
      </c>
      <c r="P45" s="461">
        <f t="shared" si="0"/>
        <v>0</v>
      </c>
      <c r="Q45" s="462" t="s">
        <v>835</v>
      </c>
      <c r="R45" s="461">
        <v>1.8</v>
      </c>
      <c r="S45" s="462"/>
      <c r="T45" s="461"/>
      <c r="U45" s="461"/>
      <c r="V45" s="461"/>
      <c r="W45" s="461"/>
      <c r="X45" s="502"/>
      <c r="Y45" s="505"/>
      <c r="Z45" s="505"/>
      <c r="AA45" s="506"/>
      <c r="AB45" s="497">
        <v>1929828.9442857101</v>
      </c>
      <c r="AC45" s="497">
        <f>R45*X43*AB45</f>
        <v>69473.841994285569</v>
      </c>
      <c r="AD45" s="497">
        <f>R45*Y43*AB45</f>
        <v>52105.381495714173</v>
      </c>
      <c r="AE45" s="497">
        <f>R45*Z43*AB45</f>
        <v>34736.920997142784</v>
      </c>
      <c r="AF45" s="497">
        <f>R45*AA43*AB45</f>
        <v>33000.074947285641</v>
      </c>
      <c r="AG45" s="461"/>
      <c r="AH45" s="497"/>
      <c r="AI45" s="461"/>
      <c r="AJ45" s="497"/>
      <c r="AK45" s="476">
        <v>0</v>
      </c>
      <c r="AL45" s="497">
        <f t="shared" si="19"/>
        <v>208421.52598285669</v>
      </c>
      <c r="AM45" s="462">
        <v>0</v>
      </c>
      <c r="AN45" s="497"/>
      <c r="AO45" s="497"/>
      <c r="AP45" s="72"/>
      <c r="AQ45" s="72"/>
    </row>
    <row r="46" spans="1:43" ht="27.6">
      <c r="A46" s="461">
        <v>13</v>
      </c>
      <c r="B46" s="672" t="s">
        <v>615</v>
      </c>
      <c r="C46" s="494" t="s">
        <v>713</v>
      </c>
      <c r="D46" s="461" t="s">
        <v>356</v>
      </c>
      <c r="E46" s="462">
        <v>0</v>
      </c>
      <c r="F46" s="497">
        <v>10</v>
      </c>
      <c r="G46" s="498" t="s">
        <v>841</v>
      </c>
      <c r="H46" s="494" t="s">
        <v>842</v>
      </c>
      <c r="I46" s="461"/>
      <c r="J46" s="494" t="s">
        <v>840</v>
      </c>
      <c r="K46" s="461">
        <f>L48+L47+L46</f>
        <v>22</v>
      </c>
      <c r="L46" s="461">
        <v>9</v>
      </c>
      <c r="M46" s="461">
        <f>MIN(L46,1)</f>
        <v>1</v>
      </c>
      <c r="N46" s="461">
        <f>IF(L46&lt;10,L46-M46,9)</f>
        <v>8</v>
      </c>
      <c r="O46" s="461">
        <f>IF(L46&lt;60,L46-M46-N46,50)</f>
        <v>0</v>
      </c>
      <c r="P46" s="461">
        <f t="shared" si="0"/>
        <v>0</v>
      </c>
      <c r="Q46" s="462" t="s">
        <v>833</v>
      </c>
      <c r="R46" s="461">
        <v>1.35</v>
      </c>
      <c r="S46" s="462"/>
      <c r="T46" s="461"/>
      <c r="U46" s="461"/>
      <c r="V46" s="461"/>
      <c r="W46" s="461"/>
      <c r="X46" s="502">
        <v>0.02</v>
      </c>
      <c r="Y46" s="505">
        <v>1.4999999999999999E-2</v>
      </c>
      <c r="Z46" s="505">
        <v>0.01</v>
      </c>
      <c r="AA46" s="506">
        <v>9.4999999999999998E-3</v>
      </c>
      <c r="AB46" s="497">
        <v>1929828.9442857101</v>
      </c>
      <c r="AC46" s="497">
        <f>R46*X46*AB46</f>
        <v>52105.38149571418</v>
      </c>
      <c r="AD46" s="497">
        <f>R46*Y46*AB46</f>
        <v>39079.036121785633</v>
      </c>
      <c r="AE46" s="497">
        <f>R46*Z46*AB46</f>
        <v>26052.69074785709</v>
      </c>
      <c r="AF46" s="497">
        <f>R46*AA46*AB46</f>
        <v>24750.056210464234</v>
      </c>
      <c r="AG46" s="461">
        <v>0</v>
      </c>
      <c r="AH46" s="497">
        <f>ROUND(AG46*AJ3,0)</f>
        <v>0</v>
      </c>
      <c r="AI46" s="461">
        <v>0</v>
      </c>
      <c r="AJ46" s="497">
        <f>ROUND(AI46*AJ3,0)</f>
        <v>0</v>
      </c>
      <c r="AK46" s="476">
        <v>0</v>
      </c>
      <c r="AL46" s="497">
        <f>(M46*AC46)+(N46*AD46)+(O46*AE46)+(P46*AF46)+AK46+AL47+AL48</f>
        <v>790264.95268499828</v>
      </c>
      <c r="AM46" s="462">
        <v>1</v>
      </c>
      <c r="AN46" s="497">
        <f>AL46*AM46</f>
        <v>790264.95268499828</v>
      </c>
      <c r="AO46" s="497">
        <f>(AN46/F46)+AH46+AJ46</f>
        <v>79026.495268499828</v>
      </c>
      <c r="AP46" s="72"/>
      <c r="AQ46" s="72"/>
    </row>
    <row r="47" spans="1:43" ht="27.6">
      <c r="A47" s="461"/>
      <c r="B47" s="461"/>
      <c r="C47" s="494"/>
      <c r="D47" s="461"/>
      <c r="E47" s="462">
        <v>0</v>
      </c>
      <c r="F47" s="497">
        <v>10</v>
      </c>
      <c r="G47" s="462"/>
      <c r="H47" s="494" t="s">
        <v>842</v>
      </c>
      <c r="I47" s="461"/>
      <c r="J47" s="494" t="s">
        <v>840</v>
      </c>
      <c r="K47" s="461"/>
      <c r="L47" s="461">
        <v>7</v>
      </c>
      <c r="M47" s="461">
        <f>IF(SUM(L46:L47)&lt;=1,L47,1-SUM(M46:M46))</f>
        <v>0</v>
      </c>
      <c r="N47" s="461">
        <f>IF(SUM(L46:L47)&lt;=10,L47-M47,9-SUM(N46:N46))</f>
        <v>1</v>
      </c>
      <c r="O47" s="461">
        <f>IF(SUM(L46:L47)&lt;=60,L47-M47-N47,50-SUM(O46:O46))</f>
        <v>6</v>
      </c>
      <c r="P47" s="461">
        <f t="shared" si="0"/>
        <v>0</v>
      </c>
      <c r="Q47" s="462" t="s">
        <v>834</v>
      </c>
      <c r="R47" s="461">
        <v>1.5</v>
      </c>
      <c r="S47" s="462"/>
      <c r="T47" s="461"/>
      <c r="U47" s="461"/>
      <c r="V47" s="461"/>
      <c r="W47" s="461"/>
      <c r="X47" s="502"/>
      <c r="Y47" s="505"/>
      <c r="Z47" s="505"/>
      <c r="AA47" s="506"/>
      <c r="AB47" s="497">
        <v>1929828.9442857101</v>
      </c>
      <c r="AC47" s="497">
        <f>R47*X46*AB47</f>
        <v>57894.868328571298</v>
      </c>
      <c r="AD47" s="497">
        <f>R47*Y46*AB47</f>
        <v>43421.151246428475</v>
      </c>
      <c r="AE47" s="497">
        <f>R47*Z46*AB47</f>
        <v>28947.434164285649</v>
      </c>
      <c r="AF47" s="497">
        <f>R47*AA46*AB47</f>
        <v>27500.062456071366</v>
      </c>
      <c r="AG47" s="461"/>
      <c r="AH47" s="497"/>
      <c r="AI47" s="461"/>
      <c r="AJ47" s="497"/>
      <c r="AK47" s="476">
        <v>0</v>
      </c>
      <c r="AL47" s="497">
        <f t="shared" ref="AL47:AL48" si="20">(M47*AC47)+(N47*AD47)+(O47*AE47)+(P47*AF47)+AK47</f>
        <v>217105.75623214239</v>
      </c>
      <c r="AM47" s="462">
        <v>0</v>
      </c>
      <c r="AN47" s="497"/>
      <c r="AO47" s="497"/>
      <c r="AP47" s="72"/>
      <c r="AQ47" s="72"/>
    </row>
    <row r="48" spans="1:43" ht="27.6">
      <c r="A48" s="461"/>
      <c r="B48" s="461"/>
      <c r="C48" s="494"/>
      <c r="D48" s="461"/>
      <c r="E48" s="462">
        <v>0</v>
      </c>
      <c r="F48" s="497">
        <v>10</v>
      </c>
      <c r="G48" s="462"/>
      <c r="H48" s="494" t="s">
        <v>842</v>
      </c>
      <c r="I48" s="461"/>
      <c r="J48" s="494" t="s">
        <v>840</v>
      </c>
      <c r="K48" s="461"/>
      <c r="L48" s="461">
        <v>6</v>
      </c>
      <c r="M48" s="461">
        <f>IF(SUM(L46:L48)&lt;=1,L48,1-SUM(M46:M47))</f>
        <v>0</v>
      </c>
      <c r="N48" s="461">
        <f>IF(SUM(L46:L48)&lt;=10,L48-M48,9-SUM(N46:N47))</f>
        <v>0</v>
      </c>
      <c r="O48" s="461">
        <f>IF(SUM(L46:L48)&lt;=60,L48-M48-N48,50-SUM(O46:O47))</f>
        <v>6</v>
      </c>
      <c r="P48" s="461">
        <f t="shared" si="0"/>
        <v>0</v>
      </c>
      <c r="Q48" s="462" t="s">
        <v>835</v>
      </c>
      <c r="R48" s="461">
        <v>1.8</v>
      </c>
      <c r="S48" s="462"/>
      <c r="T48" s="461"/>
      <c r="U48" s="461"/>
      <c r="V48" s="461"/>
      <c r="W48" s="461"/>
      <c r="X48" s="502"/>
      <c r="Y48" s="505"/>
      <c r="Z48" s="505"/>
      <c r="AA48" s="506"/>
      <c r="AB48" s="497">
        <v>1929828.9442857101</v>
      </c>
      <c r="AC48" s="497">
        <f>R48*X46*AB48</f>
        <v>69473.841994285569</v>
      </c>
      <c r="AD48" s="497">
        <f>R48*Y46*AB48</f>
        <v>52105.381495714173</v>
      </c>
      <c r="AE48" s="497">
        <f>R48*Z46*AB48</f>
        <v>34736.920997142784</v>
      </c>
      <c r="AF48" s="497">
        <f>R48*AA46*AB48</f>
        <v>33000.074947285641</v>
      </c>
      <c r="AG48" s="461"/>
      <c r="AH48" s="497"/>
      <c r="AI48" s="461"/>
      <c r="AJ48" s="497"/>
      <c r="AK48" s="476">
        <v>0</v>
      </c>
      <c r="AL48" s="497">
        <f t="shared" si="20"/>
        <v>208421.52598285669</v>
      </c>
      <c r="AM48" s="462">
        <v>0</v>
      </c>
      <c r="AN48" s="497"/>
      <c r="AO48" s="497"/>
      <c r="AP48" s="72"/>
      <c r="AQ48" s="72"/>
    </row>
    <row r="49" spans="1:43" ht="27.6">
      <c r="A49" s="461">
        <v>14</v>
      </c>
      <c r="B49" s="672" t="s">
        <v>659</v>
      </c>
      <c r="C49" s="494" t="s">
        <v>714</v>
      </c>
      <c r="D49" s="461" t="s">
        <v>356</v>
      </c>
      <c r="E49" s="462">
        <v>0</v>
      </c>
      <c r="F49" s="497">
        <v>10</v>
      </c>
      <c r="G49" s="498" t="s">
        <v>838</v>
      </c>
      <c r="H49" s="494" t="s">
        <v>839</v>
      </c>
      <c r="I49" s="461"/>
      <c r="J49" s="494" t="s">
        <v>840</v>
      </c>
      <c r="K49" s="461">
        <f>L50+L49</f>
        <v>12</v>
      </c>
      <c r="L49" s="461">
        <v>6</v>
      </c>
      <c r="M49" s="461">
        <f>MIN(L49,1)</f>
        <v>1</v>
      </c>
      <c r="N49" s="461">
        <f>IF(L49&lt;10,L49-M49,9)</f>
        <v>5</v>
      </c>
      <c r="O49" s="461">
        <f>IF(L49&lt;60,L49-M49-N49,50)</f>
        <v>0</v>
      </c>
      <c r="P49" s="461">
        <f t="shared" si="0"/>
        <v>0</v>
      </c>
      <c r="Q49" s="462" t="s">
        <v>834</v>
      </c>
      <c r="R49" s="461">
        <v>1.5</v>
      </c>
      <c r="S49" s="462"/>
      <c r="T49" s="461"/>
      <c r="U49" s="461"/>
      <c r="V49" s="461"/>
      <c r="W49" s="461"/>
      <c r="X49" s="502">
        <v>2.5999999999999999E-2</v>
      </c>
      <c r="Y49" s="505">
        <v>1.9E-2</v>
      </c>
      <c r="Z49" s="505">
        <v>1.2999999999999999E-2</v>
      </c>
      <c r="AA49" s="506">
        <v>1.235E-2</v>
      </c>
      <c r="AB49" s="497">
        <v>1929828.9442857101</v>
      </c>
      <c r="AC49" s="497">
        <f>R49*X49*AB49</f>
        <v>75263.328827142701</v>
      </c>
      <c r="AD49" s="497">
        <f>R49*Y49*AB49</f>
        <v>55000.124912142732</v>
      </c>
      <c r="AE49" s="497">
        <f>R49*Z49*AB49</f>
        <v>37631.66441357135</v>
      </c>
      <c r="AF49" s="497">
        <f>R49*AA49*AB49</f>
        <v>35750.08119289278</v>
      </c>
      <c r="AG49" s="461">
        <v>0</v>
      </c>
      <c r="AH49" s="497">
        <f>ROUND(AG49*AJ3,0)</f>
        <v>0</v>
      </c>
      <c r="AI49" s="461">
        <v>0</v>
      </c>
      <c r="AJ49" s="497">
        <f>ROUND(AI49*AJ3,0)</f>
        <v>0</v>
      </c>
      <c r="AK49" s="476">
        <v>0</v>
      </c>
      <c r="AL49" s="497">
        <f>(M49*AC49)+(N49*AD49)+(O49*AE49)+(P49*AF49)+AK49+AL50</f>
        <v>704580.54755871277</v>
      </c>
      <c r="AM49" s="462">
        <v>1</v>
      </c>
      <c r="AN49" s="497">
        <f>AL49*AM49</f>
        <v>704580.54755871277</v>
      </c>
      <c r="AO49" s="497">
        <f>(AN49/F49)+AH49+AJ49</f>
        <v>70458.054755871271</v>
      </c>
      <c r="AP49" s="72"/>
      <c r="AQ49" s="72"/>
    </row>
    <row r="50" spans="1:43" ht="27.6">
      <c r="A50" s="461"/>
      <c r="B50" s="461"/>
      <c r="C50" s="494"/>
      <c r="D50" s="461"/>
      <c r="E50" s="462">
        <v>0</v>
      </c>
      <c r="F50" s="497">
        <v>10</v>
      </c>
      <c r="G50" s="462"/>
      <c r="H50" s="494" t="s">
        <v>839</v>
      </c>
      <c r="I50" s="461"/>
      <c r="J50" s="494" t="s">
        <v>840</v>
      </c>
      <c r="K50" s="461"/>
      <c r="L50" s="461">
        <v>6</v>
      </c>
      <c r="M50" s="461">
        <f>IF(SUM(L49:L50)&lt;=1,L50,1-SUM(M49:M49))</f>
        <v>0</v>
      </c>
      <c r="N50" s="461">
        <f>IF(SUM(L49:L50)&lt;=10,L50-M50,9-SUM(N49:N49))</f>
        <v>4</v>
      </c>
      <c r="O50" s="461">
        <f>IF(SUM(L49:L50)&lt;=60,L50-M50-N50,50-SUM(O49:O49))</f>
        <v>2</v>
      </c>
      <c r="P50" s="461">
        <f t="shared" si="0"/>
        <v>0</v>
      </c>
      <c r="Q50" s="462" t="s">
        <v>835</v>
      </c>
      <c r="R50" s="461">
        <v>1.8</v>
      </c>
      <c r="S50" s="462"/>
      <c r="T50" s="461"/>
      <c r="U50" s="461"/>
      <c r="V50" s="461"/>
      <c r="W50" s="461"/>
      <c r="X50" s="502"/>
      <c r="Y50" s="505"/>
      <c r="Z50" s="505"/>
      <c r="AA50" s="506"/>
      <c r="AB50" s="497">
        <v>1929828.9442857101</v>
      </c>
      <c r="AC50" s="497">
        <f>R50*X49*AB50</f>
        <v>90315.994592571238</v>
      </c>
      <c r="AD50" s="497">
        <f>R50*Y49*AB50</f>
        <v>66000.149894571281</v>
      </c>
      <c r="AE50" s="497">
        <f>R50*Z49*AB50</f>
        <v>45157.997296285619</v>
      </c>
      <c r="AF50" s="497">
        <f>R50*AA49*AB50</f>
        <v>42900.097431471338</v>
      </c>
      <c r="AG50" s="461"/>
      <c r="AH50" s="497"/>
      <c r="AI50" s="461"/>
      <c r="AJ50" s="497"/>
      <c r="AK50" s="476">
        <v>0</v>
      </c>
      <c r="AL50" s="497">
        <f>(M50*AC50)+(N50*AD50)+(O50*AE50)+(P50*AF50)+AK50</f>
        <v>354316.59417085635</v>
      </c>
      <c r="AM50" s="462">
        <v>0</v>
      </c>
      <c r="AN50" s="497"/>
      <c r="AO50" s="497"/>
      <c r="AP50" s="72"/>
      <c r="AQ50" s="72"/>
    </row>
    <row r="51" spans="1:43" ht="27.6">
      <c r="A51" s="461">
        <v>15</v>
      </c>
      <c r="B51" s="672" t="s">
        <v>616</v>
      </c>
      <c r="C51" s="494" t="s">
        <v>715</v>
      </c>
      <c r="D51" s="461" t="s">
        <v>356</v>
      </c>
      <c r="E51" s="462">
        <v>0</v>
      </c>
      <c r="F51" s="497">
        <v>10</v>
      </c>
      <c r="G51" s="498" t="s">
        <v>838</v>
      </c>
      <c r="H51" s="494" t="s">
        <v>839</v>
      </c>
      <c r="I51" s="461"/>
      <c r="J51" s="494" t="s">
        <v>840</v>
      </c>
      <c r="K51" s="461">
        <f>L52+L51</f>
        <v>12</v>
      </c>
      <c r="L51" s="461">
        <v>6</v>
      </c>
      <c r="M51" s="461">
        <f>MIN(L51,1)</f>
        <v>1</v>
      </c>
      <c r="N51" s="461">
        <f>IF(L51&lt;10,L51-M51,9)</f>
        <v>5</v>
      </c>
      <c r="O51" s="461">
        <f>IF(L51&lt;60,L51-M51-N51,50)</f>
        <v>0</v>
      </c>
      <c r="P51" s="461">
        <f t="shared" si="0"/>
        <v>0</v>
      </c>
      <c r="Q51" s="462" t="s">
        <v>834</v>
      </c>
      <c r="R51" s="461">
        <v>1.5</v>
      </c>
      <c r="S51" s="462"/>
      <c r="T51" s="461"/>
      <c r="U51" s="461"/>
      <c r="V51" s="461"/>
      <c r="W51" s="461"/>
      <c r="X51" s="502">
        <v>2.5999999999999999E-2</v>
      </c>
      <c r="Y51" s="505">
        <v>1.9E-2</v>
      </c>
      <c r="Z51" s="505">
        <v>1.2999999999999999E-2</v>
      </c>
      <c r="AA51" s="506">
        <v>1.235E-2</v>
      </c>
      <c r="AB51" s="497">
        <v>1929828.9442857101</v>
      </c>
      <c r="AC51" s="497">
        <f>R51*X51*AB51</f>
        <v>75263.328827142701</v>
      </c>
      <c r="AD51" s="497">
        <f>R51*Y51*AB51</f>
        <v>55000.124912142732</v>
      </c>
      <c r="AE51" s="497">
        <f>R51*Z51*AB51</f>
        <v>37631.66441357135</v>
      </c>
      <c r="AF51" s="497">
        <f>R51*AA51*AB51</f>
        <v>35750.08119289278</v>
      </c>
      <c r="AG51" s="461">
        <v>0</v>
      </c>
      <c r="AH51" s="497">
        <f>ROUND(AG51*AJ3,0)</f>
        <v>0</v>
      </c>
      <c r="AI51" s="461">
        <v>0</v>
      </c>
      <c r="AJ51" s="497">
        <f>ROUND(AI51*AJ3,0)</f>
        <v>0</v>
      </c>
      <c r="AK51" s="476">
        <v>0</v>
      </c>
      <c r="AL51" s="497">
        <f>(M51*AC51)+(N51*AD51)+(O51*AE51)+(P51*AF51)+AK51+AL52</f>
        <v>704580.54755871277</v>
      </c>
      <c r="AM51" s="462">
        <v>1</v>
      </c>
      <c r="AN51" s="497">
        <f>AL51*AM51</f>
        <v>704580.54755871277</v>
      </c>
      <c r="AO51" s="497">
        <f>(AN51/F51)+AH51+AJ51</f>
        <v>70458.054755871271</v>
      </c>
      <c r="AP51" s="72"/>
      <c r="AQ51" s="72"/>
    </row>
    <row r="52" spans="1:43" ht="27.6">
      <c r="A52" s="461"/>
      <c r="B52" s="461"/>
      <c r="C52" s="494"/>
      <c r="D52" s="461"/>
      <c r="E52" s="462">
        <v>0</v>
      </c>
      <c r="F52" s="497">
        <v>10</v>
      </c>
      <c r="G52" s="462"/>
      <c r="H52" s="494" t="s">
        <v>839</v>
      </c>
      <c r="I52" s="461"/>
      <c r="J52" s="494" t="s">
        <v>840</v>
      </c>
      <c r="K52" s="461"/>
      <c r="L52" s="461">
        <v>6</v>
      </c>
      <c r="M52" s="461">
        <f>IF(SUM(L51:L52)&lt;=1,L52,1-SUM(M51:M51))</f>
        <v>0</v>
      </c>
      <c r="N52" s="461">
        <f>IF(SUM(L51:L52)&lt;=10,L52-M52,9-SUM(N51:N51))</f>
        <v>4</v>
      </c>
      <c r="O52" s="461">
        <f>IF(SUM(L51:L52)&lt;=60,L52-M52-N52,50-SUM(O51:O51))</f>
        <v>2</v>
      </c>
      <c r="P52" s="461">
        <f t="shared" si="0"/>
        <v>0</v>
      </c>
      <c r="Q52" s="462" t="s">
        <v>835</v>
      </c>
      <c r="R52" s="461">
        <v>1.8</v>
      </c>
      <c r="S52" s="462"/>
      <c r="T52" s="461"/>
      <c r="U52" s="461"/>
      <c r="V52" s="461"/>
      <c r="W52" s="461"/>
      <c r="X52" s="502"/>
      <c r="Y52" s="505"/>
      <c r="Z52" s="505"/>
      <c r="AA52" s="506"/>
      <c r="AB52" s="497">
        <v>1929828.9442857101</v>
      </c>
      <c r="AC52" s="497">
        <f>R52*X51*AB52</f>
        <v>90315.994592571238</v>
      </c>
      <c r="AD52" s="497">
        <f>R52*Y51*AB52</f>
        <v>66000.149894571281</v>
      </c>
      <c r="AE52" s="497">
        <f>R52*Z51*AB52</f>
        <v>45157.997296285619</v>
      </c>
      <c r="AF52" s="497">
        <f>R52*AA51*AB52</f>
        <v>42900.097431471338</v>
      </c>
      <c r="AG52" s="461"/>
      <c r="AH52" s="497"/>
      <c r="AI52" s="461"/>
      <c r="AJ52" s="497"/>
      <c r="AK52" s="476">
        <v>0</v>
      </c>
      <c r="AL52" s="497">
        <f>(M52*AC52)+(N52*AD52)+(O52*AE52)+(P52*AF52)+AK52</f>
        <v>354316.59417085635</v>
      </c>
      <c r="AM52" s="462">
        <v>0</v>
      </c>
      <c r="AN52" s="497"/>
      <c r="AO52" s="497"/>
      <c r="AP52" s="72"/>
      <c r="AQ52" s="72"/>
    </row>
    <row r="53" spans="1:43" ht="27.6">
      <c r="A53" s="461">
        <v>16</v>
      </c>
      <c r="B53" s="672" t="s">
        <v>653</v>
      </c>
      <c r="C53" s="494" t="s">
        <v>716</v>
      </c>
      <c r="D53" s="461" t="s">
        <v>356</v>
      </c>
      <c r="E53" s="462">
        <v>0</v>
      </c>
      <c r="F53" s="497">
        <v>10</v>
      </c>
      <c r="G53" s="498" t="s">
        <v>838</v>
      </c>
      <c r="H53" s="494" t="s">
        <v>839</v>
      </c>
      <c r="I53" s="461"/>
      <c r="J53" s="494" t="s">
        <v>840</v>
      </c>
      <c r="K53" s="461">
        <f>L54+L53</f>
        <v>12</v>
      </c>
      <c r="L53" s="461">
        <v>6</v>
      </c>
      <c r="M53" s="461">
        <f>MIN(L53,1)</f>
        <v>1</v>
      </c>
      <c r="N53" s="461">
        <f>IF(L53&lt;10,L53-M53,9)</f>
        <v>5</v>
      </c>
      <c r="O53" s="461">
        <f>IF(L53&lt;60,L53-M53-N53,50)</f>
        <v>0</v>
      </c>
      <c r="P53" s="461">
        <f t="shared" si="0"/>
        <v>0</v>
      </c>
      <c r="Q53" s="462" t="s">
        <v>834</v>
      </c>
      <c r="R53" s="461">
        <v>1.5</v>
      </c>
      <c r="S53" s="462"/>
      <c r="T53" s="461"/>
      <c r="U53" s="461"/>
      <c r="V53" s="461"/>
      <c r="W53" s="461"/>
      <c r="X53" s="502">
        <v>2.5999999999999999E-2</v>
      </c>
      <c r="Y53" s="505">
        <v>1.9E-2</v>
      </c>
      <c r="Z53" s="505">
        <v>1.2999999999999999E-2</v>
      </c>
      <c r="AA53" s="506">
        <v>1.235E-2</v>
      </c>
      <c r="AB53" s="497">
        <v>1929828.9442857101</v>
      </c>
      <c r="AC53" s="497">
        <f>R53*X53*AB53</f>
        <v>75263.328827142701</v>
      </c>
      <c r="AD53" s="497">
        <f>R53*Y53*AB53</f>
        <v>55000.124912142732</v>
      </c>
      <c r="AE53" s="497">
        <f>R53*Z53*AB53</f>
        <v>37631.66441357135</v>
      </c>
      <c r="AF53" s="497">
        <f>R53*AA53*AB53</f>
        <v>35750.08119289278</v>
      </c>
      <c r="AG53" s="461">
        <v>0</v>
      </c>
      <c r="AH53" s="497">
        <f>ROUND(AG53*AJ3,0)</f>
        <v>0</v>
      </c>
      <c r="AI53" s="461">
        <v>0</v>
      </c>
      <c r="AJ53" s="497">
        <f>ROUND(AI53*AJ3,0)</f>
        <v>0</v>
      </c>
      <c r="AK53" s="476">
        <v>0</v>
      </c>
      <c r="AL53" s="497">
        <f>(M53*AC53)+(N53*AD53)+(O53*AE53)+(P53*AF53)+AK53+AL54</f>
        <v>704580.54755871277</v>
      </c>
      <c r="AM53" s="462">
        <v>1</v>
      </c>
      <c r="AN53" s="497">
        <f>AL53*AM53</f>
        <v>704580.54755871277</v>
      </c>
      <c r="AO53" s="497">
        <f>(AN53/F53)+AH53+AJ53</f>
        <v>70458.054755871271</v>
      </c>
      <c r="AP53" s="72"/>
      <c r="AQ53" s="72"/>
    </row>
    <row r="54" spans="1:43" ht="27.6">
      <c r="A54" s="461"/>
      <c r="B54" s="461"/>
      <c r="C54" s="494"/>
      <c r="D54" s="461"/>
      <c r="E54" s="462">
        <v>0</v>
      </c>
      <c r="F54" s="497">
        <v>10</v>
      </c>
      <c r="G54" s="462"/>
      <c r="H54" s="494" t="s">
        <v>839</v>
      </c>
      <c r="I54" s="461"/>
      <c r="J54" s="494" t="s">
        <v>840</v>
      </c>
      <c r="K54" s="461"/>
      <c r="L54" s="461">
        <v>6</v>
      </c>
      <c r="M54" s="461">
        <f>IF(SUM(L53:L54)&lt;=1,L54,1-SUM(M53:M53))</f>
        <v>0</v>
      </c>
      <c r="N54" s="461">
        <f>IF(SUM(L53:L54)&lt;=10,L54-M54,9-SUM(N53:N53))</f>
        <v>4</v>
      </c>
      <c r="O54" s="461">
        <f>IF(SUM(L53:L54)&lt;=60,L54-M54-N54,50-SUM(O53:O53))</f>
        <v>2</v>
      </c>
      <c r="P54" s="461">
        <f t="shared" si="0"/>
        <v>0</v>
      </c>
      <c r="Q54" s="462" t="s">
        <v>835</v>
      </c>
      <c r="R54" s="461">
        <v>1.8</v>
      </c>
      <c r="S54" s="462"/>
      <c r="T54" s="461"/>
      <c r="U54" s="461"/>
      <c r="V54" s="461"/>
      <c r="W54" s="461"/>
      <c r="X54" s="502"/>
      <c r="Y54" s="505"/>
      <c r="Z54" s="505"/>
      <c r="AA54" s="506"/>
      <c r="AB54" s="497">
        <v>1929828.9442857101</v>
      </c>
      <c r="AC54" s="497">
        <f>R54*X53*AB54</f>
        <v>90315.994592571238</v>
      </c>
      <c r="AD54" s="497">
        <f>R54*Y53*AB54</f>
        <v>66000.149894571281</v>
      </c>
      <c r="AE54" s="497">
        <f>R54*Z53*AB54</f>
        <v>45157.997296285619</v>
      </c>
      <c r="AF54" s="497">
        <f>R54*AA53*AB54</f>
        <v>42900.097431471338</v>
      </c>
      <c r="AG54" s="461"/>
      <c r="AH54" s="497"/>
      <c r="AI54" s="461"/>
      <c r="AJ54" s="497"/>
      <c r="AK54" s="476">
        <v>0</v>
      </c>
      <c r="AL54" s="497">
        <f>(M54*AC54)+(N54*AD54)+(O54*AE54)+(P54*AF54)+AK54</f>
        <v>354316.59417085635</v>
      </c>
      <c r="AM54" s="462">
        <v>0</v>
      </c>
      <c r="AN54" s="497"/>
      <c r="AO54" s="497"/>
      <c r="AP54" s="72"/>
      <c r="AQ54" s="72"/>
    </row>
    <row r="55" spans="1:43" ht="27.6">
      <c r="A55" s="461">
        <v>17</v>
      </c>
      <c r="B55" s="672" t="s">
        <v>672</v>
      </c>
      <c r="C55" s="494" t="s">
        <v>717</v>
      </c>
      <c r="D55" s="461" t="s">
        <v>356</v>
      </c>
      <c r="E55" s="462">
        <v>0</v>
      </c>
      <c r="F55" s="497">
        <v>10</v>
      </c>
      <c r="G55" s="498" t="s">
        <v>838</v>
      </c>
      <c r="H55" s="494" t="s">
        <v>839</v>
      </c>
      <c r="I55" s="461"/>
      <c r="J55" s="494" t="s">
        <v>840</v>
      </c>
      <c r="K55" s="461">
        <f>L56+L55</f>
        <v>12</v>
      </c>
      <c r="L55" s="461">
        <v>6</v>
      </c>
      <c r="M55" s="461">
        <f>MIN(L55,1)</f>
        <v>1</v>
      </c>
      <c r="N55" s="461">
        <f>IF(L55&lt;10,L55-M55,9)</f>
        <v>5</v>
      </c>
      <c r="O55" s="461">
        <f>IF(L55&lt;60,L55-M55-N55,50)</f>
        <v>0</v>
      </c>
      <c r="P55" s="461">
        <f t="shared" si="0"/>
        <v>0</v>
      </c>
      <c r="Q55" s="462" t="s">
        <v>834</v>
      </c>
      <c r="R55" s="461">
        <v>1.5</v>
      </c>
      <c r="S55" s="462"/>
      <c r="T55" s="461"/>
      <c r="U55" s="461"/>
      <c r="V55" s="461"/>
      <c r="W55" s="461"/>
      <c r="X55" s="502">
        <v>2.5999999999999999E-2</v>
      </c>
      <c r="Y55" s="505">
        <v>1.9E-2</v>
      </c>
      <c r="Z55" s="505">
        <v>1.2999999999999999E-2</v>
      </c>
      <c r="AA55" s="506">
        <v>1.235E-2</v>
      </c>
      <c r="AB55" s="497">
        <v>1929828.9442857101</v>
      </c>
      <c r="AC55" s="497">
        <f>R55*X55*AB55</f>
        <v>75263.328827142701</v>
      </c>
      <c r="AD55" s="497">
        <f>R55*Y55*AB55</f>
        <v>55000.124912142732</v>
      </c>
      <c r="AE55" s="497">
        <f>R55*Z55*AB55</f>
        <v>37631.66441357135</v>
      </c>
      <c r="AF55" s="497">
        <f>R55*AA55*AB55</f>
        <v>35750.08119289278</v>
      </c>
      <c r="AG55" s="461">
        <v>0</v>
      </c>
      <c r="AH55" s="497">
        <f>ROUND(AG55*AJ3,0)</f>
        <v>0</v>
      </c>
      <c r="AI55" s="461">
        <v>0</v>
      </c>
      <c r="AJ55" s="497">
        <f>ROUND(AI55*AJ3,0)</f>
        <v>0</v>
      </c>
      <c r="AK55" s="476">
        <v>0</v>
      </c>
      <c r="AL55" s="497">
        <f>(M55*AC55)+(N55*AD55)+(O55*AE55)+(P55*AF55)+AK55+AL56</f>
        <v>704580.54755871277</v>
      </c>
      <c r="AM55" s="462">
        <v>1</v>
      </c>
      <c r="AN55" s="497">
        <f>AL55*AM55</f>
        <v>704580.54755871277</v>
      </c>
      <c r="AO55" s="497">
        <f>(AN55/F55)+AH55+AJ55</f>
        <v>70458.054755871271</v>
      </c>
      <c r="AP55" s="72"/>
      <c r="AQ55" s="72"/>
    </row>
    <row r="56" spans="1:43" ht="27.6">
      <c r="A56" s="461"/>
      <c r="B56" s="461"/>
      <c r="C56" s="494"/>
      <c r="D56" s="461"/>
      <c r="E56" s="462">
        <v>0</v>
      </c>
      <c r="F56" s="497">
        <v>10</v>
      </c>
      <c r="G56" s="462"/>
      <c r="H56" s="494" t="s">
        <v>839</v>
      </c>
      <c r="I56" s="461"/>
      <c r="J56" s="494" t="s">
        <v>840</v>
      </c>
      <c r="K56" s="461"/>
      <c r="L56" s="461">
        <v>6</v>
      </c>
      <c r="M56" s="461">
        <f>IF(SUM(L55:L56)&lt;=1,L56,1-SUM(M55:M55))</f>
        <v>0</v>
      </c>
      <c r="N56" s="461">
        <f>IF(SUM(L55:L56)&lt;=10,L56-M56,9-SUM(N55:N55))</f>
        <v>4</v>
      </c>
      <c r="O56" s="461">
        <f>IF(SUM(L55:L56)&lt;=60,L56-M56-N56,50-SUM(O55:O55))</f>
        <v>2</v>
      </c>
      <c r="P56" s="461">
        <f t="shared" si="0"/>
        <v>0</v>
      </c>
      <c r="Q56" s="462" t="s">
        <v>835</v>
      </c>
      <c r="R56" s="461">
        <v>1.8</v>
      </c>
      <c r="S56" s="462"/>
      <c r="T56" s="461"/>
      <c r="U56" s="461"/>
      <c r="V56" s="461"/>
      <c r="W56" s="461"/>
      <c r="X56" s="502"/>
      <c r="Y56" s="505"/>
      <c r="Z56" s="505"/>
      <c r="AA56" s="506"/>
      <c r="AB56" s="497">
        <v>1929828.9442857101</v>
      </c>
      <c r="AC56" s="497">
        <f>R56*X55*AB56</f>
        <v>90315.994592571238</v>
      </c>
      <c r="AD56" s="497">
        <f>R56*Y55*AB56</f>
        <v>66000.149894571281</v>
      </c>
      <c r="AE56" s="497">
        <f>R56*Z55*AB56</f>
        <v>45157.997296285619</v>
      </c>
      <c r="AF56" s="497">
        <f>R56*AA55*AB56</f>
        <v>42900.097431471338</v>
      </c>
      <c r="AG56" s="461"/>
      <c r="AH56" s="497"/>
      <c r="AI56" s="461"/>
      <c r="AJ56" s="497"/>
      <c r="AK56" s="476">
        <v>0</v>
      </c>
      <c r="AL56" s="497">
        <f>(M56*AC56)+(N56*AD56)+(O56*AE56)+(P56*AF56)+AK56</f>
        <v>354316.59417085635</v>
      </c>
      <c r="AM56" s="462">
        <v>0</v>
      </c>
      <c r="AN56" s="497"/>
      <c r="AO56" s="497"/>
      <c r="AP56" s="72"/>
      <c r="AQ56" s="72"/>
    </row>
    <row r="57" spans="1:43" ht="27.6">
      <c r="A57" s="461">
        <v>18</v>
      </c>
      <c r="B57" s="672" t="s">
        <v>671</v>
      </c>
      <c r="C57" s="494" t="s">
        <v>718</v>
      </c>
      <c r="D57" s="461" t="s">
        <v>356</v>
      </c>
      <c r="E57" s="462">
        <v>0</v>
      </c>
      <c r="F57" s="497">
        <v>10</v>
      </c>
      <c r="G57" s="494" t="s">
        <v>838</v>
      </c>
      <c r="H57" s="494" t="s">
        <v>843</v>
      </c>
      <c r="I57" s="461"/>
      <c r="J57" s="494" t="s">
        <v>840</v>
      </c>
      <c r="K57" s="461">
        <f>L58+L57</f>
        <v>12</v>
      </c>
      <c r="L57" s="461">
        <v>6</v>
      </c>
      <c r="M57" s="461">
        <f>MIN(L57,1)</f>
        <v>1</v>
      </c>
      <c r="N57" s="461">
        <f>IF(L57&lt;10,L57-M57,9)</f>
        <v>5</v>
      </c>
      <c r="O57" s="461">
        <f>IF(L57&lt;60,L57-M57-N57,50)</f>
        <v>0</v>
      </c>
      <c r="P57" s="461">
        <f t="shared" si="0"/>
        <v>0</v>
      </c>
      <c r="Q57" s="462" t="s">
        <v>834</v>
      </c>
      <c r="R57" s="461">
        <v>1.5</v>
      </c>
      <c r="S57" s="462"/>
      <c r="T57" s="461"/>
      <c r="U57" s="461"/>
      <c r="V57" s="461"/>
      <c r="W57" s="461"/>
      <c r="X57" s="502">
        <v>2.5000000000000001E-2</v>
      </c>
      <c r="Y57" s="505">
        <v>1.7999999999999999E-2</v>
      </c>
      <c r="Z57" s="505">
        <v>1.2E-2</v>
      </c>
      <c r="AA57" s="506">
        <v>1.14E-2</v>
      </c>
      <c r="AB57" s="497">
        <v>1929828.9442857101</v>
      </c>
      <c r="AC57" s="497">
        <f>R57*X57*AB57</f>
        <v>72368.585410714135</v>
      </c>
      <c r="AD57" s="497">
        <f>R57*Y57*AB57</f>
        <v>52105.381495714166</v>
      </c>
      <c r="AE57" s="497">
        <f>R57*Z57*AB57</f>
        <v>34736.920997142784</v>
      </c>
      <c r="AF57" s="497">
        <f>R57*AA57*AB57</f>
        <v>33000.074947285641</v>
      </c>
      <c r="AG57" s="461">
        <v>0</v>
      </c>
      <c r="AH57" s="497">
        <f>ROUND(AG57*AJ3,0)</f>
        <v>0</v>
      </c>
      <c r="AI57" s="461">
        <v>0</v>
      </c>
      <c r="AJ57" s="497">
        <f>ROUND(AI57*AJ3,0)</f>
        <v>0</v>
      </c>
      <c r="AK57" s="476">
        <v>0</v>
      </c>
      <c r="AL57" s="497">
        <f>(M57*AC57)+(N57*AD57)+(O57*AE57)+(P57*AF57)+AK57+AL58</f>
        <v>666369.93446185568</v>
      </c>
      <c r="AM57" s="462">
        <v>1</v>
      </c>
      <c r="AN57" s="497">
        <f>AL57*AM57</f>
        <v>666369.93446185568</v>
      </c>
      <c r="AO57" s="497">
        <f>(AN57/F57)+AH57+AJ57</f>
        <v>66636.993446185574</v>
      </c>
      <c r="AP57" s="72"/>
      <c r="AQ57" s="72"/>
    </row>
    <row r="58" spans="1:43" ht="27.6">
      <c r="A58" s="461"/>
      <c r="B58" s="461"/>
      <c r="C58" s="494"/>
      <c r="D58" s="461"/>
      <c r="E58" s="462">
        <v>0</v>
      </c>
      <c r="F58" s="497">
        <v>10</v>
      </c>
      <c r="G58" s="462"/>
      <c r="H58" s="494" t="s">
        <v>839</v>
      </c>
      <c r="I58" s="461"/>
      <c r="J58" s="494" t="s">
        <v>840</v>
      </c>
      <c r="K58" s="461"/>
      <c r="L58" s="461">
        <v>6</v>
      </c>
      <c r="M58" s="461">
        <f>IF(SUM(L57:L58)&lt;=1,L58,1-SUM(M57:M57))</f>
        <v>0</v>
      </c>
      <c r="N58" s="461">
        <f>IF(SUM(L57:L58)&lt;=10,L58-M58,9-SUM(N57:N57))</f>
        <v>4</v>
      </c>
      <c r="O58" s="461">
        <f>IF(SUM(L57:L58)&lt;=60,L58-M58-N58,50-SUM(O57:O57))</f>
        <v>2</v>
      </c>
      <c r="P58" s="461">
        <f t="shared" si="0"/>
        <v>0</v>
      </c>
      <c r="Q58" s="462" t="s">
        <v>835</v>
      </c>
      <c r="R58" s="461">
        <v>1.8</v>
      </c>
      <c r="S58" s="462"/>
      <c r="T58" s="461"/>
      <c r="U58" s="461"/>
      <c r="V58" s="461"/>
      <c r="W58" s="461"/>
      <c r="X58" s="502"/>
      <c r="Y58" s="505"/>
      <c r="Z58" s="505"/>
      <c r="AA58" s="506"/>
      <c r="AB58" s="497">
        <v>1929828.9442857101</v>
      </c>
      <c r="AC58" s="497">
        <f>R58*X57*AB58</f>
        <v>86842.302492856965</v>
      </c>
      <c r="AD58" s="497">
        <f>R58*Y57*AB58</f>
        <v>62526.457794857008</v>
      </c>
      <c r="AE58" s="497">
        <f>R58*Z57*AB58</f>
        <v>41684.305196571338</v>
      </c>
      <c r="AF58" s="497">
        <f>R58*AA57*AB58</f>
        <v>39600.08993674277</v>
      </c>
      <c r="AG58" s="461"/>
      <c r="AH58" s="497"/>
      <c r="AI58" s="461"/>
      <c r="AJ58" s="497"/>
      <c r="AK58" s="476">
        <v>0</v>
      </c>
      <c r="AL58" s="497">
        <f t="shared" ref="AL58:AL60" si="21">(M58*AC58)+(N58*AD58)+(O58*AE58)+(P58*AF58)+AK58</f>
        <v>333474.44157257071</v>
      </c>
      <c r="AM58" s="462">
        <v>0</v>
      </c>
      <c r="AN58" s="497"/>
      <c r="AO58" s="497"/>
      <c r="AP58" s="72"/>
      <c r="AQ58" s="72"/>
    </row>
    <row r="59" spans="1:43" ht="27.6">
      <c r="A59" s="461">
        <v>19</v>
      </c>
      <c r="B59" s="672" t="s">
        <v>662</v>
      </c>
      <c r="C59" s="494" t="s">
        <v>719</v>
      </c>
      <c r="D59" s="461" t="s">
        <v>720</v>
      </c>
      <c r="E59" s="462">
        <v>1E-3</v>
      </c>
      <c r="F59" s="497">
        <v>10000</v>
      </c>
      <c r="G59" s="462"/>
      <c r="H59" s="494" t="s">
        <v>844</v>
      </c>
      <c r="I59" s="461"/>
      <c r="J59" s="494" t="s">
        <v>837</v>
      </c>
      <c r="K59" s="461">
        <f t="shared" ref="K59:K60" si="22">L59</f>
        <v>0</v>
      </c>
      <c r="L59" s="461">
        <v>0</v>
      </c>
      <c r="M59" s="461">
        <f t="shared" ref="M59:M61" si="23">MIN(L59,1)</f>
        <v>0</v>
      </c>
      <c r="N59" s="461">
        <f t="shared" ref="N59:N61" si="24">IF(L59&lt;10,L59-M59,9)</f>
        <v>0</v>
      </c>
      <c r="O59" s="461">
        <f t="shared" ref="O59:O61" si="25">IF(L59&lt;60,L59-M59-N59,50)</f>
        <v>0</v>
      </c>
      <c r="P59" s="461">
        <f t="shared" si="0"/>
        <v>0</v>
      </c>
      <c r="Q59" s="462" t="s">
        <v>788</v>
      </c>
      <c r="R59" s="461">
        <v>0.56999999999999995</v>
      </c>
      <c r="S59" s="462"/>
      <c r="T59" s="461"/>
      <c r="U59" s="461"/>
      <c r="V59" s="461"/>
      <c r="W59" s="461"/>
      <c r="X59" s="502">
        <v>0</v>
      </c>
      <c r="Y59" s="505">
        <v>0</v>
      </c>
      <c r="Z59" s="505">
        <v>0</v>
      </c>
      <c r="AA59" s="506">
        <v>0</v>
      </c>
      <c r="AB59" s="497">
        <v>1703586.24</v>
      </c>
      <c r="AC59" s="497">
        <f t="shared" ref="AC59:AC61" si="26">R59*X59*AB59</f>
        <v>0</v>
      </c>
      <c r="AD59" s="497">
        <f t="shared" ref="AD59:AD61" si="27">R59*Y59*AB59</f>
        <v>0</v>
      </c>
      <c r="AE59" s="497">
        <f t="shared" ref="AE59:AE61" si="28">R59*Z59*AB59</f>
        <v>0</v>
      </c>
      <c r="AF59" s="497">
        <f t="shared" ref="AF59:AF61" si="29">R59*AA59*AB59</f>
        <v>0</v>
      </c>
      <c r="AG59" s="461">
        <v>0</v>
      </c>
      <c r="AH59" s="497">
        <f>ROUND(AG59*AJ3,0)</f>
        <v>0</v>
      </c>
      <c r="AI59" s="461">
        <v>0</v>
      </c>
      <c r="AJ59" s="497">
        <f>ROUND(AI59*AJ3,0)</f>
        <v>0</v>
      </c>
      <c r="AK59" s="476">
        <v>0</v>
      </c>
      <c r="AL59" s="497">
        <f t="shared" si="21"/>
        <v>0</v>
      </c>
      <c r="AM59" s="462">
        <v>1</v>
      </c>
      <c r="AN59" s="497">
        <f t="shared" ref="AN59:AN61" si="30">AL59*AM59</f>
        <v>0</v>
      </c>
      <c r="AO59" s="497">
        <f t="shared" ref="AO59:AO61" si="31">(AN59/F59)+AH59+AJ59</f>
        <v>0</v>
      </c>
      <c r="AP59" s="72"/>
      <c r="AQ59" s="72"/>
    </row>
    <row r="60" spans="1:43" ht="27.6">
      <c r="A60" s="461">
        <v>20</v>
      </c>
      <c r="B60" s="672" t="s">
        <v>626</v>
      </c>
      <c r="C60" s="494" t="s">
        <v>790</v>
      </c>
      <c r="D60" s="461" t="s">
        <v>468</v>
      </c>
      <c r="E60" s="462">
        <v>0</v>
      </c>
      <c r="F60" s="497">
        <v>1</v>
      </c>
      <c r="G60" s="462"/>
      <c r="H60" s="494"/>
      <c r="I60" s="461"/>
      <c r="J60" s="494" t="s">
        <v>837</v>
      </c>
      <c r="K60" s="461">
        <f t="shared" si="22"/>
        <v>0</v>
      </c>
      <c r="L60" s="461">
        <v>0</v>
      </c>
      <c r="M60" s="461">
        <f t="shared" si="23"/>
        <v>0</v>
      </c>
      <c r="N60" s="461">
        <f t="shared" si="24"/>
        <v>0</v>
      </c>
      <c r="O60" s="461">
        <f t="shared" si="25"/>
        <v>0</v>
      </c>
      <c r="P60" s="461">
        <f t="shared" si="0"/>
        <v>0</v>
      </c>
      <c r="Q60" s="462" t="s">
        <v>788</v>
      </c>
      <c r="R60" s="461">
        <v>0.56999999999999995</v>
      </c>
      <c r="S60" s="462"/>
      <c r="T60" s="461"/>
      <c r="U60" s="461"/>
      <c r="V60" s="461"/>
      <c r="W60" s="461"/>
      <c r="X60" s="502">
        <v>0</v>
      </c>
      <c r="Y60" s="505">
        <v>0</v>
      </c>
      <c r="Z60" s="505">
        <v>0</v>
      </c>
      <c r="AA60" s="506">
        <v>0</v>
      </c>
      <c r="AB60" s="497">
        <v>1703586.24</v>
      </c>
      <c r="AC60" s="497">
        <f t="shared" si="26"/>
        <v>0</v>
      </c>
      <c r="AD60" s="497">
        <f t="shared" si="27"/>
        <v>0</v>
      </c>
      <c r="AE60" s="497">
        <f t="shared" si="28"/>
        <v>0</v>
      </c>
      <c r="AF60" s="497">
        <f t="shared" si="29"/>
        <v>0</v>
      </c>
      <c r="AG60" s="461">
        <v>0</v>
      </c>
      <c r="AH60" s="497">
        <f>ROUND(AG60*AJ3,0)</f>
        <v>0</v>
      </c>
      <c r="AI60" s="461">
        <v>0</v>
      </c>
      <c r="AJ60" s="497">
        <f>ROUND(AI60*AJ3,0)</f>
        <v>0</v>
      </c>
      <c r="AK60" s="476">
        <v>0</v>
      </c>
      <c r="AL60" s="497">
        <f t="shared" si="21"/>
        <v>0</v>
      </c>
      <c r="AM60" s="462">
        <v>1</v>
      </c>
      <c r="AN60" s="497">
        <f t="shared" si="30"/>
        <v>0</v>
      </c>
      <c r="AO60" s="497">
        <f t="shared" si="31"/>
        <v>0</v>
      </c>
      <c r="AP60" s="72"/>
      <c r="AQ60" s="72"/>
    </row>
    <row r="61" spans="1:43" ht="27.6">
      <c r="A61" s="461">
        <v>21</v>
      </c>
      <c r="B61" s="672" t="s">
        <v>618</v>
      </c>
      <c r="C61" s="494" t="s">
        <v>722</v>
      </c>
      <c r="D61" s="461" t="s">
        <v>356</v>
      </c>
      <c r="E61" s="462">
        <v>0</v>
      </c>
      <c r="F61" s="497">
        <v>10</v>
      </c>
      <c r="G61" s="498" t="s">
        <v>841</v>
      </c>
      <c r="H61" s="494" t="s">
        <v>845</v>
      </c>
      <c r="I61" s="461"/>
      <c r="J61" s="494" t="s">
        <v>831</v>
      </c>
      <c r="K61" s="461">
        <f>L63+L62+L61</f>
        <v>22</v>
      </c>
      <c r="L61" s="461">
        <v>9</v>
      </c>
      <c r="M61" s="461">
        <f t="shared" si="23"/>
        <v>1</v>
      </c>
      <c r="N61" s="461">
        <f t="shared" si="24"/>
        <v>8</v>
      </c>
      <c r="O61" s="461">
        <f t="shared" si="25"/>
        <v>0</v>
      </c>
      <c r="P61" s="461">
        <f t="shared" si="0"/>
        <v>0</v>
      </c>
      <c r="Q61" s="462" t="s">
        <v>833</v>
      </c>
      <c r="R61" s="461">
        <v>1.35</v>
      </c>
      <c r="S61" s="462"/>
      <c r="T61" s="461"/>
      <c r="U61" s="461"/>
      <c r="V61" s="461"/>
      <c r="W61" s="461"/>
      <c r="X61" s="502">
        <v>1.4999999999999999E-2</v>
      </c>
      <c r="Y61" s="505">
        <v>1.0999999999999999E-2</v>
      </c>
      <c r="Z61" s="505">
        <v>6.0000000000000001E-3</v>
      </c>
      <c r="AA61" s="506">
        <v>5.7000000000000002E-3</v>
      </c>
      <c r="AB61" s="497">
        <v>1607649.12076923</v>
      </c>
      <c r="AC61" s="497">
        <f t="shared" si="26"/>
        <v>32554.894695576906</v>
      </c>
      <c r="AD61" s="497">
        <f t="shared" si="27"/>
        <v>23873.589443423065</v>
      </c>
      <c r="AE61" s="497">
        <f t="shared" si="28"/>
        <v>13021.957878230765</v>
      </c>
      <c r="AF61" s="497">
        <f t="shared" si="29"/>
        <v>12370.859984319226</v>
      </c>
      <c r="AG61" s="461">
        <v>0</v>
      </c>
      <c r="AH61" s="497">
        <f>ROUND(AG61*AJ3,0)</f>
        <v>0</v>
      </c>
      <c r="AI61" s="461">
        <v>0</v>
      </c>
      <c r="AJ61" s="497">
        <f>ROUND(AI61*AJ3,0)</f>
        <v>0</v>
      </c>
      <c r="AK61" s="476">
        <v>0</v>
      </c>
      <c r="AL61" s="497">
        <f>(M61*AC61)+(N61*AD61)+(O61*AE61)+(P61*AF61)+AK61+AL62+AL63</f>
        <v>441058.53628303827</v>
      </c>
      <c r="AM61" s="462">
        <v>1</v>
      </c>
      <c r="AN61" s="497">
        <f t="shared" si="30"/>
        <v>441058.53628303827</v>
      </c>
      <c r="AO61" s="497">
        <f t="shared" si="31"/>
        <v>44105.853628303827</v>
      </c>
      <c r="AP61" s="72"/>
      <c r="AQ61" s="72"/>
    </row>
    <row r="62" spans="1:43" ht="27.6">
      <c r="A62" s="461"/>
      <c r="B62" s="461"/>
      <c r="C62" s="494"/>
      <c r="D62" s="461"/>
      <c r="E62" s="462">
        <v>0</v>
      </c>
      <c r="F62" s="497">
        <v>10</v>
      </c>
      <c r="G62" s="462"/>
      <c r="H62" s="494" t="s">
        <v>845</v>
      </c>
      <c r="I62" s="461"/>
      <c r="J62" s="494" t="s">
        <v>831</v>
      </c>
      <c r="K62" s="461"/>
      <c r="L62" s="461">
        <v>7</v>
      </c>
      <c r="M62" s="461">
        <f>IF(SUM(L61:L62)&lt;=1,L62,1-SUM(M61:M61))</f>
        <v>0</v>
      </c>
      <c r="N62" s="461">
        <f>IF(SUM(L61:L62)&lt;=10,L62-M62,9-SUM(N61:N61))</f>
        <v>1</v>
      </c>
      <c r="O62" s="461">
        <f>IF(SUM(L61:L62)&lt;=60,L62-M62-N62,50-SUM(O61:O61))</f>
        <v>6</v>
      </c>
      <c r="P62" s="461">
        <f t="shared" si="0"/>
        <v>0</v>
      </c>
      <c r="Q62" s="462" t="s">
        <v>834</v>
      </c>
      <c r="R62" s="461">
        <v>1.5</v>
      </c>
      <c r="S62" s="462"/>
      <c r="T62" s="461"/>
      <c r="U62" s="461"/>
      <c r="V62" s="461"/>
      <c r="W62" s="461"/>
      <c r="X62" s="502"/>
      <c r="Y62" s="505"/>
      <c r="Z62" s="505"/>
      <c r="AA62" s="506"/>
      <c r="AB62" s="497">
        <v>1607649.12076923</v>
      </c>
      <c r="AC62" s="497">
        <f>R62*X61*AB62</f>
        <v>36172.105217307675</v>
      </c>
      <c r="AD62" s="497">
        <f>R62*Y61*AB62</f>
        <v>26526.210492692295</v>
      </c>
      <c r="AE62" s="497">
        <f>R62*Z61*AB62</f>
        <v>14468.84208692307</v>
      </c>
      <c r="AF62" s="497">
        <f>R62*AA61*AB62</f>
        <v>13745.399982576917</v>
      </c>
      <c r="AG62" s="461"/>
      <c r="AH62" s="497"/>
      <c r="AI62" s="461"/>
      <c r="AJ62" s="497"/>
      <c r="AK62" s="476">
        <v>0</v>
      </c>
      <c r="AL62" s="497">
        <f t="shared" ref="AL62:AL63" si="32">(M62*AC62)+(N62*AD62)+(O62*AE62)+(P62*AF62)+AK62</f>
        <v>113339.26301423072</v>
      </c>
      <c r="AM62" s="462">
        <v>0</v>
      </c>
      <c r="AN62" s="497"/>
      <c r="AO62" s="497"/>
      <c r="AP62" s="72"/>
      <c r="AQ62" s="72"/>
    </row>
    <row r="63" spans="1:43" ht="27.6">
      <c r="A63" s="461"/>
      <c r="B63" s="461"/>
      <c r="C63" s="494"/>
      <c r="D63" s="461"/>
      <c r="E63" s="462">
        <v>0</v>
      </c>
      <c r="F63" s="497">
        <v>10</v>
      </c>
      <c r="G63" s="462"/>
      <c r="H63" s="494" t="s">
        <v>845</v>
      </c>
      <c r="I63" s="461"/>
      <c r="J63" s="494" t="s">
        <v>831</v>
      </c>
      <c r="K63" s="461"/>
      <c r="L63" s="461">
        <v>6</v>
      </c>
      <c r="M63" s="461">
        <f>IF(SUM(L61:L63)&lt;=1,L63,1-SUM(M61:M62))</f>
        <v>0</v>
      </c>
      <c r="N63" s="461">
        <f>IF(SUM(L61:L63)&lt;=10,L63-M63,9-SUM(N61:N62))</f>
        <v>0</v>
      </c>
      <c r="O63" s="461">
        <f>IF(SUM(L61:L63)&lt;=60,L63-M63-N63,50-SUM(O61:O62))</f>
        <v>6</v>
      </c>
      <c r="P63" s="461">
        <f t="shared" si="0"/>
        <v>0</v>
      </c>
      <c r="Q63" s="462" t="s">
        <v>835</v>
      </c>
      <c r="R63" s="461">
        <v>1.8</v>
      </c>
      <c r="S63" s="462"/>
      <c r="T63" s="461"/>
      <c r="U63" s="461"/>
      <c r="V63" s="461"/>
      <c r="W63" s="461"/>
      <c r="X63" s="502"/>
      <c r="Y63" s="505"/>
      <c r="Z63" s="505"/>
      <c r="AA63" s="506"/>
      <c r="AB63" s="497">
        <v>1607649.12076923</v>
      </c>
      <c r="AC63" s="497">
        <f>R63*X61*AB63</f>
        <v>43406.526260769206</v>
      </c>
      <c r="AD63" s="497">
        <f>R63*Y61*AB63</f>
        <v>31831.452591230751</v>
      </c>
      <c r="AE63" s="497">
        <f>R63*Z61*AB63</f>
        <v>17362.610504307686</v>
      </c>
      <c r="AF63" s="497">
        <f>R63*AA61*AB63</f>
        <v>16494.479979092299</v>
      </c>
      <c r="AG63" s="461"/>
      <c r="AH63" s="497"/>
      <c r="AI63" s="461"/>
      <c r="AJ63" s="497"/>
      <c r="AK63" s="476">
        <v>0</v>
      </c>
      <c r="AL63" s="497">
        <f t="shared" si="32"/>
        <v>104175.66302584612</v>
      </c>
      <c r="AM63" s="462">
        <v>0</v>
      </c>
      <c r="AN63" s="497"/>
      <c r="AO63" s="497"/>
      <c r="AP63" s="72"/>
      <c r="AQ63" s="72"/>
    </row>
    <row r="64" spans="1:43" ht="27.6">
      <c r="A64" s="461">
        <v>22</v>
      </c>
      <c r="B64" s="672" t="s">
        <v>682</v>
      </c>
      <c r="C64" s="494" t="s">
        <v>723</v>
      </c>
      <c r="D64" s="461" t="s">
        <v>356</v>
      </c>
      <c r="E64" s="462">
        <v>0</v>
      </c>
      <c r="F64" s="497">
        <v>10</v>
      </c>
      <c r="G64" s="498" t="s">
        <v>841</v>
      </c>
      <c r="H64" s="494" t="s">
        <v>845</v>
      </c>
      <c r="I64" s="461"/>
      <c r="J64" s="494" t="s">
        <v>831</v>
      </c>
      <c r="K64" s="461">
        <f>L66+L65+L64</f>
        <v>22</v>
      </c>
      <c r="L64" s="461">
        <v>9</v>
      </c>
      <c r="M64" s="461">
        <f>MIN(L64,1)</f>
        <v>1</v>
      </c>
      <c r="N64" s="461">
        <f>IF(L64&lt;10,L64-M64,9)</f>
        <v>8</v>
      </c>
      <c r="O64" s="461">
        <f>IF(L64&lt;60,L64-M64-N64,50)</f>
        <v>0</v>
      </c>
      <c r="P64" s="461">
        <f t="shared" si="0"/>
        <v>0</v>
      </c>
      <c r="Q64" s="462" t="s">
        <v>833</v>
      </c>
      <c r="R64" s="461">
        <v>1.35</v>
      </c>
      <c r="S64" s="462"/>
      <c r="T64" s="461"/>
      <c r="U64" s="461"/>
      <c r="V64" s="461"/>
      <c r="W64" s="461"/>
      <c r="X64" s="502">
        <v>1.4999999999999999E-2</v>
      </c>
      <c r="Y64" s="505">
        <v>1.0999999999999999E-2</v>
      </c>
      <c r="Z64" s="505">
        <v>6.0000000000000001E-3</v>
      </c>
      <c r="AA64" s="506">
        <v>5.7000000000000002E-3</v>
      </c>
      <c r="AB64" s="497">
        <v>1607649.12076923</v>
      </c>
      <c r="AC64" s="497">
        <f>R64*X64*AB64</f>
        <v>32554.894695576906</v>
      </c>
      <c r="AD64" s="497">
        <f>R64*Y64*AB64</f>
        <v>23873.589443423065</v>
      </c>
      <c r="AE64" s="497">
        <f>R64*Z64*AB64</f>
        <v>13021.957878230765</v>
      </c>
      <c r="AF64" s="497">
        <f>R64*AA64*AB64</f>
        <v>12370.859984319226</v>
      </c>
      <c r="AG64" s="461">
        <v>0</v>
      </c>
      <c r="AH64" s="497">
        <f>ROUND(AG64*AJ3,0)</f>
        <v>0</v>
      </c>
      <c r="AI64" s="461">
        <v>0</v>
      </c>
      <c r="AJ64" s="497">
        <f>ROUND(AI64*AJ3,0)</f>
        <v>0</v>
      </c>
      <c r="AK64" s="476">
        <v>0</v>
      </c>
      <c r="AL64" s="497">
        <f>(M64*AC64)+(N64*AD64)+(O64*AE64)+(P64*AF64)+AK64+AL65+AL66</f>
        <v>441058.53628303827</v>
      </c>
      <c r="AM64" s="462">
        <v>1</v>
      </c>
      <c r="AN64" s="497">
        <f>AL64*AM64</f>
        <v>441058.53628303827</v>
      </c>
      <c r="AO64" s="497">
        <f>(AN64/F64)+AH64+AJ64</f>
        <v>44105.853628303827</v>
      </c>
      <c r="AP64" s="72"/>
      <c r="AQ64" s="72"/>
    </row>
    <row r="65" spans="1:43" ht="27.6">
      <c r="A65" s="461"/>
      <c r="B65" s="461"/>
      <c r="C65" s="494"/>
      <c r="D65" s="461"/>
      <c r="E65" s="462">
        <v>0</v>
      </c>
      <c r="F65" s="497">
        <v>10</v>
      </c>
      <c r="G65" s="462"/>
      <c r="H65" s="494" t="s">
        <v>845</v>
      </c>
      <c r="I65" s="461"/>
      <c r="J65" s="494" t="s">
        <v>831</v>
      </c>
      <c r="K65" s="461"/>
      <c r="L65" s="461">
        <v>7</v>
      </c>
      <c r="M65" s="461">
        <f>IF(SUM(L64:L65)&lt;=1,L65,1-SUM(M64:M64))</f>
        <v>0</v>
      </c>
      <c r="N65" s="461">
        <f>IF(SUM(L64:L65)&lt;=10,L65-M65,9-SUM(N64:N64))</f>
        <v>1</v>
      </c>
      <c r="O65" s="461">
        <f>IF(SUM(L64:L65)&lt;=60,L65-M65-N65,50-SUM(O64:O64))</f>
        <v>6</v>
      </c>
      <c r="P65" s="461">
        <f t="shared" si="0"/>
        <v>0</v>
      </c>
      <c r="Q65" s="462" t="s">
        <v>834</v>
      </c>
      <c r="R65" s="461">
        <v>1.5</v>
      </c>
      <c r="S65" s="462"/>
      <c r="T65" s="461"/>
      <c r="U65" s="461"/>
      <c r="V65" s="461"/>
      <c r="W65" s="461"/>
      <c r="X65" s="502"/>
      <c r="Y65" s="505"/>
      <c r="Z65" s="505"/>
      <c r="AA65" s="506"/>
      <c r="AB65" s="497">
        <v>1607649.12076923</v>
      </c>
      <c r="AC65" s="497">
        <f>R65*X64*AB65</f>
        <v>36172.105217307675</v>
      </c>
      <c r="AD65" s="497">
        <f>R65*Y64*AB65</f>
        <v>26526.210492692295</v>
      </c>
      <c r="AE65" s="497">
        <f>R65*Z64*AB65</f>
        <v>14468.84208692307</v>
      </c>
      <c r="AF65" s="497">
        <f>R65*AA64*AB65</f>
        <v>13745.399982576917</v>
      </c>
      <c r="AG65" s="461"/>
      <c r="AH65" s="497"/>
      <c r="AI65" s="461"/>
      <c r="AJ65" s="497"/>
      <c r="AK65" s="476">
        <v>0</v>
      </c>
      <c r="AL65" s="497">
        <f t="shared" ref="AL65:AL70" si="33">(M65*AC65)+(N65*AD65)+(O65*AE65)+(P65*AF65)+AK65</f>
        <v>113339.26301423072</v>
      </c>
      <c r="AM65" s="462">
        <v>0</v>
      </c>
      <c r="AN65" s="497"/>
      <c r="AO65" s="497"/>
      <c r="AP65" s="72"/>
      <c r="AQ65" s="72"/>
    </row>
    <row r="66" spans="1:43" ht="27.6">
      <c r="A66" s="461"/>
      <c r="B66" s="461"/>
      <c r="C66" s="494"/>
      <c r="D66" s="461"/>
      <c r="E66" s="462">
        <v>0</v>
      </c>
      <c r="F66" s="497">
        <v>10</v>
      </c>
      <c r="G66" s="462"/>
      <c r="H66" s="494" t="s">
        <v>845</v>
      </c>
      <c r="I66" s="461"/>
      <c r="J66" s="494" t="s">
        <v>831</v>
      </c>
      <c r="K66" s="461"/>
      <c r="L66" s="461">
        <v>6</v>
      </c>
      <c r="M66" s="461">
        <f>IF(SUM(L64:L66)&lt;=1,L66,1-SUM(M64:M65))</f>
        <v>0</v>
      </c>
      <c r="N66" s="461">
        <f>IF(SUM(L64:L66)&lt;=10,L66-M66,9-SUM(N64:N65))</f>
        <v>0</v>
      </c>
      <c r="O66" s="461">
        <f>IF(SUM(L64:L66)&lt;=60,L66-M66-N66,50-SUM(O64:O65))</f>
        <v>6</v>
      </c>
      <c r="P66" s="461">
        <f t="shared" si="0"/>
        <v>0</v>
      </c>
      <c r="Q66" s="462" t="s">
        <v>835</v>
      </c>
      <c r="R66" s="461">
        <v>1.8</v>
      </c>
      <c r="S66" s="462"/>
      <c r="T66" s="461"/>
      <c r="U66" s="461"/>
      <c r="V66" s="461"/>
      <c r="W66" s="461"/>
      <c r="X66" s="502"/>
      <c r="Y66" s="505"/>
      <c r="Z66" s="505"/>
      <c r="AA66" s="506"/>
      <c r="AB66" s="497">
        <v>1607649.12076923</v>
      </c>
      <c r="AC66" s="497">
        <f>R66*X64*AB66</f>
        <v>43406.526260769206</v>
      </c>
      <c r="AD66" s="497">
        <f>R66*Y64*AB66</f>
        <v>31831.452591230751</v>
      </c>
      <c r="AE66" s="497">
        <f>R66*Z64*AB66</f>
        <v>17362.610504307686</v>
      </c>
      <c r="AF66" s="497">
        <f>R66*AA64*AB66</f>
        <v>16494.479979092299</v>
      </c>
      <c r="AG66" s="461"/>
      <c r="AH66" s="497"/>
      <c r="AI66" s="461"/>
      <c r="AJ66" s="497"/>
      <c r="AK66" s="476">
        <v>0</v>
      </c>
      <c r="AL66" s="497">
        <f t="shared" si="33"/>
        <v>104175.66302584612</v>
      </c>
      <c r="AM66" s="462">
        <v>0</v>
      </c>
      <c r="AN66" s="497"/>
      <c r="AO66" s="497"/>
      <c r="AP66" s="72"/>
      <c r="AQ66" s="72"/>
    </row>
    <row r="67" spans="1:43" ht="27.6" hidden="1">
      <c r="A67" s="461">
        <v>23</v>
      </c>
      <c r="B67" s="672" t="s">
        <v>636</v>
      </c>
      <c r="C67" s="494" t="s">
        <v>725</v>
      </c>
      <c r="D67" s="461" t="s">
        <v>726</v>
      </c>
      <c r="E67" s="462">
        <v>0</v>
      </c>
      <c r="F67" s="497">
        <v>1</v>
      </c>
      <c r="G67" s="462"/>
      <c r="H67" s="494"/>
      <c r="I67" s="461"/>
      <c r="J67" s="494" t="s">
        <v>837</v>
      </c>
      <c r="K67" s="461">
        <f t="shared" ref="K67:K70" si="34">L67</f>
        <v>0</v>
      </c>
      <c r="L67" s="461">
        <v>0</v>
      </c>
      <c r="M67" s="461">
        <f t="shared" ref="M67:M71" si="35">MIN(L67,1)</f>
        <v>0</v>
      </c>
      <c r="N67" s="461">
        <f t="shared" ref="N67:N71" si="36">IF(L67&lt;10,L67-M67,9)</f>
        <v>0</v>
      </c>
      <c r="O67" s="461">
        <f t="shared" ref="O67:O71" si="37">IF(L67&lt;60,L67-M67-N67,50)</f>
        <v>0</v>
      </c>
      <c r="P67" s="461">
        <f t="shared" si="0"/>
        <v>0</v>
      </c>
      <c r="Q67" s="462" t="s">
        <v>788</v>
      </c>
      <c r="R67" s="461">
        <v>0.56999999999999995</v>
      </c>
      <c r="S67" s="462"/>
      <c r="T67" s="461"/>
      <c r="U67" s="461"/>
      <c r="V67" s="461"/>
      <c r="W67" s="461"/>
      <c r="X67" s="502">
        <v>0</v>
      </c>
      <c r="Y67" s="505">
        <v>0</v>
      </c>
      <c r="Z67" s="505">
        <v>0</v>
      </c>
      <c r="AA67" s="506">
        <v>0</v>
      </c>
      <c r="AB67" s="497">
        <v>1703586.24</v>
      </c>
      <c r="AC67" s="497">
        <f t="shared" ref="AC67:AC71" si="38">R67*X67*AB67</f>
        <v>0</v>
      </c>
      <c r="AD67" s="497">
        <f t="shared" ref="AD67:AD71" si="39">R67*Y67*AB67</f>
        <v>0</v>
      </c>
      <c r="AE67" s="497">
        <f t="shared" ref="AE67:AE71" si="40">R67*Z67*AB67</f>
        <v>0</v>
      </c>
      <c r="AF67" s="497">
        <f t="shared" ref="AF67:AF71" si="41">R67*AA67*AB67</f>
        <v>0</v>
      </c>
      <c r="AG67" s="461">
        <v>0</v>
      </c>
      <c r="AH67" s="497">
        <f>ROUND(AG67*AJ3,0)</f>
        <v>0</v>
      </c>
      <c r="AI67" s="461">
        <v>0</v>
      </c>
      <c r="AJ67" s="497">
        <f>ROUND(AI67*AJ3,0)</f>
        <v>0</v>
      </c>
      <c r="AK67" s="476">
        <v>0</v>
      </c>
      <c r="AL67" s="497">
        <f t="shared" si="33"/>
        <v>0</v>
      </c>
      <c r="AM67" s="462">
        <v>1</v>
      </c>
      <c r="AN67" s="497">
        <f t="shared" ref="AN67:AN71" si="42">AL67*AM67</f>
        <v>0</v>
      </c>
      <c r="AO67" s="497">
        <f t="shared" ref="AO67:AO71" si="43">(AN67/F67)+AH67+AJ67</f>
        <v>0</v>
      </c>
      <c r="AP67" s="72"/>
      <c r="AQ67" s="72"/>
    </row>
    <row r="68" spans="1:43" ht="27.6" hidden="1">
      <c r="A68" s="461">
        <v>24</v>
      </c>
      <c r="B68" s="672" t="s">
        <v>631</v>
      </c>
      <c r="C68" s="494" t="s">
        <v>727</v>
      </c>
      <c r="D68" s="461" t="s">
        <v>720</v>
      </c>
      <c r="E68" s="462">
        <v>1E-3</v>
      </c>
      <c r="F68" s="497">
        <v>10000</v>
      </c>
      <c r="G68" s="462"/>
      <c r="H68" s="494"/>
      <c r="I68" s="461"/>
      <c r="J68" s="494" t="s">
        <v>837</v>
      </c>
      <c r="K68" s="461">
        <f t="shared" si="34"/>
        <v>0</v>
      </c>
      <c r="L68" s="461">
        <v>0</v>
      </c>
      <c r="M68" s="461">
        <f t="shared" si="35"/>
        <v>0</v>
      </c>
      <c r="N68" s="461">
        <f t="shared" si="36"/>
        <v>0</v>
      </c>
      <c r="O68" s="461">
        <f t="shared" si="37"/>
        <v>0</v>
      </c>
      <c r="P68" s="461">
        <f t="shared" si="0"/>
        <v>0</v>
      </c>
      <c r="Q68" s="462" t="s">
        <v>788</v>
      </c>
      <c r="R68" s="461">
        <v>0.56999999999999995</v>
      </c>
      <c r="S68" s="462"/>
      <c r="T68" s="461"/>
      <c r="U68" s="461"/>
      <c r="V68" s="461"/>
      <c r="W68" s="461"/>
      <c r="X68" s="502">
        <v>0</v>
      </c>
      <c r="Y68" s="505">
        <v>0</v>
      </c>
      <c r="Z68" s="505">
        <v>0</v>
      </c>
      <c r="AA68" s="506">
        <v>0</v>
      </c>
      <c r="AB68" s="497">
        <v>1703586.24</v>
      </c>
      <c r="AC68" s="497">
        <f t="shared" si="38"/>
        <v>0</v>
      </c>
      <c r="AD68" s="497">
        <f t="shared" si="39"/>
        <v>0</v>
      </c>
      <c r="AE68" s="497">
        <f t="shared" si="40"/>
        <v>0</v>
      </c>
      <c r="AF68" s="497">
        <f t="shared" si="41"/>
        <v>0</v>
      </c>
      <c r="AG68" s="461">
        <v>0</v>
      </c>
      <c r="AH68" s="497">
        <f>ROUND(AG68*AJ3,0)</f>
        <v>0</v>
      </c>
      <c r="AI68" s="461">
        <v>0</v>
      </c>
      <c r="AJ68" s="497">
        <f>ROUND(AI68*AJ3,0)</f>
        <v>0</v>
      </c>
      <c r="AK68" s="476">
        <v>0</v>
      </c>
      <c r="AL68" s="497">
        <f t="shared" si="33"/>
        <v>0</v>
      </c>
      <c r="AM68" s="462">
        <v>1</v>
      </c>
      <c r="AN68" s="497">
        <f t="shared" si="42"/>
        <v>0</v>
      </c>
      <c r="AO68" s="497">
        <f t="shared" si="43"/>
        <v>0</v>
      </c>
      <c r="AP68" s="72"/>
      <c r="AQ68" s="72"/>
    </row>
    <row r="69" spans="1:43" ht="41.4" hidden="1">
      <c r="A69" s="461">
        <v>25</v>
      </c>
      <c r="B69" s="672" t="s">
        <v>681</v>
      </c>
      <c r="C69" s="494" t="s">
        <v>728</v>
      </c>
      <c r="D69" s="461" t="s">
        <v>726</v>
      </c>
      <c r="E69" s="462">
        <v>0</v>
      </c>
      <c r="F69" s="497">
        <v>1</v>
      </c>
      <c r="G69" s="462"/>
      <c r="H69" s="494" t="s">
        <v>846</v>
      </c>
      <c r="I69" s="461"/>
      <c r="J69" s="494" t="s">
        <v>837</v>
      </c>
      <c r="K69" s="461">
        <f t="shared" si="34"/>
        <v>0</v>
      </c>
      <c r="L69" s="461">
        <v>0</v>
      </c>
      <c r="M69" s="461">
        <f t="shared" si="35"/>
        <v>0</v>
      </c>
      <c r="N69" s="461">
        <f t="shared" si="36"/>
        <v>0</v>
      </c>
      <c r="O69" s="461">
        <f t="shared" si="37"/>
        <v>0</v>
      </c>
      <c r="P69" s="461">
        <f t="shared" si="0"/>
        <v>0</v>
      </c>
      <c r="Q69" s="462" t="s">
        <v>788</v>
      </c>
      <c r="R69" s="461">
        <v>0.56999999999999995</v>
      </c>
      <c r="S69" s="462"/>
      <c r="T69" s="461"/>
      <c r="U69" s="461"/>
      <c r="V69" s="461"/>
      <c r="W69" s="461"/>
      <c r="X69" s="502">
        <v>0</v>
      </c>
      <c r="Y69" s="505">
        <v>0</v>
      </c>
      <c r="Z69" s="505">
        <v>0</v>
      </c>
      <c r="AA69" s="506">
        <v>0</v>
      </c>
      <c r="AB69" s="497">
        <v>1703586.24</v>
      </c>
      <c r="AC69" s="497">
        <f t="shared" si="38"/>
        <v>0</v>
      </c>
      <c r="AD69" s="497">
        <f t="shared" si="39"/>
        <v>0</v>
      </c>
      <c r="AE69" s="497">
        <f t="shared" si="40"/>
        <v>0</v>
      </c>
      <c r="AF69" s="497">
        <f t="shared" si="41"/>
        <v>0</v>
      </c>
      <c r="AG69" s="461">
        <v>0</v>
      </c>
      <c r="AH69" s="497">
        <f>ROUND(AG69*AJ3,0)</f>
        <v>0</v>
      </c>
      <c r="AI69" s="461">
        <v>0</v>
      </c>
      <c r="AJ69" s="497">
        <f>ROUND(AI69*AJ3,0)</f>
        <v>0</v>
      </c>
      <c r="AK69" s="476">
        <v>0</v>
      </c>
      <c r="AL69" s="497">
        <f t="shared" si="33"/>
        <v>0</v>
      </c>
      <c r="AM69" s="462">
        <v>1</v>
      </c>
      <c r="AN69" s="497">
        <f t="shared" si="42"/>
        <v>0</v>
      </c>
      <c r="AO69" s="497">
        <f t="shared" si="43"/>
        <v>0</v>
      </c>
      <c r="AP69" s="72"/>
      <c r="AQ69" s="72"/>
    </row>
    <row r="70" spans="1:43" ht="27.6" hidden="1">
      <c r="A70" s="461">
        <v>26</v>
      </c>
      <c r="B70" s="672" t="s">
        <v>729</v>
      </c>
      <c r="C70" s="494" t="s">
        <v>730</v>
      </c>
      <c r="D70" s="461" t="s">
        <v>720</v>
      </c>
      <c r="E70" s="462">
        <v>1E-3</v>
      </c>
      <c r="F70" s="497">
        <v>10000</v>
      </c>
      <c r="G70" s="462"/>
      <c r="H70" s="494"/>
      <c r="I70" s="461"/>
      <c r="J70" s="494" t="s">
        <v>837</v>
      </c>
      <c r="K70" s="461">
        <f t="shared" si="34"/>
        <v>0</v>
      </c>
      <c r="L70" s="461">
        <v>0</v>
      </c>
      <c r="M70" s="461">
        <f t="shared" si="35"/>
        <v>0</v>
      </c>
      <c r="N70" s="461">
        <f t="shared" si="36"/>
        <v>0</v>
      </c>
      <c r="O70" s="461">
        <f t="shared" si="37"/>
        <v>0</v>
      </c>
      <c r="P70" s="461">
        <f t="shared" si="0"/>
        <v>0</v>
      </c>
      <c r="Q70" s="462" t="s">
        <v>788</v>
      </c>
      <c r="R70" s="461">
        <v>0.56999999999999995</v>
      </c>
      <c r="S70" s="462"/>
      <c r="T70" s="461"/>
      <c r="U70" s="461"/>
      <c r="V70" s="461"/>
      <c r="W70" s="461"/>
      <c r="X70" s="502">
        <v>0</v>
      </c>
      <c r="Y70" s="505">
        <v>0</v>
      </c>
      <c r="Z70" s="505">
        <v>0</v>
      </c>
      <c r="AA70" s="506">
        <v>0</v>
      </c>
      <c r="AB70" s="497">
        <v>1703586.24</v>
      </c>
      <c r="AC70" s="497">
        <f t="shared" si="38"/>
        <v>0</v>
      </c>
      <c r="AD70" s="497">
        <f t="shared" si="39"/>
        <v>0</v>
      </c>
      <c r="AE70" s="497">
        <f t="shared" si="40"/>
        <v>0</v>
      </c>
      <c r="AF70" s="497">
        <f t="shared" si="41"/>
        <v>0</v>
      </c>
      <c r="AG70" s="461">
        <v>0</v>
      </c>
      <c r="AH70" s="497">
        <f>ROUND(AG70*AJ3,0)</f>
        <v>0</v>
      </c>
      <c r="AI70" s="461">
        <v>0</v>
      </c>
      <c r="AJ70" s="497">
        <f>ROUND(AI70*AJ3,0)</f>
        <v>0</v>
      </c>
      <c r="AK70" s="476">
        <v>0</v>
      </c>
      <c r="AL70" s="497">
        <f t="shared" si="33"/>
        <v>0</v>
      </c>
      <c r="AM70" s="462">
        <v>1</v>
      </c>
      <c r="AN70" s="497">
        <f t="shared" si="42"/>
        <v>0</v>
      </c>
      <c r="AO70" s="497">
        <f t="shared" si="43"/>
        <v>0</v>
      </c>
      <c r="AP70" s="72"/>
      <c r="AQ70" s="72"/>
    </row>
    <row r="71" spans="1:43" ht="27.6">
      <c r="A71" s="461">
        <v>27</v>
      </c>
      <c r="B71" s="672" t="s">
        <v>619</v>
      </c>
      <c r="C71" s="494" t="s">
        <v>731</v>
      </c>
      <c r="D71" s="461" t="s">
        <v>720</v>
      </c>
      <c r="E71" s="462">
        <v>1E-3</v>
      </c>
      <c r="F71" s="497">
        <v>10000</v>
      </c>
      <c r="G71" s="494" t="s">
        <v>847</v>
      </c>
      <c r="H71" s="494" t="s">
        <v>848</v>
      </c>
      <c r="I71" s="461"/>
      <c r="J71" s="494" t="s">
        <v>831</v>
      </c>
      <c r="K71" s="461">
        <f>L74+L73+L72+L71</f>
        <v>42</v>
      </c>
      <c r="L71" s="461">
        <v>20</v>
      </c>
      <c r="M71" s="461">
        <f t="shared" si="35"/>
        <v>1</v>
      </c>
      <c r="N71" s="461">
        <f t="shared" si="36"/>
        <v>9</v>
      </c>
      <c r="O71" s="461">
        <f t="shared" si="37"/>
        <v>10</v>
      </c>
      <c r="P71" s="461">
        <f t="shared" si="0"/>
        <v>0</v>
      </c>
      <c r="Q71" s="462" t="s">
        <v>836</v>
      </c>
      <c r="R71" s="461">
        <v>0.68</v>
      </c>
      <c r="S71" s="462"/>
      <c r="T71" s="461"/>
      <c r="U71" s="461"/>
      <c r="V71" s="461"/>
      <c r="W71" s="461"/>
      <c r="X71" s="502">
        <v>1.9E-2</v>
      </c>
      <c r="Y71" s="505">
        <v>1.4E-2</v>
      </c>
      <c r="Z71" s="505">
        <v>1.2E-2</v>
      </c>
      <c r="AA71" s="506">
        <v>1.14E-2</v>
      </c>
      <c r="AB71" s="497">
        <v>1607649.12076923</v>
      </c>
      <c r="AC71" s="497">
        <f t="shared" si="38"/>
        <v>20770.826640338451</v>
      </c>
      <c r="AD71" s="497">
        <f t="shared" si="39"/>
        <v>15304.81962972307</v>
      </c>
      <c r="AE71" s="497">
        <f t="shared" si="40"/>
        <v>13118.416825476917</v>
      </c>
      <c r="AF71" s="497">
        <f t="shared" si="41"/>
        <v>12462.495984203073</v>
      </c>
      <c r="AG71" s="461">
        <v>0</v>
      </c>
      <c r="AH71" s="497">
        <f>ROUND(AG71*AJ3,0)</f>
        <v>0</v>
      </c>
      <c r="AI71" s="461">
        <v>1.1E-4</v>
      </c>
      <c r="AJ71" s="497">
        <v>24</v>
      </c>
      <c r="AK71" s="476">
        <v>0</v>
      </c>
      <c r="AL71" s="497">
        <f>(M71*AC71)+(N71*AD71)+(O71*AE71)+(P71*AF71)+AK71+AL72+AL73+AL74</f>
        <v>935008.72863938427</v>
      </c>
      <c r="AM71" s="462">
        <v>1</v>
      </c>
      <c r="AN71" s="497">
        <f t="shared" si="42"/>
        <v>935008.72863938427</v>
      </c>
      <c r="AO71" s="497">
        <f t="shared" si="43"/>
        <v>117.50087286393843</v>
      </c>
      <c r="AP71" s="72"/>
      <c r="AQ71" s="72"/>
    </row>
    <row r="72" spans="1:43" ht="27.6">
      <c r="A72" s="461"/>
      <c r="B72" s="461"/>
      <c r="C72" s="494"/>
      <c r="D72" s="461"/>
      <c r="E72" s="462">
        <v>1E-3</v>
      </c>
      <c r="F72" s="497">
        <v>10000</v>
      </c>
      <c r="G72" s="462"/>
      <c r="H72" s="494" t="s">
        <v>848</v>
      </c>
      <c r="I72" s="461"/>
      <c r="J72" s="494" t="s">
        <v>831</v>
      </c>
      <c r="K72" s="461"/>
      <c r="L72" s="461">
        <v>9</v>
      </c>
      <c r="M72" s="461">
        <f>IF(SUM(L71:L72)&lt;=1,L72,1-SUM(M71:M71))</f>
        <v>0</v>
      </c>
      <c r="N72" s="461">
        <f>IF(SUM(L71:L72)&lt;=10,L72-M72,9-SUM(N71:N71))</f>
        <v>0</v>
      </c>
      <c r="O72" s="461">
        <f>IF(SUM(L71:L72)&lt;=60,L72-M72-N72,50-SUM(O71:O71))</f>
        <v>9</v>
      </c>
      <c r="P72" s="461">
        <f t="shared" si="0"/>
        <v>0</v>
      </c>
      <c r="Q72" s="462" t="s">
        <v>833</v>
      </c>
      <c r="R72" s="461">
        <v>1.35</v>
      </c>
      <c r="S72" s="462"/>
      <c r="T72" s="461"/>
      <c r="U72" s="461"/>
      <c r="V72" s="461"/>
      <c r="W72" s="461"/>
      <c r="X72" s="502"/>
      <c r="Y72" s="505"/>
      <c r="Z72" s="505"/>
      <c r="AA72" s="506"/>
      <c r="AB72" s="497">
        <v>1607649.12076923</v>
      </c>
      <c r="AC72" s="497">
        <f>R72*X71*AB72</f>
        <v>41236.199947730755</v>
      </c>
      <c r="AD72" s="497">
        <f>R72*Y71*AB72</f>
        <v>30384.568382538448</v>
      </c>
      <c r="AE72" s="497">
        <f>R72*Z71*AB72</f>
        <v>26043.915756461531</v>
      </c>
      <c r="AF72" s="497">
        <f>R72*AA71*AB72</f>
        <v>24741.719968638452</v>
      </c>
      <c r="AG72" s="461"/>
      <c r="AH72" s="497"/>
      <c r="AI72" s="461"/>
      <c r="AJ72" s="497"/>
      <c r="AK72" s="476">
        <v>0</v>
      </c>
      <c r="AL72" s="497">
        <f t="shared" ref="AL72:AL74" si="44">(M72*AC72)+(N72*AD72)+(O72*AE72)+(P72*AF72)+AK72</f>
        <v>234395.24180815378</v>
      </c>
      <c r="AM72" s="462">
        <v>0</v>
      </c>
      <c r="AN72" s="497"/>
      <c r="AO72" s="497"/>
      <c r="AP72" s="72"/>
      <c r="AQ72" s="72"/>
    </row>
    <row r="73" spans="1:43" ht="27.6">
      <c r="A73" s="461"/>
      <c r="B73" s="461"/>
      <c r="C73" s="494"/>
      <c r="D73" s="461"/>
      <c r="E73" s="462">
        <v>1E-3</v>
      </c>
      <c r="F73" s="497">
        <v>10000</v>
      </c>
      <c r="G73" s="462"/>
      <c r="H73" s="494" t="s">
        <v>848</v>
      </c>
      <c r="I73" s="461"/>
      <c r="J73" s="494" t="s">
        <v>831</v>
      </c>
      <c r="K73" s="461"/>
      <c r="L73" s="461">
        <v>7</v>
      </c>
      <c r="M73" s="461">
        <f>IF(SUM(L71:L73)&lt;=1,L73,1-SUM(M71:M72))</f>
        <v>0</v>
      </c>
      <c r="N73" s="461">
        <f>IF(SUM(L71:L73)&lt;=10,L73-M73,9-SUM(N71:N72))</f>
        <v>0</v>
      </c>
      <c r="O73" s="461">
        <f>IF(SUM(L71:L73)&lt;=60,L73-M73-N73,50-SUM(O71:O72))</f>
        <v>7</v>
      </c>
      <c r="P73" s="461">
        <f t="shared" si="0"/>
        <v>0</v>
      </c>
      <c r="Q73" s="462" t="s">
        <v>834</v>
      </c>
      <c r="R73" s="461">
        <v>1.5</v>
      </c>
      <c r="S73" s="462"/>
      <c r="T73" s="461"/>
      <c r="U73" s="461"/>
      <c r="V73" s="461"/>
      <c r="W73" s="461"/>
      <c r="X73" s="502"/>
      <c r="Y73" s="505"/>
      <c r="Z73" s="505"/>
      <c r="AA73" s="506"/>
      <c r="AB73" s="497">
        <v>1607649.12076923</v>
      </c>
      <c r="AC73" s="497">
        <f>R73*X71*AB73</f>
        <v>45817.999941923052</v>
      </c>
      <c r="AD73" s="497">
        <f>R73*Y71*AB73</f>
        <v>33760.631536153829</v>
      </c>
      <c r="AE73" s="497">
        <f>R73*Z71*AB73</f>
        <v>28937.684173846141</v>
      </c>
      <c r="AF73" s="497">
        <f>R73*AA71*AB73</f>
        <v>27490.799965153834</v>
      </c>
      <c r="AG73" s="461"/>
      <c r="AH73" s="497"/>
      <c r="AI73" s="461"/>
      <c r="AJ73" s="497"/>
      <c r="AK73" s="476">
        <v>0</v>
      </c>
      <c r="AL73" s="497">
        <f t="shared" si="44"/>
        <v>202563.78921692297</v>
      </c>
      <c r="AM73" s="462">
        <v>0</v>
      </c>
      <c r="AN73" s="497"/>
      <c r="AO73" s="497"/>
      <c r="AP73" s="72"/>
      <c r="AQ73" s="72"/>
    </row>
    <row r="74" spans="1:43" ht="27.6">
      <c r="A74" s="461"/>
      <c r="B74" s="461"/>
      <c r="C74" s="494"/>
      <c r="D74" s="461"/>
      <c r="E74" s="462">
        <v>1E-3</v>
      </c>
      <c r="F74" s="497">
        <v>10000</v>
      </c>
      <c r="G74" s="462"/>
      <c r="H74" s="494" t="s">
        <v>848</v>
      </c>
      <c r="I74" s="461"/>
      <c r="J74" s="494" t="s">
        <v>831</v>
      </c>
      <c r="K74" s="461"/>
      <c r="L74" s="461">
        <v>6</v>
      </c>
      <c r="M74" s="461">
        <f>IF(SUM(L71:L74)&lt;=1,L74,1-SUM(M71:M73))</f>
        <v>0</v>
      </c>
      <c r="N74" s="461">
        <f>IF(SUM(L71:L74)&lt;=10,L74-M74,9-SUM(N71:N73))</f>
        <v>0</v>
      </c>
      <c r="O74" s="461">
        <f>IF(SUM(L71:L74)&lt;=60,L74-M74-N74,50-SUM(O71:O73))</f>
        <v>6</v>
      </c>
      <c r="P74" s="461">
        <f t="shared" si="0"/>
        <v>0</v>
      </c>
      <c r="Q74" s="462" t="s">
        <v>835</v>
      </c>
      <c r="R74" s="461">
        <v>1.8</v>
      </c>
      <c r="S74" s="462"/>
      <c r="T74" s="461"/>
      <c r="U74" s="461"/>
      <c r="V74" s="461"/>
      <c r="W74" s="461"/>
      <c r="X74" s="502"/>
      <c r="Y74" s="505"/>
      <c r="Z74" s="505"/>
      <c r="AA74" s="506"/>
      <c r="AB74" s="497">
        <v>1607649.12076923</v>
      </c>
      <c r="AC74" s="497">
        <f>R74*X71*AB74</f>
        <v>54981.599930307668</v>
      </c>
      <c r="AD74" s="497">
        <f>R74*Y71*AB74</f>
        <v>40512.757843384592</v>
      </c>
      <c r="AE74" s="497">
        <f>R74*Z71*AB74</f>
        <v>34725.221008615372</v>
      </c>
      <c r="AF74" s="497">
        <f>R74*AA71*AB74</f>
        <v>32988.959958184598</v>
      </c>
      <c r="AG74" s="461"/>
      <c r="AH74" s="497"/>
      <c r="AI74" s="461"/>
      <c r="AJ74" s="497"/>
      <c r="AK74" s="476">
        <v>0</v>
      </c>
      <c r="AL74" s="497">
        <f t="shared" si="44"/>
        <v>208351.32605169225</v>
      </c>
      <c r="AM74" s="462">
        <v>0</v>
      </c>
      <c r="AN74" s="497"/>
      <c r="AO74" s="497"/>
      <c r="AP74" s="72"/>
      <c r="AQ74" s="72"/>
    </row>
    <row r="75" spans="1:43" ht="27.6">
      <c r="A75" s="461">
        <v>28</v>
      </c>
      <c r="B75" s="672" t="s">
        <v>646</v>
      </c>
      <c r="C75" s="494" t="s">
        <v>732</v>
      </c>
      <c r="D75" s="461" t="s">
        <v>720</v>
      </c>
      <c r="E75" s="462">
        <v>1E-3</v>
      </c>
      <c r="F75" s="497">
        <v>10000</v>
      </c>
      <c r="G75" s="494" t="s">
        <v>847</v>
      </c>
      <c r="H75" s="494" t="s">
        <v>848</v>
      </c>
      <c r="I75" s="461"/>
      <c r="J75" s="494" t="s">
        <v>831</v>
      </c>
      <c r="K75" s="461">
        <f>L78+L77+L76+L75</f>
        <v>42</v>
      </c>
      <c r="L75" s="461">
        <v>20</v>
      </c>
      <c r="M75" s="461">
        <f>MIN(L75,1)</f>
        <v>1</v>
      </c>
      <c r="N75" s="461">
        <f>IF(L75&lt;10,L75-M75,9)</f>
        <v>9</v>
      </c>
      <c r="O75" s="461">
        <f>IF(L75&lt;60,L75-M75-N75,50)</f>
        <v>10</v>
      </c>
      <c r="P75" s="461">
        <f t="shared" si="0"/>
        <v>0</v>
      </c>
      <c r="Q75" s="462" t="s">
        <v>836</v>
      </c>
      <c r="R75" s="461">
        <v>0.68</v>
      </c>
      <c r="S75" s="462"/>
      <c r="T75" s="461"/>
      <c r="U75" s="461"/>
      <c r="V75" s="461"/>
      <c r="W75" s="461"/>
      <c r="X75" s="502">
        <v>1.9E-2</v>
      </c>
      <c r="Y75" s="505">
        <v>1.4E-2</v>
      </c>
      <c r="Z75" s="505">
        <v>1.2E-2</v>
      </c>
      <c r="AA75" s="506">
        <v>1.14E-2</v>
      </c>
      <c r="AB75" s="497">
        <v>1607649.12076923</v>
      </c>
      <c r="AC75" s="497">
        <f>R75*X75*AB75</f>
        <v>20770.826640338451</v>
      </c>
      <c r="AD75" s="497">
        <f>R75*Y75*AB75</f>
        <v>15304.81962972307</v>
      </c>
      <c r="AE75" s="497">
        <f>R75*Z75*AB75</f>
        <v>13118.416825476917</v>
      </c>
      <c r="AF75" s="497">
        <f>R75*AA75*AB75</f>
        <v>12462.495984203073</v>
      </c>
      <c r="AG75" s="461">
        <v>0</v>
      </c>
      <c r="AH75" s="497">
        <f>ROUND(AG75*AJ3,0)</f>
        <v>0</v>
      </c>
      <c r="AI75" s="461">
        <v>1.1E-4</v>
      </c>
      <c r="AJ75" s="497">
        <v>24</v>
      </c>
      <c r="AK75" s="476">
        <v>0</v>
      </c>
      <c r="AL75" s="497">
        <f>(M75*AC75)+(N75*AD75)+(O75*AE75)+(P75*AF75)+AK75+AL76+AL77+AL78</f>
        <v>935008.72863938427</v>
      </c>
      <c r="AM75" s="462">
        <v>1</v>
      </c>
      <c r="AN75" s="497">
        <f>AL75*AM75</f>
        <v>935008.72863938427</v>
      </c>
      <c r="AO75" s="497">
        <f>(AN75/F75)+AH75+AJ75</f>
        <v>117.50087286393843</v>
      </c>
      <c r="AP75" s="72"/>
      <c r="AQ75" s="72"/>
    </row>
    <row r="76" spans="1:43" ht="27.6">
      <c r="A76" s="461"/>
      <c r="B76" s="461"/>
      <c r="C76" s="494"/>
      <c r="D76" s="461"/>
      <c r="E76" s="462">
        <v>1E-3</v>
      </c>
      <c r="F76" s="497">
        <v>10000</v>
      </c>
      <c r="G76" s="462"/>
      <c r="H76" s="494" t="s">
        <v>848</v>
      </c>
      <c r="I76" s="461"/>
      <c r="J76" s="494" t="s">
        <v>831</v>
      </c>
      <c r="K76" s="461"/>
      <c r="L76" s="461">
        <v>9</v>
      </c>
      <c r="M76" s="461">
        <f>IF(SUM(L75:L76)&lt;=1,L76,1-SUM(M75:M75))</f>
        <v>0</v>
      </c>
      <c r="N76" s="461">
        <f>IF(SUM(L75:L76)&lt;=10,L76-M76,9-SUM(N75:N75))</f>
        <v>0</v>
      </c>
      <c r="O76" s="461">
        <f>IF(SUM(L75:L76)&lt;=60,L76-M76-N76,50-SUM(O75:O75))</f>
        <v>9</v>
      </c>
      <c r="P76" s="461">
        <f t="shared" si="0"/>
        <v>0</v>
      </c>
      <c r="Q76" s="462" t="s">
        <v>833</v>
      </c>
      <c r="R76" s="461">
        <v>1.35</v>
      </c>
      <c r="S76" s="462"/>
      <c r="T76" s="461"/>
      <c r="U76" s="461"/>
      <c r="V76" s="461"/>
      <c r="W76" s="461"/>
      <c r="X76" s="502"/>
      <c r="Y76" s="505"/>
      <c r="Z76" s="505"/>
      <c r="AA76" s="506"/>
      <c r="AB76" s="497">
        <v>1607649.12076923</v>
      </c>
      <c r="AC76" s="497">
        <f>R76*X75*AB76</f>
        <v>41236.199947730755</v>
      </c>
      <c r="AD76" s="497">
        <f>R76*Y75*AB76</f>
        <v>30384.568382538448</v>
      </c>
      <c r="AE76" s="497">
        <f>R76*Z75*AB76</f>
        <v>26043.915756461531</v>
      </c>
      <c r="AF76" s="497">
        <f>R76*AA75*AB76</f>
        <v>24741.719968638452</v>
      </c>
      <c r="AG76" s="461"/>
      <c r="AH76" s="497"/>
      <c r="AI76" s="461"/>
      <c r="AJ76" s="497"/>
      <c r="AK76" s="476">
        <v>0</v>
      </c>
      <c r="AL76" s="497">
        <f t="shared" ref="AL76:AL81" si="45">(M76*AC76)+(N76*AD76)+(O76*AE76)+(P76*AF76)+AK76</f>
        <v>234395.24180815378</v>
      </c>
      <c r="AM76" s="462">
        <v>0</v>
      </c>
      <c r="AN76" s="497"/>
      <c r="AO76" s="497"/>
      <c r="AP76" s="72"/>
      <c r="AQ76" s="72"/>
    </row>
    <row r="77" spans="1:43" ht="27.6">
      <c r="A77" s="461"/>
      <c r="B77" s="461"/>
      <c r="C77" s="494"/>
      <c r="D77" s="461"/>
      <c r="E77" s="462">
        <v>1E-3</v>
      </c>
      <c r="F77" s="497">
        <v>10000</v>
      </c>
      <c r="G77" s="462"/>
      <c r="H77" s="494" t="s">
        <v>848</v>
      </c>
      <c r="I77" s="461"/>
      <c r="J77" s="494" t="s">
        <v>831</v>
      </c>
      <c r="K77" s="461"/>
      <c r="L77" s="461">
        <v>7</v>
      </c>
      <c r="M77" s="461">
        <f>IF(SUM(L75:L77)&lt;=1,L77,1-SUM(M75:M76))</f>
        <v>0</v>
      </c>
      <c r="N77" s="461">
        <f>IF(SUM(L75:L77)&lt;=10,L77-M77,9-SUM(N75:N76))</f>
        <v>0</v>
      </c>
      <c r="O77" s="461">
        <f>IF(SUM(L75:L77)&lt;=60,L77-M77-N77,50-SUM(O75:O76))</f>
        <v>7</v>
      </c>
      <c r="P77" s="461">
        <f t="shared" si="0"/>
        <v>0</v>
      </c>
      <c r="Q77" s="462" t="s">
        <v>834</v>
      </c>
      <c r="R77" s="461">
        <v>1.5</v>
      </c>
      <c r="S77" s="462"/>
      <c r="T77" s="461"/>
      <c r="U77" s="461"/>
      <c r="V77" s="461"/>
      <c r="W77" s="461"/>
      <c r="X77" s="502"/>
      <c r="Y77" s="505"/>
      <c r="Z77" s="505"/>
      <c r="AA77" s="506"/>
      <c r="AB77" s="497">
        <v>1607649.12076923</v>
      </c>
      <c r="AC77" s="497">
        <f>R77*X75*AB77</f>
        <v>45817.999941923052</v>
      </c>
      <c r="AD77" s="497">
        <f>R77*Y75*AB77</f>
        <v>33760.631536153829</v>
      </c>
      <c r="AE77" s="497">
        <f>R77*Z75*AB77</f>
        <v>28937.684173846141</v>
      </c>
      <c r="AF77" s="497">
        <f>R77*AA75*AB77</f>
        <v>27490.799965153834</v>
      </c>
      <c r="AG77" s="461"/>
      <c r="AH77" s="497"/>
      <c r="AI77" s="461"/>
      <c r="AJ77" s="497"/>
      <c r="AK77" s="476">
        <v>0</v>
      </c>
      <c r="AL77" s="497">
        <f t="shared" si="45"/>
        <v>202563.78921692297</v>
      </c>
      <c r="AM77" s="462">
        <v>0</v>
      </c>
      <c r="AN77" s="497"/>
      <c r="AO77" s="497"/>
      <c r="AP77" s="72"/>
      <c r="AQ77" s="72"/>
    </row>
    <row r="78" spans="1:43" ht="27.6">
      <c r="A78" s="461"/>
      <c r="B78" s="461"/>
      <c r="C78" s="494"/>
      <c r="D78" s="461"/>
      <c r="E78" s="462">
        <v>1E-3</v>
      </c>
      <c r="F78" s="497">
        <v>10000</v>
      </c>
      <c r="G78" s="462"/>
      <c r="H78" s="494" t="s">
        <v>848</v>
      </c>
      <c r="I78" s="461"/>
      <c r="J78" s="494" t="s">
        <v>831</v>
      </c>
      <c r="K78" s="461"/>
      <c r="L78" s="461">
        <v>6</v>
      </c>
      <c r="M78" s="461">
        <f>IF(SUM(L75:L78)&lt;=1,L78,1-SUM(M75:M77))</f>
        <v>0</v>
      </c>
      <c r="N78" s="461">
        <f>IF(SUM(L75:L78)&lt;=10,L78-M78,9-SUM(N75:N77))</f>
        <v>0</v>
      </c>
      <c r="O78" s="461">
        <f>IF(SUM(L75:L78)&lt;=60,L78-M78-N78,50-SUM(O75:O77))</f>
        <v>6</v>
      </c>
      <c r="P78" s="461">
        <f t="shared" si="0"/>
        <v>0</v>
      </c>
      <c r="Q78" s="462" t="s">
        <v>835</v>
      </c>
      <c r="R78" s="461">
        <v>1.8</v>
      </c>
      <c r="S78" s="462"/>
      <c r="T78" s="461"/>
      <c r="U78" s="461"/>
      <c r="V78" s="461"/>
      <c r="W78" s="461"/>
      <c r="X78" s="502"/>
      <c r="Y78" s="505"/>
      <c r="Z78" s="505"/>
      <c r="AA78" s="506"/>
      <c r="AB78" s="497">
        <v>1607649.12076923</v>
      </c>
      <c r="AC78" s="497">
        <f>R78*X75*AB78</f>
        <v>54981.599930307668</v>
      </c>
      <c r="AD78" s="497">
        <f>R78*Y75*AB78</f>
        <v>40512.757843384592</v>
      </c>
      <c r="AE78" s="497">
        <f>R78*Z75*AB78</f>
        <v>34725.221008615372</v>
      </c>
      <c r="AF78" s="497">
        <f>R78*AA75*AB78</f>
        <v>32988.959958184598</v>
      </c>
      <c r="AG78" s="461"/>
      <c r="AH78" s="497"/>
      <c r="AI78" s="461"/>
      <c r="AJ78" s="497"/>
      <c r="AK78" s="476">
        <v>0</v>
      </c>
      <c r="AL78" s="497">
        <f t="shared" si="45"/>
        <v>208351.32605169225</v>
      </c>
      <c r="AM78" s="462">
        <v>0</v>
      </c>
      <c r="AN78" s="497"/>
      <c r="AO78" s="497"/>
      <c r="AP78" s="72"/>
      <c r="AQ78" s="72"/>
    </row>
    <row r="79" spans="1:43" ht="27.6" hidden="1">
      <c r="A79" s="461">
        <v>29</v>
      </c>
      <c r="B79" s="672" t="s">
        <v>617</v>
      </c>
      <c r="C79" s="494" t="s">
        <v>733</v>
      </c>
      <c r="D79" s="461" t="s">
        <v>734</v>
      </c>
      <c r="E79" s="462">
        <v>0</v>
      </c>
      <c r="F79" s="497">
        <v>1</v>
      </c>
      <c r="G79" s="462"/>
      <c r="H79" s="494"/>
      <c r="I79" s="461"/>
      <c r="J79" s="494" t="s">
        <v>837</v>
      </c>
      <c r="K79" s="461">
        <f t="shared" ref="K79:K81" si="46">L79</f>
        <v>0</v>
      </c>
      <c r="L79" s="461">
        <v>0</v>
      </c>
      <c r="M79" s="461">
        <f t="shared" ref="M79:M82" si="47">MIN(L79,1)</f>
        <v>0</v>
      </c>
      <c r="N79" s="461">
        <f t="shared" ref="N79:N82" si="48">IF(L79&lt;10,L79-M79,9)</f>
        <v>0</v>
      </c>
      <c r="O79" s="461">
        <f t="shared" ref="O79:O82" si="49">IF(L79&lt;60,L79-M79-N79,50)</f>
        <v>0</v>
      </c>
      <c r="P79" s="461">
        <f t="shared" si="0"/>
        <v>0</v>
      </c>
      <c r="Q79" s="462" t="s">
        <v>788</v>
      </c>
      <c r="R79" s="461">
        <v>0.56999999999999995</v>
      </c>
      <c r="S79" s="462"/>
      <c r="T79" s="461"/>
      <c r="U79" s="461"/>
      <c r="V79" s="461"/>
      <c r="W79" s="461"/>
      <c r="X79" s="502">
        <v>0</v>
      </c>
      <c r="Y79" s="505">
        <v>0</v>
      </c>
      <c r="Z79" s="505">
        <v>0</v>
      </c>
      <c r="AA79" s="506">
        <v>0</v>
      </c>
      <c r="AB79" s="497">
        <v>1703586.24</v>
      </c>
      <c r="AC79" s="497">
        <f t="shared" ref="AC79:AC82" si="50">R79*X79*AB79</f>
        <v>0</v>
      </c>
      <c r="AD79" s="497">
        <f t="shared" ref="AD79:AD82" si="51">R79*Y79*AB79</f>
        <v>0</v>
      </c>
      <c r="AE79" s="497">
        <f t="shared" ref="AE79:AE82" si="52">R79*Z79*AB79</f>
        <v>0</v>
      </c>
      <c r="AF79" s="497">
        <f t="shared" ref="AF79:AF82" si="53">R79*AA79*AB79</f>
        <v>0</v>
      </c>
      <c r="AG79" s="461">
        <v>0</v>
      </c>
      <c r="AH79" s="497">
        <f>ROUND(AG79*AJ3,0)</f>
        <v>0</v>
      </c>
      <c r="AI79" s="461">
        <v>0</v>
      </c>
      <c r="AJ79" s="497">
        <f>ROUND(AI79*AJ3,0)</f>
        <v>0</v>
      </c>
      <c r="AK79" s="476">
        <v>0</v>
      </c>
      <c r="AL79" s="497">
        <f t="shared" si="45"/>
        <v>0</v>
      </c>
      <c r="AM79" s="462">
        <v>1</v>
      </c>
      <c r="AN79" s="497">
        <f t="shared" ref="AN79:AN82" si="54">AL79*AM79</f>
        <v>0</v>
      </c>
      <c r="AO79" s="497">
        <f t="shared" ref="AO79:AO82" si="55">(AN79/F79)+AH79+AJ79</f>
        <v>0</v>
      </c>
      <c r="AP79" s="72"/>
      <c r="AQ79" s="72"/>
    </row>
    <row r="80" spans="1:43" ht="27.6" hidden="1">
      <c r="A80" s="461">
        <v>30</v>
      </c>
      <c r="B80" s="672" t="s">
        <v>735</v>
      </c>
      <c r="C80" s="494" t="s">
        <v>736</v>
      </c>
      <c r="D80" s="461" t="s">
        <v>414</v>
      </c>
      <c r="E80" s="462">
        <v>0</v>
      </c>
      <c r="F80" s="497">
        <v>1</v>
      </c>
      <c r="G80" s="462"/>
      <c r="H80" s="494"/>
      <c r="I80" s="461"/>
      <c r="J80" s="494" t="s">
        <v>837</v>
      </c>
      <c r="K80" s="461">
        <f t="shared" si="46"/>
        <v>0</v>
      </c>
      <c r="L80" s="461">
        <v>0</v>
      </c>
      <c r="M80" s="461">
        <f t="shared" si="47"/>
        <v>0</v>
      </c>
      <c r="N80" s="461">
        <f t="shared" si="48"/>
        <v>0</v>
      </c>
      <c r="O80" s="461">
        <f t="shared" si="49"/>
        <v>0</v>
      </c>
      <c r="P80" s="461">
        <f t="shared" si="0"/>
        <v>0</v>
      </c>
      <c r="Q80" s="462" t="s">
        <v>788</v>
      </c>
      <c r="R80" s="461">
        <v>0.56999999999999995</v>
      </c>
      <c r="S80" s="462"/>
      <c r="T80" s="461"/>
      <c r="U80" s="461"/>
      <c r="V80" s="461"/>
      <c r="W80" s="461"/>
      <c r="X80" s="502">
        <v>0</v>
      </c>
      <c r="Y80" s="505">
        <v>0</v>
      </c>
      <c r="Z80" s="505">
        <v>0</v>
      </c>
      <c r="AA80" s="506">
        <v>0</v>
      </c>
      <c r="AB80" s="497">
        <v>1703586.24</v>
      </c>
      <c r="AC80" s="497">
        <f t="shared" si="50"/>
        <v>0</v>
      </c>
      <c r="AD80" s="497">
        <f t="shared" si="51"/>
        <v>0</v>
      </c>
      <c r="AE80" s="497">
        <f t="shared" si="52"/>
        <v>0</v>
      </c>
      <c r="AF80" s="497">
        <f t="shared" si="53"/>
        <v>0</v>
      </c>
      <c r="AG80" s="461">
        <v>0</v>
      </c>
      <c r="AH80" s="497">
        <f>ROUND(AG80*AJ3,0)</f>
        <v>0</v>
      </c>
      <c r="AI80" s="461">
        <v>0</v>
      </c>
      <c r="AJ80" s="497">
        <f>ROUND(AI80*AJ3,0)</f>
        <v>0</v>
      </c>
      <c r="AK80" s="476">
        <v>0</v>
      </c>
      <c r="AL80" s="497">
        <f t="shared" si="45"/>
        <v>0</v>
      </c>
      <c r="AM80" s="462">
        <v>1</v>
      </c>
      <c r="AN80" s="497">
        <f t="shared" si="54"/>
        <v>0</v>
      </c>
      <c r="AO80" s="497">
        <f t="shared" si="55"/>
        <v>0</v>
      </c>
      <c r="AP80" s="72"/>
      <c r="AQ80" s="72"/>
    </row>
    <row r="81" spans="1:43" ht="41.4" hidden="1">
      <c r="A81" s="461">
        <v>31</v>
      </c>
      <c r="B81" s="672" t="s">
        <v>680</v>
      </c>
      <c r="C81" s="494" t="s">
        <v>737</v>
      </c>
      <c r="D81" s="461" t="s">
        <v>414</v>
      </c>
      <c r="E81" s="462">
        <v>0</v>
      </c>
      <c r="F81" s="497">
        <v>1</v>
      </c>
      <c r="G81" s="462"/>
      <c r="H81" s="494" t="s">
        <v>844</v>
      </c>
      <c r="I81" s="461"/>
      <c r="J81" s="494" t="s">
        <v>837</v>
      </c>
      <c r="K81" s="461">
        <f t="shared" si="46"/>
        <v>0</v>
      </c>
      <c r="L81" s="461">
        <v>0</v>
      </c>
      <c r="M81" s="461">
        <f t="shared" si="47"/>
        <v>0</v>
      </c>
      <c r="N81" s="461">
        <f t="shared" si="48"/>
        <v>0</v>
      </c>
      <c r="O81" s="461">
        <f t="shared" si="49"/>
        <v>0</v>
      </c>
      <c r="P81" s="461">
        <f t="shared" si="0"/>
        <v>0</v>
      </c>
      <c r="Q81" s="462" t="s">
        <v>788</v>
      </c>
      <c r="R81" s="461">
        <v>0.56999999999999995</v>
      </c>
      <c r="S81" s="462"/>
      <c r="T81" s="461"/>
      <c r="U81" s="461"/>
      <c r="V81" s="461"/>
      <c r="W81" s="461"/>
      <c r="X81" s="502">
        <v>0</v>
      </c>
      <c r="Y81" s="505">
        <v>0</v>
      </c>
      <c r="Z81" s="505">
        <v>0</v>
      </c>
      <c r="AA81" s="506">
        <v>0</v>
      </c>
      <c r="AB81" s="497">
        <v>1703586.24</v>
      </c>
      <c r="AC81" s="497">
        <f t="shared" si="50"/>
        <v>0</v>
      </c>
      <c r="AD81" s="497">
        <f t="shared" si="51"/>
        <v>0</v>
      </c>
      <c r="AE81" s="497">
        <f t="shared" si="52"/>
        <v>0</v>
      </c>
      <c r="AF81" s="497">
        <f t="shared" si="53"/>
        <v>0</v>
      </c>
      <c r="AG81" s="461">
        <v>0</v>
      </c>
      <c r="AH81" s="497">
        <f>ROUND(AG81*AJ3,0)</f>
        <v>0</v>
      </c>
      <c r="AI81" s="461">
        <v>0</v>
      </c>
      <c r="AJ81" s="497">
        <f>ROUND(AI81*AJ3,0)</f>
        <v>0</v>
      </c>
      <c r="AK81" s="476">
        <v>0</v>
      </c>
      <c r="AL81" s="497">
        <f t="shared" si="45"/>
        <v>0</v>
      </c>
      <c r="AM81" s="462">
        <v>1</v>
      </c>
      <c r="AN81" s="497">
        <f t="shared" si="54"/>
        <v>0</v>
      </c>
      <c r="AO81" s="497">
        <f t="shared" si="55"/>
        <v>0</v>
      </c>
      <c r="AP81" s="72"/>
      <c r="AQ81" s="72"/>
    </row>
    <row r="82" spans="1:43" ht="27.6">
      <c r="A82" s="461">
        <v>32</v>
      </c>
      <c r="B82" s="672" t="s">
        <v>639</v>
      </c>
      <c r="C82" s="494" t="s">
        <v>738</v>
      </c>
      <c r="D82" s="461" t="s">
        <v>720</v>
      </c>
      <c r="E82" s="462">
        <v>1E-3</v>
      </c>
      <c r="F82" s="497">
        <v>10000</v>
      </c>
      <c r="G82" s="494" t="s">
        <v>849</v>
      </c>
      <c r="H82" s="494" t="s">
        <v>848</v>
      </c>
      <c r="I82" s="461"/>
      <c r="J82" s="494" t="s">
        <v>831</v>
      </c>
      <c r="K82" s="461">
        <f>L85+L84+L83+L82</f>
        <v>90</v>
      </c>
      <c r="L82" s="461">
        <v>68</v>
      </c>
      <c r="M82" s="461">
        <f t="shared" si="47"/>
        <v>1</v>
      </c>
      <c r="N82" s="461">
        <f t="shared" si="48"/>
        <v>9</v>
      </c>
      <c r="O82" s="461">
        <f t="shared" si="49"/>
        <v>50</v>
      </c>
      <c r="P82" s="461">
        <f t="shared" si="0"/>
        <v>8</v>
      </c>
      <c r="Q82" s="462" t="s">
        <v>836</v>
      </c>
      <c r="R82" s="493">
        <v>0.68</v>
      </c>
      <c r="S82" s="462"/>
      <c r="T82" s="461"/>
      <c r="U82" s="461"/>
      <c r="V82" s="461"/>
      <c r="W82" s="461"/>
      <c r="X82" s="502">
        <v>1.9E-2</v>
      </c>
      <c r="Y82" s="505">
        <v>1.4E-2</v>
      </c>
      <c r="Z82" s="505">
        <v>1.2E-2</v>
      </c>
      <c r="AA82" s="506">
        <v>1.14E-2</v>
      </c>
      <c r="AB82" s="497">
        <v>1607649.12076923</v>
      </c>
      <c r="AC82" s="497">
        <f t="shared" si="50"/>
        <v>20770.826640338451</v>
      </c>
      <c r="AD82" s="497">
        <f t="shared" si="51"/>
        <v>15304.81962972307</v>
      </c>
      <c r="AE82" s="497">
        <f t="shared" si="52"/>
        <v>13118.416825476917</v>
      </c>
      <c r="AF82" s="497">
        <f t="shared" si="53"/>
        <v>12462.495984203073</v>
      </c>
      <c r="AG82" s="461">
        <v>0</v>
      </c>
      <c r="AH82" s="497">
        <f>ROUND(AG82*AJ3,0)</f>
        <v>0</v>
      </c>
      <c r="AI82" s="461">
        <v>1.1E-4</v>
      </c>
      <c r="AJ82" s="497">
        <v>24</v>
      </c>
      <c r="AK82" s="476">
        <v>0</v>
      </c>
      <c r="AL82" s="497">
        <f>(M82*AC82)+(N82*AD82)+(O82*AE82)+(P82*AF82)+AK82+AL83+AL84+AL85</f>
        <v>1527179.8516782471</v>
      </c>
      <c r="AM82" s="462">
        <v>1</v>
      </c>
      <c r="AN82" s="497">
        <f t="shared" si="54"/>
        <v>1527179.8516782471</v>
      </c>
      <c r="AO82" s="497">
        <f t="shared" si="55"/>
        <v>176.71798516782471</v>
      </c>
      <c r="AP82" s="72"/>
      <c r="AQ82" s="72"/>
    </row>
    <row r="83" spans="1:43" ht="27.6">
      <c r="A83" s="461"/>
      <c r="B83" s="461"/>
      <c r="C83" s="494"/>
      <c r="D83" s="461"/>
      <c r="E83" s="462">
        <v>1E-3</v>
      </c>
      <c r="F83" s="497">
        <v>10000</v>
      </c>
      <c r="G83" s="462"/>
      <c r="H83" s="494" t="s">
        <v>848</v>
      </c>
      <c r="I83" s="461"/>
      <c r="J83" s="494" t="s">
        <v>831</v>
      </c>
      <c r="K83" s="461"/>
      <c r="L83" s="461">
        <v>9</v>
      </c>
      <c r="M83" s="461">
        <f>IF(SUM(L82:L83)&lt;=1,L83,1-SUM(M82:M82))</f>
        <v>0</v>
      </c>
      <c r="N83" s="461">
        <f>IF(SUM(L82:L83)&lt;=10,L83-M83,9-SUM(N82:N82))</f>
        <v>0</v>
      </c>
      <c r="O83" s="461">
        <f>IF(SUM(L82:L83)&lt;=60,L83-M83-N83,50-SUM(O82:O82))</f>
        <v>0</v>
      </c>
      <c r="P83" s="461">
        <f t="shared" si="0"/>
        <v>9</v>
      </c>
      <c r="Q83" s="462" t="s">
        <v>833</v>
      </c>
      <c r="R83" s="461">
        <v>1.35</v>
      </c>
      <c r="S83" s="462"/>
      <c r="T83" s="461"/>
      <c r="U83" s="461"/>
      <c r="V83" s="461"/>
      <c r="W83" s="461"/>
      <c r="X83" s="502"/>
      <c r="Y83" s="505"/>
      <c r="Z83" s="505"/>
      <c r="AA83" s="506"/>
      <c r="AB83" s="497">
        <v>1607649.12076923</v>
      </c>
      <c r="AC83" s="497">
        <f>R83*X82*AB83</f>
        <v>41236.199947730755</v>
      </c>
      <c r="AD83" s="497">
        <f>R83*Y82*AB83</f>
        <v>30384.568382538448</v>
      </c>
      <c r="AE83" s="497">
        <f>R83*Z82*AB83</f>
        <v>26043.915756461531</v>
      </c>
      <c r="AF83" s="497">
        <f>R83*AA82*AB83</f>
        <v>24741.719968638452</v>
      </c>
      <c r="AG83" s="461"/>
      <c r="AH83" s="497"/>
      <c r="AI83" s="461"/>
      <c r="AJ83" s="497"/>
      <c r="AK83" s="476">
        <v>0</v>
      </c>
      <c r="AL83" s="497">
        <f t="shared" ref="AL83:AL86" si="56">(M83*AC83)+(N83*AD83)+(O83*AE83)+(P83*AF83)+AK83</f>
        <v>222675.47971774606</v>
      </c>
      <c r="AM83" s="462">
        <v>0</v>
      </c>
      <c r="AN83" s="497"/>
      <c r="AO83" s="497"/>
      <c r="AP83" s="72"/>
      <c r="AQ83" s="72"/>
    </row>
    <row r="84" spans="1:43" ht="27.6">
      <c r="A84" s="461"/>
      <c r="B84" s="461"/>
      <c r="C84" s="494"/>
      <c r="D84" s="461"/>
      <c r="E84" s="462">
        <v>1E-3</v>
      </c>
      <c r="F84" s="497">
        <v>10000</v>
      </c>
      <c r="G84" s="462"/>
      <c r="H84" s="494" t="s">
        <v>848</v>
      </c>
      <c r="I84" s="461"/>
      <c r="J84" s="494" t="s">
        <v>831</v>
      </c>
      <c r="K84" s="461"/>
      <c r="L84" s="461">
        <v>7</v>
      </c>
      <c r="M84" s="461">
        <f>IF(SUM(L82:L84)&lt;=1,L84,1-SUM(M82:M83))</f>
        <v>0</v>
      </c>
      <c r="N84" s="461">
        <f>IF(SUM(L82:L84)&lt;=10,L84-M84,9-SUM(N82:N83))</f>
        <v>0</v>
      </c>
      <c r="O84" s="461">
        <f>IF(SUM(L82:L84)&lt;=60,L84-M84-N84,50-SUM(O82:O83))</f>
        <v>0</v>
      </c>
      <c r="P84" s="461">
        <f t="shared" si="0"/>
        <v>7</v>
      </c>
      <c r="Q84" s="462" t="s">
        <v>834</v>
      </c>
      <c r="R84" s="461">
        <v>1.5</v>
      </c>
      <c r="S84" s="462"/>
      <c r="T84" s="461"/>
      <c r="U84" s="461"/>
      <c r="V84" s="461"/>
      <c r="W84" s="461"/>
      <c r="X84" s="502"/>
      <c r="Y84" s="505"/>
      <c r="Z84" s="505"/>
      <c r="AA84" s="506"/>
      <c r="AB84" s="497">
        <v>1607649.12076923</v>
      </c>
      <c r="AC84" s="497">
        <f>R84*X82*AB84</f>
        <v>45817.999941923052</v>
      </c>
      <c r="AD84" s="497">
        <f>R84*Y82*AB84</f>
        <v>33760.631536153829</v>
      </c>
      <c r="AE84" s="497">
        <f>R84*Z82*AB84</f>
        <v>28937.684173846141</v>
      </c>
      <c r="AF84" s="497">
        <f>R84*AA82*AB84</f>
        <v>27490.799965153834</v>
      </c>
      <c r="AG84" s="461"/>
      <c r="AH84" s="497"/>
      <c r="AI84" s="461"/>
      <c r="AJ84" s="497"/>
      <c r="AK84" s="476">
        <v>0</v>
      </c>
      <c r="AL84" s="497">
        <f t="shared" si="56"/>
        <v>192435.59975607684</v>
      </c>
      <c r="AM84" s="462">
        <v>0</v>
      </c>
      <c r="AN84" s="497"/>
      <c r="AO84" s="497"/>
      <c r="AP84" s="72"/>
      <c r="AQ84" s="72"/>
    </row>
    <row r="85" spans="1:43" ht="27.6">
      <c r="A85" s="461"/>
      <c r="B85" s="461"/>
      <c r="C85" s="494"/>
      <c r="D85" s="461"/>
      <c r="E85" s="462">
        <v>1E-3</v>
      </c>
      <c r="F85" s="497">
        <v>10000</v>
      </c>
      <c r="G85" s="462"/>
      <c r="H85" s="494" t="s">
        <v>848</v>
      </c>
      <c r="I85" s="461"/>
      <c r="J85" s="494" t="s">
        <v>831</v>
      </c>
      <c r="K85" s="461"/>
      <c r="L85" s="461">
        <v>6</v>
      </c>
      <c r="M85" s="461">
        <f>IF(SUM(L82:L85)&lt;=1,L85,1-SUM(M82:M84))</f>
        <v>0</v>
      </c>
      <c r="N85" s="461">
        <f>IF(SUM(L82:L85)&lt;=10,L85-M85,9-SUM(N82:N84))</f>
        <v>0</v>
      </c>
      <c r="O85" s="461">
        <f>IF(SUM(L82:L85)&lt;=60,L85-M85-N85,50-SUM(O82:O84))</f>
        <v>0</v>
      </c>
      <c r="P85" s="461">
        <f t="shared" si="0"/>
        <v>6</v>
      </c>
      <c r="Q85" s="462" t="s">
        <v>835</v>
      </c>
      <c r="R85" s="461">
        <v>1.8</v>
      </c>
      <c r="S85" s="462"/>
      <c r="T85" s="461"/>
      <c r="U85" s="461"/>
      <c r="V85" s="461"/>
      <c r="W85" s="461"/>
      <c r="X85" s="502"/>
      <c r="Y85" s="505"/>
      <c r="Z85" s="505"/>
      <c r="AA85" s="506"/>
      <c r="AB85" s="497">
        <v>1607649.12076923</v>
      </c>
      <c r="AC85" s="497">
        <f>R85*X82*AB85</f>
        <v>54981.599930307668</v>
      </c>
      <c r="AD85" s="497">
        <f>R85*Y82*AB85</f>
        <v>40512.757843384592</v>
      </c>
      <c r="AE85" s="497">
        <f>R85*Z82*AB85</f>
        <v>34725.221008615372</v>
      </c>
      <c r="AF85" s="497">
        <f>R85*AA82*AB85</f>
        <v>32988.959958184598</v>
      </c>
      <c r="AG85" s="461"/>
      <c r="AH85" s="497"/>
      <c r="AI85" s="461"/>
      <c r="AJ85" s="497"/>
      <c r="AK85" s="476">
        <v>0</v>
      </c>
      <c r="AL85" s="497">
        <f t="shared" si="56"/>
        <v>197933.75974910759</v>
      </c>
      <c r="AM85" s="462">
        <v>0</v>
      </c>
      <c r="AN85" s="497"/>
      <c r="AO85" s="497"/>
      <c r="AP85" s="72"/>
      <c r="AQ85" s="72"/>
    </row>
    <row r="86" spans="1:43" ht="27.6" hidden="1">
      <c r="A86" s="461">
        <v>33</v>
      </c>
      <c r="B86" s="672" t="s">
        <v>628</v>
      </c>
      <c r="C86" s="494" t="s">
        <v>739</v>
      </c>
      <c r="D86" s="461" t="s">
        <v>720</v>
      </c>
      <c r="E86" s="462">
        <v>1E-3</v>
      </c>
      <c r="F86" s="497">
        <v>10000</v>
      </c>
      <c r="G86" s="462"/>
      <c r="H86" s="494"/>
      <c r="I86" s="461"/>
      <c r="J86" s="494" t="s">
        <v>837</v>
      </c>
      <c r="K86" s="461">
        <f>L86</f>
        <v>0</v>
      </c>
      <c r="L86" s="461">
        <v>0</v>
      </c>
      <c r="M86" s="461">
        <f t="shared" ref="M86:M87" si="57">MIN(L86,1)</f>
        <v>0</v>
      </c>
      <c r="N86" s="461">
        <f t="shared" ref="N86:N87" si="58">IF(L86&lt;10,L86-M86,9)</f>
        <v>0</v>
      </c>
      <c r="O86" s="461">
        <f t="shared" ref="O86:O87" si="59">IF(L86&lt;60,L86-M86-N86,50)</f>
        <v>0</v>
      </c>
      <c r="P86" s="461">
        <f t="shared" si="0"/>
        <v>0</v>
      </c>
      <c r="Q86" s="462" t="s">
        <v>788</v>
      </c>
      <c r="R86" s="461">
        <v>0.56999999999999995</v>
      </c>
      <c r="S86" s="462"/>
      <c r="T86" s="461"/>
      <c r="U86" s="461"/>
      <c r="V86" s="461"/>
      <c r="W86" s="461"/>
      <c r="X86" s="502">
        <v>0</v>
      </c>
      <c r="Y86" s="505">
        <v>0</v>
      </c>
      <c r="Z86" s="505">
        <v>0</v>
      </c>
      <c r="AA86" s="506">
        <v>0</v>
      </c>
      <c r="AB86" s="497">
        <v>1703586.24</v>
      </c>
      <c r="AC86" s="497">
        <f t="shared" ref="AC86:AC87" si="60">R86*X86*AB86</f>
        <v>0</v>
      </c>
      <c r="AD86" s="497">
        <f t="shared" ref="AD86:AD87" si="61">R86*Y86*AB86</f>
        <v>0</v>
      </c>
      <c r="AE86" s="497">
        <f t="shared" ref="AE86:AE87" si="62">R86*Z86*AB86</f>
        <v>0</v>
      </c>
      <c r="AF86" s="497">
        <f t="shared" ref="AF86:AF87" si="63">R86*AA86*AB86</f>
        <v>0</v>
      </c>
      <c r="AG86" s="461">
        <v>0</v>
      </c>
      <c r="AH86" s="497">
        <f>ROUND(AG86*AJ3,0)</f>
        <v>0</v>
      </c>
      <c r="AI86" s="461">
        <v>0</v>
      </c>
      <c r="AJ86" s="497">
        <f>ROUND(AI86*AJ3,0)</f>
        <v>0</v>
      </c>
      <c r="AK86" s="476">
        <v>0</v>
      </c>
      <c r="AL86" s="497">
        <f t="shared" si="56"/>
        <v>0</v>
      </c>
      <c r="AM86" s="462">
        <v>1</v>
      </c>
      <c r="AN86" s="497">
        <f t="shared" ref="AN86:AN87" si="64">AL86*AM86</f>
        <v>0</v>
      </c>
      <c r="AO86" s="497">
        <f t="shared" ref="AO86:AO87" si="65">(AN86/F86)+AH86+AJ86</f>
        <v>0</v>
      </c>
      <c r="AP86" s="72"/>
      <c r="AQ86" s="72"/>
    </row>
    <row r="87" spans="1:43" ht="27.6">
      <c r="A87" s="461">
        <v>34</v>
      </c>
      <c r="B87" s="672" t="s">
        <v>632</v>
      </c>
      <c r="C87" s="494" t="s">
        <v>740</v>
      </c>
      <c r="D87" s="461" t="s">
        <v>720</v>
      </c>
      <c r="E87" s="462">
        <v>1E-3</v>
      </c>
      <c r="F87" s="497">
        <v>10000</v>
      </c>
      <c r="G87" s="498" t="s">
        <v>841</v>
      </c>
      <c r="H87" s="494" t="s">
        <v>844</v>
      </c>
      <c r="I87" s="461"/>
      <c r="J87" s="494" t="s">
        <v>831</v>
      </c>
      <c r="K87" s="461">
        <f>L89+L88+L87</f>
        <v>22</v>
      </c>
      <c r="L87" s="461">
        <v>9</v>
      </c>
      <c r="M87" s="461">
        <f t="shared" si="57"/>
        <v>1</v>
      </c>
      <c r="N87" s="461">
        <f t="shared" si="58"/>
        <v>8</v>
      </c>
      <c r="O87" s="461">
        <f t="shared" si="59"/>
        <v>0</v>
      </c>
      <c r="P87" s="461">
        <f t="shared" si="0"/>
        <v>0</v>
      </c>
      <c r="Q87" s="462" t="s">
        <v>833</v>
      </c>
      <c r="R87" s="461">
        <v>1.35</v>
      </c>
      <c r="S87" s="462"/>
      <c r="T87" s="461"/>
      <c r="U87" s="461"/>
      <c r="V87" s="461"/>
      <c r="W87" s="461"/>
      <c r="X87" s="502">
        <v>1.2999999999999999E-2</v>
      </c>
      <c r="Y87" s="505">
        <v>0.01</v>
      </c>
      <c r="Z87" s="505">
        <v>6.0000000000000001E-3</v>
      </c>
      <c r="AA87" s="506">
        <v>5.7000000000000002E-3</v>
      </c>
      <c r="AB87" s="497">
        <v>1607649.12076923</v>
      </c>
      <c r="AC87" s="497">
        <f t="shared" si="60"/>
        <v>28214.242069499986</v>
      </c>
      <c r="AD87" s="497">
        <f t="shared" si="61"/>
        <v>21703.263130384606</v>
      </c>
      <c r="AE87" s="497">
        <f t="shared" si="62"/>
        <v>13021.957878230765</v>
      </c>
      <c r="AF87" s="497">
        <f t="shared" si="63"/>
        <v>12370.859984319226</v>
      </c>
      <c r="AG87" s="461">
        <v>0</v>
      </c>
      <c r="AH87" s="497">
        <f>ROUND(AG87*AJ3,0)</f>
        <v>0</v>
      </c>
      <c r="AI87" s="461">
        <v>2.1000000000000001E-4</v>
      </c>
      <c r="AJ87" s="497">
        <v>46</v>
      </c>
      <c r="AK87" s="476">
        <v>0</v>
      </c>
      <c r="AL87" s="497">
        <f>(M87*AC87)+(N87*AD87)+(O87*AE87)+(P87*AF87)+AK87+AL88+AL89</f>
        <v>416943.79947149981</v>
      </c>
      <c r="AM87" s="462">
        <v>1</v>
      </c>
      <c r="AN87" s="497">
        <f t="shared" si="64"/>
        <v>416943.79947149981</v>
      </c>
      <c r="AO87" s="497">
        <f t="shared" si="65"/>
        <v>87.694379947149983</v>
      </c>
      <c r="AP87" s="72"/>
      <c r="AQ87" s="72"/>
    </row>
    <row r="88" spans="1:43" ht="27.6">
      <c r="A88" s="461"/>
      <c r="B88" s="461"/>
      <c r="C88" s="494"/>
      <c r="D88" s="461"/>
      <c r="E88" s="462">
        <v>1E-3</v>
      </c>
      <c r="F88" s="497">
        <v>10000</v>
      </c>
      <c r="G88" s="462"/>
      <c r="H88" s="494" t="s">
        <v>844</v>
      </c>
      <c r="I88" s="461"/>
      <c r="J88" s="494" t="s">
        <v>831</v>
      </c>
      <c r="K88" s="461"/>
      <c r="L88" s="461">
        <v>7</v>
      </c>
      <c r="M88" s="461">
        <f>IF(SUM(L87:L88)&lt;=1,L88,1-SUM(M87:M87))</f>
        <v>0</v>
      </c>
      <c r="N88" s="461">
        <f>IF(SUM(L87:L88)&lt;=10,L88-M88,9-SUM(N87:N87))</f>
        <v>1</v>
      </c>
      <c r="O88" s="461">
        <f>IF(SUM(L87:L88)&lt;=60,L88-M88-N88,50-SUM(O87:O87))</f>
        <v>6</v>
      </c>
      <c r="P88" s="461">
        <f t="shared" si="0"/>
        <v>0</v>
      </c>
      <c r="Q88" s="462" t="s">
        <v>834</v>
      </c>
      <c r="R88" s="461">
        <v>1.5</v>
      </c>
      <c r="S88" s="462"/>
      <c r="T88" s="461"/>
      <c r="U88" s="461"/>
      <c r="V88" s="461"/>
      <c r="W88" s="461"/>
      <c r="X88" s="502"/>
      <c r="Y88" s="505"/>
      <c r="Z88" s="505"/>
      <c r="AA88" s="506"/>
      <c r="AB88" s="497">
        <v>1607649.12076923</v>
      </c>
      <c r="AC88" s="497">
        <f>R88*X87*AB88</f>
        <v>31349.157854999983</v>
      </c>
      <c r="AD88" s="497">
        <f>R88*Y87*AB88</f>
        <v>24114.736811538449</v>
      </c>
      <c r="AE88" s="497">
        <f>R88*Z87*AB88</f>
        <v>14468.84208692307</v>
      </c>
      <c r="AF88" s="497">
        <f>R88*AA87*AB88</f>
        <v>13745.399982576917</v>
      </c>
      <c r="AG88" s="461"/>
      <c r="AH88" s="497"/>
      <c r="AI88" s="461"/>
      <c r="AJ88" s="497"/>
      <c r="AK88" s="476">
        <v>0</v>
      </c>
      <c r="AL88" s="497">
        <f t="shared" ref="AL88:AL89" si="66">(M88*AC88)+(N88*AD88)+(O88*AE88)+(P88*AF88)+AK88</f>
        <v>110927.78933307687</v>
      </c>
      <c r="AM88" s="462">
        <v>0</v>
      </c>
      <c r="AN88" s="497"/>
      <c r="AO88" s="497"/>
      <c r="AP88" s="72"/>
      <c r="AQ88" s="72"/>
    </row>
    <row r="89" spans="1:43" ht="27.6">
      <c r="A89" s="461"/>
      <c r="B89" s="461"/>
      <c r="C89" s="494"/>
      <c r="D89" s="461"/>
      <c r="E89" s="462">
        <v>1E-3</v>
      </c>
      <c r="F89" s="497">
        <v>10000</v>
      </c>
      <c r="G89" s="462"/>
      <c r="H89" s="494" t="s">
        <v>844</v>
      </c>
      <c r="I89" s="461"/>
      <c r="J89" s="494" t="s">
        <v>831</v>
      </c>
      <c r="K89" s="461"/>
      <c r="L89" s="461">
        <v>6</v>
      </c>
      <c r="M89" s="461">
        <f>IF(SUM(L87:L89)&lt;=1,L89,1-SUM(M87:M88))</f>
        <v>0</v>
      </c>
      <c r="N89" s="461">
        <f>IF(SUM(L87:L89)&lt;=10,L89-M89,9-SUM(N87:N88))</f>
        <v>0</v>
      </c>
      <c r="O89" s="461">
        <f>IF(SUM(L87:L89)&lt;=60,L89-M89-N89,50-SUM(O87:O88))</f>
        <v>6</v>
      </c>
      <c r="P89" s="461">
        <f t="shared" si="0"/>
        <v>0</v>
      </c>
      <c r="Q89" s="462" t="s">
        <v>835</v>
      </c>
      <c r="R89" s="461">
        <v>1.8</v>
      </c>
      <c r="S89" s="462"/>
      <c r="T89" s="461"/>
      <c r="U89" s="461"/>
      <c r="V89" s="461"/>
      <c r="W89" s="461"/>
      <c r="X89" s="502"/>
      <c r="Y89" s="505"/>
      <c r="Z89" s="505"/>
      <c r="AA89" s="506"/>
      <c r="AB89" s="497">
        <v>1607649.12076923</v>
      </c>
      <c r="AC89" s="497">
        <f>R89*X87*AB89</f>
        <v>37618.989425999978</v>
      </c>
      <c r="AD89" s="497">
        <f>R89*Y87*AB89</f>
        <v>28937.684173846141</v>
      </c>
      <c r="AE89" s="497">
        <f>R89*Z87*AB89</f>
        <v>17362.610504307686</v>
      </c>
      <c r="AF89" s="497">
        <f>R89*AA87*AB89</f>
        <v>16494.479979092299</v>
      </c>
      <c r="AG89" s="461"/>
      <c r="AH89" s="497"/>
      <c r="AI89" s="461"/>
      <c r="AJ89" s="497"/>
      <c r="AK89" s="476">
        <v>0</v>
      </c>
      <c r="AL89" s="497">
        <f t="shared" si="66"/>
        <v>104175.66302584612</v>
      </c>
      <c r="AM89" s="462">
        <v>0</v>
      </c>
      <c r="AN89" s="497"/>
      <c r="AO89" s="497"/>
      <c r="AP89" s="72"/>
      <c r="AQ89" s="72"/>
    </row>
    <row r="90" spans="1:43" ht="27.6">
      <c r="A90" s="461">
        <v>35</v>
      </c>
      <c r="B90" s="672" t="s">
        <v>664</v>
      </c>
      <c r="C90" s="494" t="s">
        <v>741</v>
      </c>
      <c r="D90" s="461" t="s">
        <v>720</v>
      </c>
      <c r="E90" s="462">
        <v>1E-3</v>
      </c>
      <c r="F90" s="497">
        <v>10000</v>
      </c>
      <c r="G90" s="498" t="s">
        <v>841</v>
      </c>
      <c r="H90" s="494" t="s">
        <v>844</v>
      </c>
      <c r="I90" s="461"/>
      <c r="J90" s="494" t="s">
        <v>831</v>
      </c>
      <c r="K90" s="461">
        <f>L92+L91+L90</f>
        <v>22</v>
      </c>
      <c r="L90" s="461">
        <v>9</v>
      </c>
      <c r="M90" s="461">
        <f>MIN(L90,1)</f>
        <v>1</v>
      </c>
      <c r="N90" s="461">
        <f>IF(L90&lt;10,L90-M90,9)</f>
        <v>8</v>
      </c>
      <c r="O90" s="461">
        <f>IF(L90&lt;60,L90-M90-N90,50)</f>
        <v>0</v>
      </c>
      <c r="P90" s="461">
        <f t="shared" si="0"/>
        <v>0</v>
      </c>
      <c r="Q90" s="462" t="s">
        <v>833</v>
      </c>
      <c r="R90" s="461">
        <v>1.35</v>
      </c>
      <c r="S90" s="462"/>
      <c r="T90" s="461"/>
      <c r="U90" s="461"/>
      <c r="V90" s="461"/>
      <c r="W90" s="461"/>
      <c r="X90" s="502">
        <v>1.2999999999999999E-2</v>
      </c>
      <c r="Y90" s="505">
        <v>0.01</v>
      </c>
      <c r="Z90" s="505">
        <v>6.0000000000000001E-3</v>
      </c>
      <c r="AA90" s="506">
        <v>5.7000000000000002E-3</v>
      </c>
      <c r="AB90" s="497">
        <v>1607649.12076923</v>
      </c>
      <c r="AC90" s="497">
        <f>R90*X90*AB90</f>
        <v>28214.242069499986</v>
      </c>
      <c r="AD90" s="497">
        <f>R90*Y90*AB90</f>
        <v>21703.263130384606</v>
      </c>
      <c r="AE90" s="497">
        <f>R90*Z90*AB90</f>
        <v>13021.957878230765</v>
      </c>
      <c r="AF90" s="497">
        <f>R90*AA90*AB90</f>
        <v>12370.859984319226</v>
      </c>
      <c r="AG90" s="461">
        <v>0</v>
      </c>
      <c r="AH90" s="497">
        <f>ROUND(AG90*AJ3,0)</f>
        <v>0</v>
      </c>
      <c r="AI90" s="461">
        <v>2.1000000000000001E-4</v>
      </c>
      <c r="AJ90" s="497">
        <v>46</v>
      </c>
      <c r="AK90" s="476">
        <v>0</v>
      </c>
      <c r="AL90" s="497">
        <f>(M90*AC90)+(N90*AD90)+(O90*AE90)+(P90*AF90)+AK90+AL91+AL92</f>
        <v>416943.79947149981</v>
      </c>
      <c r="AM90" s="462">
        <v>1</v>
      </c>
      <c r="AN90" s="497">
        <f>AL90*AM90</f>
        <v>416943.79947149981</v>
      </c>
      <c r="AO90" s="497">
        <f>(AN90/F90)+AH90+AJ90</f>
        <v>87.694379947149983</v>
      </c>
      <c r="AP90" s="72"/>
      <c r="AQ90" s="72"/>
    </row>
    <row r="91" spans="1:43" ht="27.6">
      <c r="A91" s="461"/>
      <c r="B91" s="461"/>
      <c r="C91" s="494"/>
      <c r="D91" s="461"/>
      <c r="E91" s="462">
        <v>1E-3</v>
      </c>
      <c r="F91" s="497">
        <v>10000</v>
      </c>
      <c r="G91" s="462"/>
      <c r="H91" s="494" t="s">
        <v>844</v>
      </c>
      <c r="I91" s="461"/>
      <c r="J91" s="494" t="s">
        <v>831</v>
      </c>
      <c r="K91" s="461"/>
      <c r="L91" s="461">
        <v>7</v>
      </c>
      <c r="M91" s="461">
        <f>IF(SUM(L90:L91)&lt;=1,L91,1-SUM(M90:M90))</f>
        <v>0</v>
      </c>
      <c r="N91" s="461">
        <f>IF(SUM(L90:L91)&lt;=10,L91-M91,9-SUM(N90:N90))</f>
        <v>1</v>
      </c>
      <c r="O91" s="461">
        <f>IF(SUM(L90:L91)&lt;=60,L91-M91-N91,50-SUM(O90:O90))</f>
        <v>6</v>
      </c>
      <c r="P91" s="461">
        <f t="shared" si="0"/>
        <v>0</v>
      </c>
      <c r="Q91" s="462" t="s">
        <v>834</v>
      </c>
      <c r="R91" s="461">
        <v>1.5</v>
      </c>
      <c r="S91" s="462"/>
      <c r="T91" s="461"/>
      <c r="U91" s="461"/>
      <c r="V91" s="461"/>
      <c r="W91" s="461"/>
      <c r="X91" s="502"/>
      <c r="Y91" s="505"/>
      <c r="Z91" s="505"/>
      <c r="AA91" s="506"/>
      <c r="AB91" s="497">
        <v>1607649.12076923</v>
      </c>
      <c r="AC91" s="497">
        <f>R91*X90*AB91</f>
        <v>31349.157854999983</v>
      </c>
      <c r="AD91" s="497">
        <f>R91*Y90*AB91</f>
        <v>24114.736811538449</v>
      </c>
      <c r="AE91" s="497">
        <f>R91*Z90*AB91</f>
        <v>14468.84208692307</v>
      </c>
      <c r="AF91" s="497">
        <f>R91*AA90*AB91</f>
        <v>13745.399982576917</v>
      </c>
      <c r="AG91" s="461"/>
      <c r="AH91" s="497"/>
      <c r="AI91" s="461"/>
      <c r="AJ91" s="497"/>
      <c r="AK91" s="476">
        <v>0</v>
      </c>
      <c r="AL91" s="497">
        <f t="shared" ref="AL91:AL92" si="67">(M91*AC91)+(N91*AD91)+(O91*AE91)+(P91*AF91)+AK91</f>
        <v>110927.78933307687</v>
      </c>
      <c r="AM91" s="462">
        <v>0</v>
      </c>
      <c r="AN91" s="497"/>
      <c r="AO91" s="497"/>
      <c r="AP91" s="72"/>
      <c r="AQ91" s="72"/>
    </row>
    <row r="92" spans="1:43" ht="27.6">
      <c r="A92" s="461"/>
      <c r="B92" s="461"/>
      <c r="C92" s="494"/>
      <c r="D92" s="461"/>
      <c r="E92" s="462">
        <v>1E-3</v>
      </c>
      <c r="F92" s="497">
        <v>10000</v>
      </c>
      <c r="G92" s="462"/>
      <c r="H92" s="494" t="s">
        <v>844</v>
      </c>
      <c r="I92" s="461"/>
      <c r="J92" s="494" t="s">
        <v>831</v>
      </c>
      <c r="K92" s="461"/>
      <c r="L92" s="461">
        <v>6</v>
      </c>
      <c r="M92" s="461">
        <f>IF(SUM(L90:L92)&lt;=1,L92,1-SUM(M90:M91))</f>
        <v>0</v>
      </c>
      <c r="N92" s="461">
        <f>IF(SUM(L90:L92)&lt;=10,L92-M92,9-SUM(N90:N91))</f>
        <v>0</v>
      </c>
      <c r="O92" s="461">
        <f>IF(SUM(L90:L92)&lt;=60,L92-M92-N92,50-SUM(O90:O91))</f>
        <v>6</v>
      </c>
      <c r="P92" s="461">
        <f t="shared" si="0"/>
        <v>0</v>
      </c>
      <c r="Q92" s="462" t="s">
        <v>835</v>
      </c>
      <c r="R92" s="461">
        <v>1.8</v>
      </c>
      <c r="S92" s="462"/>
      <c r="T92" s="461"/>
      <c r="U92" s="461"/>
      <c r="V92" s="461"/>
      <c r="W92" s="461"/>
      <c r="X92" s="502"/>
      <c r="Y92" s="505"/>
      <c r="Z92" s="505"/>
      <c r="AA92" s="506"/>
      <c r="AB92" s="497">
        <v>1607649.12076923</v>
      </c>
      <c r="AC92" s="497">
        <f>R92*X90*AB92</f>
        <v>37618.989425999978</v>
      </c>
      <c r="AD92" s="497">
        <f>R92*Y90*AB92</f>
        <v>28937.684173846141</v>
      </c>
      <c r="AE92" s="497">
        <f>R92*Z90*AB92</f>
        <v>17362.610504307686</v>
      </c>
      <c r="AF92" s="497">
        <f>R92*AA90*AB92</f>
        <v>16494.479979092299</v>
      </c>
      <c r="AG92" s="461"/>
      <c r="AH92" s="497"/>
      <c r="AI92" s="461"/>
      <c r="AJ92" s="497"/>
      <c r="AK92" s="476">
        <v>0</v>
      </c>
      <c r="AL92" s="497">
        <f t="shared" si="67"/>
        <v>104175.66302584612</v>
      </c>
      <c r="AM92" s="462">
        <v>0</v>
      </c>
      <c r="AN92" s="497"/>
      <c r="AO92" s="497"/>
      <c r="AP92" s="72"/>
      <c r="AQ92" s="72"/>
    </row>
    <row r="93" spans="1:43" ht="27.6">
      <c r="A93" s="461">
        <v>36</v>
      </c>
      <c r="B93" s="672" t="s">
        <v>627</v>
      </c>
      <c r="C93" s="494" t="s">
        <v>742</v>
      </c>
      <c r="D93" s="461" t="s">
        <v>720</v>
      </c>
      <c r="E93" s="462">
        <v>1E-3</v>
      </c>
      <c r="F93" s="497">
        <v>10000</v>
      </c>
      <c r="G93" s="498" t="s">
        <v>841</v>
      </c>
      <c r="H93" s="494" t="s">
        <v>844</v>
      </c>
      <c r="I93" s="461"/>
      <c r="J93" s="494" t="s">
        <v>831</v>
      </c>
      <c r="K93" s="461">
        <f>L95+L94+L93</f>
        <v>22</v>
      </c>
      <c r="L93" s="461">
        <v>9</v>
      </c>
      <c r="M93" s="461">
        <f>MIN(L93,1)</f>
        <v>1</v>
      </c>
      <c r="N93" s="461">
        <f>IF(L93&lt;10,L93-M93,9)</f>
        <v>8</v>
      </c>
      <c r="O93" s="461">
        <f>IF(L93&lt;60,L93-M93-N93,50)</f>
        <v>0</v>
      </c>
      <c r="P93" s="461">
        <f t="shared" si="0"/>
        <v>0</v>
      </c>
      <c r="Q93" s="462" t="s">
        <v>833</v>
      </c>
      <c r="R93" s="461">
        <v>1.35</v>
      </c>
      <c r="S93" s="462"/>
      <c r="T93" s="461"/>
      <c r="U93" s="461"/>
      <c r="V93" s="461"/>
      <c r="W93" s="461"/>
      <c r="X93" s="502">
        <v>1.2999999999999999E-2</v>
      </c>
      <c r="Y93" s="505">
        <v>0.01</v>
      </c>
      <c r="Z93" s="505">
        <v>6.0000000000000001E-3</v>
      </c>
      <c r="AA93" s="506">
        <v>5.7000000000000002E-3</v>
      </c>
      <c r="AB93" s="497">
        <v>1607649.12076923</v>
      </c>
      <c r="AC93" s="497">
        <f>R93*X93*AB93</f>
        <v>28214.242069499986</v>
      </c>
      <c r="AD93" s="497">
        <f>R93*Y93*AB93</f>
        <v>21703.263130384606</v>
      </c>
      <c r="AE93" s="497">
        <f>R93*Z93*AB93</f>
        <v>13021.957878230765</v>
      </c>
      <c r="AF93" s="497">
        <f>R93*AA93*AB93</f>
        <v>12370.859984319226</v>
      </c>
      <c r="AG93" s="461">
        <v>0</v>
      </c>
      <c r="AH93" s="497">
        <f>ROUND(AG93*AJ3,0)</f>
        <v>0</v>
      </c>
      <c r="AI93" s="461">
        <v>2.1000000000000001E-4</v>
      </c>
      <c r="AJ93" s="497">
        <v>46</v>
      </c>
      <c r="AK93" s="476">
        <v>0</v>
      </c>
      <c r="AL93" s="497">
        <f>(M93*AC93)+(N93*AD93)+(O93*AE93)+(P93*AF93)+AK93+AL94+AL95</f>
        <v>416943.79947149981</v>
      </c>
      <c r="AM93" s="462">
        <v>1</v>
      </c>
      <c r="AN93" s="497">
        <f>AL93*AM93</f>
        <v>416943.79947149981</v>
      </c>
      <c r="AO93" s="497">
        <f>(AN93/F93)+AH93+AJ93</f>
        <v>87.694379947149983</v>
      </c>
      <c r="AP93" s="72"/>
      <c r="AQ93" s="72"/>
    </row>
    <row r="94" spans="1:43" ht="27.6">
      <c r="A94" s="461"/>
      <c r="B94" s="461"/>
      <c r="C94" s="494"/>
      <c r="D94" s="461"/>
      <c r="E94" s="462">
        <v>1E-3</v>
      </c>
      <c r="F94" s="497">
        <v>10000</v>
      </c>
      <c r="G94" s="462"/>
      <c r="H94" s="494" t="s">
        <v>844</v>
      </c>
      <c r="I94" s="461"/>
      <c r="J94" s="494" t="s">
        <v>831</v>
      </c>
      <c r="K94" s="461"/>
      <c r="L94" s="461">
        <v>7</v>
      </c>
      <c r="M94" s="461">
        <f>IF(SUM(L93:L94)&lt;=1,L94,1-SUM(M93:M93))</f>
        <v>0</v>
      </c>
      <c r="N94" s="461">
        <f>IF(SUM(L93:L94)&lt;=10,L94-M94,9-SUM(N93:N93))</f>
        <v>1</v>
      </c>
      <c r="O94" s="461">
        <f>IF(SUM(L93:L94)&lt;=60,L94-M94-N94,50-SUM(O93:O93))</f>
        <v>6</v>
      </c>
      <c r="P94" s="461">
        <f t="shared" si="0"/>
        <v>0</v>
      </c>
      <c r="Q94" s="462" t="s">
        <v>834</v>
      </c>
      <c r="R94" s="461">
        <v>1.5</v>
      </c>
      <c r="S94" s="462"/>
      <c r="T94" s="461"/>
      <c r="U94" s="461"/>
      <c r="V94" s="461"/>
      <c r="W94" s="461"/>
      <c r="X94" s="502"/>
      <c r="Y94" s="505"/>
      <c r="Z94" s="505"/>
      <c r="AA94" s="506"/>
      <c r="AB94" s="497">
        <v>1607649.12076923</v>
      </c>
      <c r="AC94" s="497">
        <f>R94*X93*AB94</f>
        <v>31349.157854999983</v>
      </c>
      <c r="AD94" s="497">
        <f>R94*Y93*AB94</f>
        <v>24114.736811538449</v>
      </c>
      <c r="AE94" s="497">
        <f>R94*Z93*AB94</f>
        <v>14468.84208692307</v>
      </c>
      <c r="AF94" s="497">
        <f>R94*AA93*AB94</f>
        <v>13745.399982576917</v>
      </c>
      <c r="AG94" s="461"/>
      <c r="AH94" s="497"/>
      <c r="AI94" s="461"/>
      <c r="AJ94" s="497"/>
      <c r="AK94" s="476">
        <v>0</v>
      </c>
      <c r="AL94" s="497">
        <f t="shared" ref="AL94:AL95" si="68">(M94*AC94)+(N94*AD94)+(O94*AE94)+(P94*AF94)+AK94</f>
        <v>110927.78933307687</v>
      </c>
      <c r="AM94" s="462">
        <v>0</v>
      </c>
      <c r="AN94" s="497"/>
      <c r="AO94" s="497"/>
      <c r="AP94" s="72"/>
      <c r="AQ94" s="72"/>
    </row>
    <row r="95" spans="1:43" ht="27.6">
      <c r="A95" s="461"/>
      <c r="B95" s="461"/>
      <c r="C95" s="494"/>
      <c r="D95" s="461"/>
      <c r="E95" s="462">
        <v>1E-3</v>
      </c>
      <c r="F95" s="497">
        <v>10000</v>
      </c>
      <c r="G95" s="462"/>
      <c r="H95" s="494" t="s">
        <v>844</v>
      </c>
      <c r="I95" s="461"/>
      <c r="J95" s="494" t="s">
        <v>831</v>
      </c>
      <c r="K95" s="461"/>
      <c r="L95" s="461">
        <v>6</v>
      </c>
      <c r="M95" s="461">
        <f>IF(SUM(L93:L95)&lt;=1,L95,1-SUM(M93:M94))</f>
        <v>0</v>
      </c>
      <c r="N95" s="461">
        <f>IF(SUM(L93:L95)&lt;=10,L95-M95,9-SUM(N93:N94))</f>
        <v>0</v>
      </c>
      <c r="O95" s="461">
        <f>IF(SUM(L93:L95)&lt;=60,L95-M95-N95,50-SUM(O93:O94))</f>
        <v>6</v>
      </c>
      <c r="P95" s="461">
        <f t="shared" si="0"/>
        <v>0</v>
      </c>
      <c r="Q95" s="462" t="s">
        <v>835</v>
      </c>
      <c r="R95" s="461">
        <v>1.8</v>
      </c>
      <c r="S95" s="462"/>
      <c r="T95" s="461"/>
      <c r="U95" s="461"/>
      <c r="V95" s="461"/>
      <c r="W95" s="461"/>
      <c r="X95" s="502"/>
      <c r="Y95" s="505"/>
      <c r="Z95" s="505"/>
      <c r="AA95" s="506"/>
      <c r="AB95" s="497">
        <v>1607649.12076923</v>
      </c>
      <c r="AC95" s="497">
        <f>R95*X93*AB95</f>
        <v>37618.989425999978</v>
      </c>
      <c r="AD95" s="497">
        <f>R95*Y93*AB95</f>
        <v>28937.684173846141</v>
      </c>
      <c r="AE95" s="497">
        <f>R95*Z93*AB95</f>
        <v>17362.610504307686</v>
      </c>
      <c r="AF95" s="497">
        <f>R95*AA93*AB95</f>
        <v>16494.479979092299</v>
      </c>
      <c r="AG95" s="461"/>
      <c r="AH95" s="497"/>
      <c r="AI95" s="461"/>
      <c r="AJ95" s="497"/>
      <c r="AK95" s="476">
        <v>0</v>
      </c>
      <c r="AL95" s="497">
        <f t="shared" si="68"/>
        <v>104175.66302584612</v>
      </c>
      <c r="AM95" s="462">
        <v>0</v>
      </c>
      <c r="AN95" s="497"/>
      <c r="AO95" s="497"/>
      <c r="AP95" s="72"/>
      <c r="AQ95" s="72"/>
    </row>
    <row r="96" spans="1:43" ht="27.6">
      <c r="A96" s="461">
        <v>37</v>
      </c>
      <c r="B96" s="672" t="s">
        <v>663</v>
      </c>
      <c r="C96" s="494" t="s">
        <v>743</v>
      </c>
      <c r="D96" s="461" t="s">
        <v>720</v>
      </c>
      <c r="E96" s="462">
        <v>1E-3</v>
      </c>
      <c r="F96" s="497">
        <v>10000</v>
      </c>
      <c r="G96" s="498" t="s">
        <v>841</v>
      </c>
      <c r="H96" s="494" t="s">
        <v>844</v>
      </c>
      <c r="I96" s="461"/>
      <c r="J96" s="494" t="s">
        <v>831</v>
      </c>
      <c r="K96" s="461">
        <f>L98+L97+L96</f>
        <v>22</v>
      </c>
      <c r="L96" s="461">
        <v>9</v>
      </c>
      <c r="M96" s="461">
        <f>MIN(L96,1)</f>
        <v>1</v>
      </c>
      <c r="N96" s="461">
        <f>IF(L96&lt;10,L96-M96,9)</f>
        <v>8</v>
      </c>
      <c r="O96" s="461">
        <f>IF(L96&lt;60,L96-M96-N96,50)</f>
        <v>0</v>
      </c>
      <c r="P96" s="461">
        <f t="shared" si="0"/>
        <v>0</v>
      </c>
      <c r="Q96" s="462" t="s">
        <v>833</v>
      </c>
      <c r="R96" s="461">
        <v>1.35</v>
      </c>
      <c r="S96" s="462"/>
      <c r="T96" s="461"/>
      <c r="U96" s="461"/>
      <c r="V96" s="461"/>
      <c r="W96" s="461"/>
      <c r="X96" s="502">
        <v>1.2999999999999999E-2</v>
      </c>
      <c r="Y96" s="505">
        <v>0.01</v>
      </c>
      <c r="Z96" s="505">
        <v>6.0000000000000001E-3</v>
      </c>
      <c r="AA96" s="506">
        <v>5.7000000000000002E-3</v>
      </c>
      <c r="AB96" s="497">
        <v>1607649.12076923</v>
      </c>
      <c r="AC96" s="497">
        <f>R96*X96*AB96</f>
        <v>28214.242069499986</v>
      </c>
      <c r="AD96" s="497">
        <f>R96*Y96*AB96</f>
        <v>21703.263130384606</v>
      </c>
      <c r="AE96" s="497">
        <f>R96*Z96*AB96</f>
        <v>13021.957878230765</v>
      </c>
      <c r="AF96" s="497">
        <f>R96*AA96*AB96</f>
        <v>12370.859984319226</v>
      </c>
      <c r="AG96" s="461">
        <v>0</v>
      </c>
      <c r="AH96" s="497">
        <f>ROUND(AG96*AJ3,0)</f>
        <v>0</v>
      </c>
      <c r="AI96" s="461">
        <v>2.1000000000000001E-4</v>
      </c>
      <c r="AJ96" s="497">
        <v>46</v>
      </c>
      <c r="AK96" s="476">
        <v>0</v>
      </c>
      <c r="AL96" s="497">
        <f>(M96*AC96)+(N96*AD96)+(O96*AE96)+(P96*AF96)+AK96+AL97+AL98</f>
        <v>416943.79947149981</v>
      </c>
      <c r="AM96" s="462">
        <v>1</v>
      </c>
      <c r="AN96" s="497">
        <f>AL96*AM96</f>
        <v>416943.79947149981</v>
      </c>
      <c r="AO96" s="497">
        <f>(AN96/F96)+AH96+AJ96</f>
        <v>87.694379947149983</v>
      </c>
      <c r="AP96" s="72"/>
      <c r="AQ96" s="72"/>
    </row>
    <row r="97" spans="1:43" ht="27.6">
      <c r="A97" s="461"/>
      <c r="B97" s="461"/>
      <c r="C97" s="494"/>
      <c r="D97" s="461"/>
      <c r="E97" s="462">
        <v>1E-3</v>
      </c>
      <c r="F97" s="497">
        <v>10000</v>
      </c>
      <c r="G97" s="462"/>
      <c r="H97" s="494" t="s">
        <v>844</v>
      </c>
      <c r="I97" s="461"/>
      <c r="J97" s="494" t="s">
        <v>831</v>
      </c>
      <c r="K97" s="461"/>
      <c r="L97" s="461">
        <v>7</v>
      </c>
      <c r="M97" s="461">
        <f>IF(SUM(L96:L97)&lt;=1,L97,1-SUM(M96:M96))</f>
        <v>0</v>
      </c>
      <c r="N97" s="461">
        <f>IF(SUM(L96:L97)&lt;=10,L97-M97,9-SUM(N96:N96))</f>
        <v>1</v>
      </c>
      <c r="O97" s="461">
        <f>IF(SUM(L96:L97)&lt;=60,L97-M97-N97,50-SUM(O96:O96))</f>
        <v>6</v>
      </c>
      <c r="P97" s="461">
        <f t="shared" si="0"/>
        <v>0</v>
      </c>
      <c r="Q97" s="462" t="s">
        <v>834</v>
      </c>
      <c r="R97" s="461">
        <v>1.5</v>
      </c>
      <c r="S97" s="462"/>
      <c r="T97" s="461"/>
      <c r="U97" s="461"/>
      <c r="V97" s="461"/>
      <c r="W97" s="461"/>
      <c r="X97" s="502"/>
      <c r="Y97" s="505"/>
      <c r="Z97" s="505"/>
      <c r="AA97" s="506"/>
      <c r="AB97" s="497">
        <v>1607649.12076923</v>
      </c>
      <c r="AC97" s="497">
        <f>R97*X96*AB97</f>
        <v>31349.157854999983</v>
      </c>
      <c r="AD97" s="497">
        <f>R97*Y96*AB97</f>
        <v>24114.736811538449</v>
      </c>
      <c r="AE97" s="497">
        <f>R97*Z96*AB97</f>
        <v>14468.84208692307</v>
      </c>
      <c r="AF97" s="497">
        <f>R97*AA96*AB97</f>
        <v>13745.399982576917</v>
      </c>
      <c r="AG97" s="461"/>
      <c r="AH97" s="497"/>
      <c r="AI97" s="461"/>
      <c r="AJ97" s="497"/>
      <c r="AK97" s="476">
        <v>0</v>
      </c>
      <c r="AL97" s="497">
        <f t="shared" ref="AL97:AL98" si="69">(M97*AC97)+(N97*AD97)+(O97*AE97)+(P97*AF97)+AK97</f>
        <v>110927.78933307687</v>
      </c>
      <c r="AM97" s="462">
        <v>0</v>
      </c>
      <c r="AN97" s="497"/>
      <c r="AO97" s="497"/>
      <c r="AP97" s="72"/>
      <c r="AQ97" s="72"/>
    </row>
    <row r="98" spans="1:43" ht="27.6">
      <c r="A98" s="461"/>
      <c r="B98" s="461"/>
      <c r="C98" s="494"/>
      <c r="D98" s="461"/>
      <c r="E98" s="462">
        <v>1E-3</v>
      </c>
      <c r="F98" s="497">
        <v>10000</v>
      </c>
      <c r="G98" s="462"/>
      <c r="H98" s="494" t="s">
        <v>844</v>
      </c>
      <c r="I98" s="461"/>
      <c r="J98" s="494" t="s">
        <v>831</v>
      </c>
      <c r="K98" s="461"/>
      <c r="L98" s="461">
        <v>6</v>
      </c>
      <c r="M98" s="461">
        <f>IF(SUM(L96:L98)&lt;=1,L98,1-SUM(M96:M97))</f>
        <v>0</v>
      </c>
      <c r="N98" s="461">
        <f>IF(SUM(L96:L98)&lt;=10,L98-M98,9-SUM(N96:N97))</f>
        <v>0</v>
      </c>
      <c r="O98" s="461">
        <f>IF(SUM(L96:L98)&lt;=60,L98-M98-N98,50-SUM(O96:O97))</f>
        <v>6</v>
      </c>
      <c r="P98" s="461">
        <f t="shared" si="0"/>
        <v>0</v>
      </c>
      <c r="Q98" s="462" t="s">
        <v>835</v>
      </c>
      <c r="R98" s="461">
        <v>1.8</v>
      </c>
      <c r="S98" s="462"/>
      <c r="T98" s="461"/>
      <c r="U98" s="461"/>
      <c r="V98" s="461"/>
      <c r="W98" s="461"/>
      <c r="X98" s="502"/>
      <c r="Y98" s="505"/>
      <c r="Z98" s="505"/>
      <c r="AA98" s="506"/>
      <c r="AB98" s="497">
        <v>1607649.12076923</v>
      </c>
      <c r="AC98" s="497">
        <f>R98*X96*AB98</f>
        <v>37618.989425999978</v>
      </c>
      <c r="AD98" s="497">
        <f>R98*Y96*AB98</f>
        <v>28937.684173846141</v>
      </c>
      <c r="AE98" s="497">
        <f>R98*Z96*AB98</f>
        <v>17362.610504307686</v>
      </c>
      <c r="AF98" s="497">
        <f>R98*AA96*AB98</f>
        <v>16494.479979092299</v>
      </c>
      <c r="AG98" s="461"/>
      <c r="AH98" s="497"/>
      <c r="AI98" s="461"/>
      <c r="AJ98" s="497"/>
      <c r="AK98" s="476">
        <v>0</v>
      </c>
      <c r="AL98" s="497">
        <f t="shared" si="69"/>
        <v>104175.66302584612</v>
      </c>
      <c r="AM98" s="462">
        <v>0</v>
      </c>
      <c r="AN98" s="497"/>
      <c r="AO98" s="497"/>
      <c r="AP98" s="72"/>
      <c r="AQ98" s="72"/>
    </row>
    <row r="99" spans="1:43" ht="27.6">
      <c r="A99" s="461">
        <v>38</v>
      </c>
      <c r="B99" s="672" t="s">
        <v>666</v>
      </c>
      <c r="C99" s="494" t="s">
        <v>744</v>
      </c>
      <c r="D99" s="461" t="s">
        <v>720</v>
      </c>
      <c r="E99" s="462">
        <v>1E-3</v>
      </c>
      <c r="F99" s="497">
        <v>10000</v>
      </c>
      <c r="G99" s="498" t="s">
        <v>841</v>
      </c>
      <c r="H99" s="494" t="s">
        <v>844</v>
      </c>
      <c r="I99" s="461"/>
      <c r="J99" s="494" t="s">
        <v>831</v>
      </c>
      <c r="K99" s="461">
        <f>L101+L100+L99</f>
        <v>22</v>
      </c>
      <c r="L99" s="461">
        <v>9</v>
      </c>
      <c r="M99" s="461">
        <f>MIN(L99,1)</f>
        <v>1</v>
      </c>
      <c r="N99" s="461">
        <f>IF(L99&lt;10,L99-M99,9)</f>
        <v>8</v>
      </c>
      <c r="O99" s="461">
        <f>IF(L99&lt;60,L99-M99-N99,50)</f>
        <v>0</v>
      </c>
      <c r="P99" s="461">
        <f t="shared" si="0"/>
        <v>0</v>
      </c>
      <c r="Q99" s="462" t="s">
        <v>833</v>
      </c>
      <c r="R99" s="461">
        <v>1.35</v>
      </c>
      <c r="S99" s="462"/>
      <c r="T99" s="461"/>
      <c r="U99" s="461"/>
      <c r="V99" s="461"/>
      <c r="W99" s="461"/>
      <c r="X99" s="502">
        <v>1.2999999999999999E-2</v>
      </c>
      <c r="Y99" s="505">
        <v>0.01</v>
      </c>
      <c r="Z99" s="505">
        <v>6.0000000000000001E-3</v>
      </c>
      <c r="AA99" s="506">
        <v>5.7000000000000002E-3</v>
      </c>
      <c r="AB99" s="497">
        <v>1607649.12076923</v>
      </c>
      <c r="AC99" s="497">
        <f>R99*X99*AB99</f>
        <v>28214.242069499986</v>
      </c>
      <c r="AD99" s="497">
        <f>R99*Y99*AB99</f>
        <v>21703.263130384606</v>
      </c>
      <c r="AE99" s="497">
        <f>R99*Z99*AB99</f>
        <v>13021.957878230765</v>
      </c>
      <c r="AF99" s="497">
        <f>R99*AA99*AB99</f>
        <v>12370.859984319226</v>
      </c>
      <c r="AG99" s="461">
        <v>0</v>
      </c>
      <c r="AH99" s="497">
        <f>ROUND(AG99*AJ3,0)</f>
        <v>0</v>
      </c>
      <c r="AI99" s="461">
        <v>2.1000000000000001E-4</v>
      </c>
      <c r="AJ99" s="497">
        <v>46</v>
      </c>
      <c r="AK99" s="476">
        <v>0</v>
      </c>
      <c r="AL99" s="497">
        <f>(M99*AC99)+(N99*AD99)+(O99*AE99)+(P99*AF99)+AK99+AL100+AL101</f>
        <v>416943.79947149981</v>
      </c>
      <c r="AM99" s="462">
        <v>1</v>
      </c>
      <c r="AN99" s="497">
        <f>AL99*AM99</f>
        <v>416943.79947149981</v>
      </c>
      <c r="AO99" s="497">
        <f>(AN99/F99)+AH99+AJ99</f>
        <v>87.694379947149983</v>
      </c>
      <c r="AP99" s="72"/>
      <c r="AQ99" s="72"/>
    </row>
    <row r="100" spans="1:43" ht="27.6">
      <c r="A100" s="461"/>
      <c r="B100" s="461"/>
      <c r="C100" s="494"/>
      <c r="D100" s="461"/>
      <c r="E100" s="462">
        <v>1E-3</v>
      </c>
      <c r="F100" s="497">
        <v>10000</v>
      </c>
      <c r="G100" s="462"/>
      <c r="H100" s="494" t="s">
        <v>844</v>
      </c>
      <c r="I100" s="461"/>
      <c r="J100" s="494" t="s">
        <v>831</v>
      </c>
      <c r="K100" s="461"/>
      <c r="L100" s="461">
        <v>7</v>
      </c>
      <c r="M100" s="461">
        <f>IF(SUM(L99:L100)&lt;=1,L100,1-SUM(M99:M99))</f>
        <v>0</v>
      </c>
      <c r="N100" s="461">
        <f>IF(SUM(L99:L100)&lt;=10,L100-M100,9-SUM(N99:N99))</f>
        <v>1</v>
      </c>
      <c r="O100" s="461">
        <f>IF(SUM(L99:L100)&lt;=60,L100-M100-N100,50-SUM(O99:O99))</f>
        <v>6</v>
      </c>
      <c r="P100" s="461">
        <f t="shared" si="0"/>
        <v>0</v>
      </c>
      <c r="Q100" s="462" t="s">
        <v>834</v>
      </c>
      <c r="R100" s="461">
        <v>1.5</v>
      </c>
      <c r="S100" s="462"/>
      <c r="T100" s="461"/>
      <c r="U100" s="461"/>
      <c r="V100" s="461"/>
      <c r="W100" s="461"/>
      <c r="X100" s="502"/>
      <c r="Y100" s="505"/>
      <c r="Z100" s="505"/>
      <c r="AA100" s="506"/>
      <c r="AB100" s="497">
        <v>1607649.12076923</v>
      </c>
      <c r="AC100" s="497">
        <f>R100*X99*AB100</f>
        <v>31349.157854999983</v>
      </c>
      <c r="AD100" s="497">
        <f>R100*Y99*AB100</f>
        <v>24114.736811538449</v>
      </c>
      <c r="AE100" s="497">
        <f>R100*Z99*AB100</f>
        <v>14468.84208692307</v>
      </c>
      <c r="AF100" s="497">
        <f>R100*AA99*AB100</f>
        <v>13745.399982576917</v>
      </c>
      <c r="AG100" s="461"/>
      <c r="AH100" s="497"/>
      <c r="AI100" s="461"/>
      <c r="AJ100" s="497"/>
      <c r="AK100" s="476">
        <v>0</v>
      </c>
      <c r="AL100" s="497">
        <f t="shared" ref="AL100:AL101" si="70">(M100*AC100)+(N100*AD100)+(O100*AE100)+(P100*AF100)+AK100</f>
        <v>110927.78933307687</v>
      </c>
      <c r="AM100" s="462">
        <v>0</v>
      </c>
      <c r="AN100" s="497"/>
      <c r="AO100" s="497"/>
      <c r="AP100" s="72"/>
      <c r="AQ100" s="72"/>
    </row>
    <row r="101" spans="1:43" ht="27.6">
      <c r="A101" s="461"/>
      <c r="B101" s="461"/>
      <c r="C101" s="494"/>
      <c r="D101" s="461"/>
      <c r="E101" s="462">
        <v>1E-3</v>
      </c>
      <c r="F101" s="497">
        <v>10000</v>
      </c>
      <c r="G101" s="462"/>
      <c r="H101" s="494" t="s">
        <v>844</v>
      </c>
      <c r="I101" s="461"/>
      <c r="J101" s="494" t="s">
        <v>831</v>
      </c>
      <c r="K101" s="461"/>
      <c r="L101" s="461">
        <v>6</v>
      </c>
      <c r="M101" s="461">
        <f>IF(SUM(L99:L101)&lt;=1,L101,1-SUM(M99:M100))</f>
        <v>0</v>
      </c>
      <c r="N101" s="461">
        <f>IF(SUM(L99:L101)&lt;=10,L101-M101,9-SUM(N99:N100))</f>
        <v>0</v>
      </c>
      <c r="O101" s="461">
        <f>IF(SUM(L99:L101)&lt;=60,L101-M101-N101,50-SUM(O99:O100))</f>
        <v>6</v>
      </c>
      <c r="P101" s="461">
        <f t="shared" si="0"/>
        <v>0</v>
      </c>
      <c r="Q101" s="462" t="s">
        <v>835</v>
      </c>
      <c r="R101" s="461">
        <v>1.8</v>
      </c>
      <c r="S101" s="462"/>
      <c r="T101" s="461"/>
      <c r="U101" s="461"/>
      <c r="V101" s="461"/>
      <c r="W101" s="461"/>
      <c r="X101" s="502"/>
      <c r="Y101" s="505"/>
      <c r="Z101" s="505"/>
      <c r="AA101" s="506"/>
      <c r="AB101" s="497">
        <v>1607649.12076923</v>
      </c>
      <c r="AC101" s="497">
        <f>R101*X99*AB101</f>
        <v>37618.989425999978</v>
      </c>
      <c r="AD101" s="497">
        <f>R101*Y99*AB101</f>
        <v>28937.684173846141</v>
      </c>
      <c r="AE101" s="497">
        <f>R101*Z99*AB101</f>
        <v>17362.610504307686</v>
      </c>
      <c r="AF101" s="497">
        <f>R101*AA99*AB101</f>
        <v>16494.479979092299</v>
      </c>
      <c r="AG101" s="461"/>
      <c r="AH101" s="497"/>
      <c r="AI101" s="461"/>
      <c r="AJ101" s="497"/>
      <c r="AK101" s="476">
        <v>0</v>
      </c>
      <c r="AL101" s="497">
        <f t="shared" si="70"/>
        <v>104175.66302584612</v>
      </c>
      <c r="AM101" s="462">
        <v>0</v>
      </c>
      <c r="AN101" s="497"/>
      <c r="AO101" s="497"/>
      <c r="AP101" s="72"/>
      <c r="AQ101" s="72"/>
    </row>
    <row r="102" spans="1:43" ht="27.6">
      <c r="A102" s="461">
        <v>39</v>
      </c>
      <c r="B102" s="672" t="s">
        <v>661</v>
      </c>
      <c r="C102" s="494" t="s">
        <v>745</v>
      </c>
      <c r="D102" s="461" t="s">
        <v>720</v>
      </c>
      <c r="E102" s="462">
        <v>1E-3</v>
      </c>
      <c r="F102" s="497">
        <v>10000</v>
      </c>
      <c r="G102" s="498" t="s">
        <v>841</v>
      </c>
      <c r="H102" s="494" t="s">
        <v>844</v>
      </c>
      <c r="I102" s="461"/>
      <c r="J102" s="494" t="s">
        <v>831</v>
      </c>
      <c r="K102" s="461">
        <f>L104+L103+L102</f>
        <v>22</v>
      </c>
      <c r="L102" s="461">
        <v>9</v>
      </c>
      <c r="M102" s="461">
        <f>MIN(L102,1)</f>
        <v>1</v>
      </c>
      <c r="N102" s="461">
        <f>IF(L102&lt;10,L102-M102,9)</f>
        <v>8</v>
      </c>
      <c r="O102" s="461">
        <f>IF(L102&lt;60,L102-M102-N102,50)</f>
        <v>0</v>
      </c>
      <c r="P102" s="461">
        <f t="shared" si="0"/>
        <v>0</v>
      </c>
      <c r="Q102" s="462" t="s">
        <v>833</v>
      </c>
      <c r="R102" s="461">
        <v>1.35</v>
      </c>
      <c r="S102" s="462"/>
      <c r="T102" s="461"/>
      <c r="U102" s="461"/>
      <c r="V102" s="461"/>
      <c r="W102" s="461"/>
      <c r="X102" s="502">
        <v>1.2999999999999999E-2</v>
      </c>
      <c r="Y102" s="505">
        <v>0.01</v>
      </c>
      <c r="Z102" s="505">
        <v>6.0000000000000001E-3</v>
      </c>
      <c r="AA102" s="506">
        <v>5.7000000000000002E-3</v>
      </c>
      <c r="AB102" s="497">
        <v>1607649.12076923</v>
      </c>
      <c r="AC102" s="497">
        <f>R102*X102*AB102</f>
        <v>28214.242069499986</v>
      </c>
      <c r="AD102" s="497">
        <f>R102*Y102*AB102</f>
        <v>21703.263130384606</v>
      </c>
      <c r="AE102" s="497">
        <f>R102*Z102*AB102</f>
        <v>13021.957878230765</v>
      </c>
      <c r="AF102" s="497">
        <f>R102*AA102*AB102</f>
        <v>12370.859984319226</v>
      </c>
      <c r="AG102" s="461">
        <v>0</v>
      </c>
      <c r="AH102" s="497">
        <f>ROUND(AG102*AJ3,0)</f>
        <v>0</v>
      </c>
      <c r="AI102" s="461">
        <v>2.1000000000000001E-4</v>
      </c>
      <c r="AJ102" s="497">
        <v>46</v>
      </c>
      <c r="AK102" s="476">
        <v>0</v>
      </c>
      <c r="AL102" s="497">
        <f>(M102*AC102)+(N102*AD102)+(O102*AE102)+(P102*AF102)+AK102+AL103+AL104</f>
        <v>416943.79947149981</v>
      </c>
      <c r="AM102" s="462">
        <v>1</v>
      </c>
      <c r="AN102" s="497">
        <f>AL102*AM102</f>
        <v>416943.79947149981</v>
      </c>
      <c r="AO102" s="497">
        <f>(AN102/F102)+AH102+AJ102</f>
        <v>87.694379947149983</v>
      </c>
      <c r="AP102" s="72"/>
      <c r="AQ102" s="72"/>
    </row>
    <row r="103" spans="1:43" ht="27.6">
      <c r="A103" s="461"/>
      <c r="B103" s="461"/>
      <c r="C103" s="494"/>
      <c r="D103" s="461"/>
      <c r="E103" s="462">
        <v>1E-3</v>
      </c>
      <c r="F103" s="497">
        <v>10000</v>
      </c>
      <c r="G103" s="462"/>
      <c r="H103" s="494" t="s">
        <v>844</v>
      </c>
      <c r="I103" s="461"/>
      <c r="J103" s="494" t="s">
        <v>831</v>
      </c>
      <c r="K103" s="461"/>
      <c r="L103" s="461">
        <v>7</v>
      </c>
      <c r="M103" s="461">
        <f>IF(SUM(L102:L103)&lt;=1,L103,1-SUM(M102:M102))</f>
        <v>0</v>
      </c>
      <c r="N103" s="461">
        <f>IF(SUM(L102:L103)&lt;=10,L103-M103,9-SUM(N102:N102))</f>
        <v>1</v>
      </c>
      <c r="O103" s="461">
        <f>IF(SUM(L102:L103)&lt;=60,L103-M103-N103,50-SUM(O102:O102))</f>
        <v>6</v>
      </c>
      <c r="P103" s="461">
        <f t="shared" si="0"/>
        <v>0</v>
      </c>
      <c r="Q103" s="462" t="s">
        <v>834</v>
      </c>
      <c r="R103" s="461">
        <v>1.5</v>
      </c>
      <c r="S103" s="462"/>
      <c r="T103" s="461"/>
      <c r="U103" s="461"/>
      <c r="V103" s="461"/>
      <c r="W103" s="461"/>
      <c r="X103" s="502"/>
      <c r="Y103" s="505"/>
      <c r="Z103" s="505"/>
      <c r="AA103" s="506"/>
      <c r="AB103" s="497">
        <v>1607649.12076923</v>
      </c>
      <c r="AC103" s="497">
        <f>R103*X102*AB103</f>
        <v>31349.157854999983</v>
      </c>
      <c r="AD103" s="497">
        <f>R103*Y102*AB103</f>
        <v>24114.736811538449</v>
      </c>
      <c r="AE103" s="497">
        <f>R103*Z102*AB103</f>
        <v>14468.84208692307</v>
      </c>
      <c r="AF103" s="497">
        <f>R103*AA102*AB103</f>
        <v>13745.399982576917</v>
      </c>
      <c r="AG103" s="461"/>
      <c r="AH103" s="497"/>
      <c r="AI103" s="461"/>
      <c r="AJ103" s="497"/>
      <c r="AK103" s="476">
        <v>0</v>
      </c>
      <c r="AL103" s="497">
        <f t="shared" ref="AL103:AL104" si="71">(M103*AC103)+(N103*AD103)+(O103*AE103)+(P103*AF103)+AK103</f>
        <v>110927.78933307687</v>
      </c>
      <c r="AM103" s="462">
        <v>0</v>
      </c>
      <c r="AN103" s="497"/>
      <c r="AO103" s="497"/>
      <c r="AP103" s="72"/>
      <c r="AQ103" s="72"/>
    </row>
    <row r="104" spans="1:43" ht="27.6">
      <c r="A104" s="461"/>
      <c r="B104" s="461"/>
      <c r="C104" s="494"/>
      <c r="D104" s="461"/>
      <c r="E104" s="462">
        <v>1E-3</v>
      </c>
      <c r="F104" s="497">
        <v>10000</v>
      </c>
      <c r="G104" s="462"/>
      <c r="H104" s="494" t="s">
        <v>844</v>
      </c>
      <c r="I104" s="461"/>
      <c r="J104" s="494" t="s">
        <v>831</v>
      </c>
      <c r="K104" s="461"/>
      <c r="L104" s="461">
        <v>6</v>
      </c>
      <c r="M104" s="461">
        <f>IF(SUM(L102:L104)&lt;=1,L104,1-SUM(M102:M103))</f>
        <v>0</v>
      </c>
      <c r="N104" s="461">
        <f>IF(SUM(L102:L104)&lt;=10,L104-M104,9-SUM(N102:N103))</f>
        <v>0</v>
      </c>
      <c r="O104" s="461">
        <f>IF(SUM(L102:L104)&lt;=60,L104-M104-N104,50-SUM(O102:O103))</f>
        <v>6</v>
      </c>
      <c r="P104" s="461">
        <f t="shared" si="0"/>
        <v>0</v>
      </c>
      <c r="Q104" s="462" t="s">
        <v>835</v>
      </c>
      <c r="R104" s="461">
        <v>1.8</v>
      </c>
      <c r="S104" s="462"/>
      <c r="T104" s="461"/>
      <c r="U104" s="461"/>
      <c r="V104" s="461"/>
      <c r="W104" s="461"/>
      <c r="X104" s="502"/>
      <c r="Y104" s="505"/>
      <c r="Z104" s="505"/>
      <c r="AA104" s="506"/>
      <c r="AB104" s="497">
        <v>1607649.12076923</v>
      </c>
      <c r="AC104" s="497">
        <f>R104*X102*AB104</f>
        <v>37618.989425999978</v>
      </c>
      <c r="AD104" s="497">
        <f>R104*Y102*AB104</f>
        <v>28937.684173846141</v>
      </c>
      <c r="AE104" s="497">
        <f>R104*Z102*AB104</f>
        <v>17362.610504307686</v>
      </c>
      <c r="AF104" s="497">
        <f>R104*AA102*AB104</f>
        <v>16494.479979092299</v>
      </c>
      <c r="AG104" s="461"/>
      <c r="AH104" s="497"/>
      <c r="AI104" s="461"/>
      <c r="AJ104" s="497"/>
      <c r="AK104" s="476">
        <v>0</v>
      </c>
      <c r="AL104" s="497">
        <f t="shared" si="71"/>
        <v>104175.66302584612</v>
      </c>
      <c r="AM104" s="462">
        <v>0</v>
      </c>
      <c r="AN104" s="497"/>
      <c r="AO104" s="497"/>
      <c r="AP104" s="72"/>
      <c r="AQ104" s="72"/>
    </row>
    <row r="105" spans="1:43" ht="27.6">
      <c r="A105" s="461">
        <v>40</v>
      </c>
      <c r="B105" s="672" t="s">
        <v>670</v>
      </c>
      <c r="C105" s="494" t="s">
        <v>746</v>
      </c>
      <c r="D105" s="461" t="s">
        <v>720</v>
      </c>
      <c r="E105" s="462">
        <v>1E-3</v>
      </c>
      <c r="F105" s="497">
        <v>10000</v>
      </c>
      <c r="G105" s="462" t="s">
        <v>850</v>
      </c>
      <c r="H105" s="494" t="s">
        <v>846</v>
      </c>
      <c r="I105" s="461"/>
      <c r="J105" s="494" t="s">
        <v>831</v>
      </c>
      <c r="K105" s="461">
        <f>L108+L107+L105+L106</f>
        <v>42</v>
      </c>
      <c r="L105" s="461">
        <v>20</v>
      </c>
      <c r="M105" s="461">
        <f>MIN(L105,1)</f>
        <v>1</v>
      </c>
      <c r="N105" s="461">
        <f>IF(L105&lt;10,L105-M105,9)</f>
        <v>9</v>
      </c>
      <c r="O105" s="461">
        <f>IF(L105&lt;60,L105-M105-N105,50)</f>
        <v>10</v>
      </c>
      <c r="P105" s="461">
        <f t="shared" si="0"/>
        <v>0</v>
      </c>
      <c r="Q105" s="462" t="s">
        <v>832</v>
      </c>
      <c r="R105" s="461">
        <v>0.68</v>
      </c>
      <c r="S105" s="462"/>
      <c r="T105" s="461"/>
      <c r="U105" s="461"/>
      <c r="V105" s="461"/>
      <c r="W105" s="461"/>
      <c r="X105" s="502">
        <v>2.7E-2</v>
      </c>
      <c r="Y105" s="505">
        <v>1.9E-2</v>
      </c>
      <c r="Z105" s="505">
        <v>1.2999999999999999E-2</v>
      </c>
      <c r="AA105" s="506">
        <v>1.235E-2</v>
      </c>
      <c r="AB105" s="497">
        <v>1607649.12076923</v>
      </c>
      <c r="AC105" s="497">
        <f>R105*X105*AB105</f>
        <v>29516.437857323064</v>
      </c>
      <c r="AD105" s="497">
        <f>R105*Y105*AB105</f>
        <v>20770.826640338451</v>
      </c>
      <c r="AE105" s="497">
        <f>R105*Z105*AB105</f>
        <v>14211.618227599994</v>
      </c>
      <c r="AF105" s="497">
        <f>R105*AA105*AB105</f>
        <v>13501.037316219994</v>
      </c>
      <c r="AG105" s="461">
        <v>0</v>
      </c>
      <c r="AH105" s="497">
        <f>ROUND(AG105*AJ3,0)</f>
        <v>0</v>
      </c>
      <c r="AI105" s="461">
        <v>1.1E-4</v>
      </c>
      <c r="AJ105" s="497">
        <v>24</v>
      </c>
      <c r="AK105" s="476">
        <v>0</v>
      </c>
      <c r="AL105" s="497">
        <f>(M105*AC105)+(N105*AD105)+(O105*AE105)+(P105*AF105)+AK105+AL107+AL108</f>
        <v>1009185.6590716764</v>
      </c>
      <c r="AM105" s="462">
        <v>1</v>
      </c>
      <c r="AN105" s="497">
        <f>AL105*AM105</f>
        <v>1009185.6590716764</v>
      </c>
      <c r="AO105" s="497">
        <v>130</v>
      </c>
      <c r="AP105" s="72"/>
      <c r="AQ105" s="72"/>
    </row>
    <row r="106" spans="1:43" ht="27.6">
      <c r="A106" s="461"/>
      <c r="B106" s="461"/>
      <c r="C106" s="494"/>
      <c r="D106" s="461"/>
      <c r="E106" s="462"/>
      <c r="F106" s="497">
        <v>10000</v>
      </c>
      <c r="G106" s="462" t="s">
        <v>850</v>
      </c>
      <c r="H106" s="494" t="s">
        <v>846</v>
      </c>
      <c r="I106" s="461"/>
      <c r="J106" s="494" t="s">
        <v>831</v>
      </c>
      <c r="K106" s="461"/>
      <c r="L106" s="461">
        <v>9</v>
      </c>
      <c r="M106" s="461">
        <f>MIN(L106,1)</f>
        <v>1</v>
      </c>
      <c r="N106" s="461">
        <f>IF(L106&lt;10,L106-M106,9)</f>
        <v>8</v>
      </c>
      <c r="O106" s="461">
        <f>IF(L106&lt;60,L106-M106-N106,50)</f>
        <v>0</v>
      </c>
      <c r="P106" s="461">
        <f t="shared" ref="P106" si="72">L106-M106-N106-O106</f>
        <v>0</v>
      </c>
      <c r="Q106" s="462" t="s">
        <v>833</v>
      </c>
      <c r="R106" s="461">
        <v>1.35</v>
      </c>
      <c r="S106" s="462"/>
      <c r="T106" s="461"/>
      <c r="U106" s="461"/>
      <c r="V106" s="461"/>
      <c r="W106" s="461"/>
      <c r="X106" s="502"/>
      <c r="Y106" s="505"/>
      <c r="Z106" s="505"/>
      <c r="AA106" s="506"/>
      <c r="AB106" s="497">
        <v>1607649.12076923</v>
      </c>
      <c r="AC106" s="497">
        <v>58599</v>
      </c>
      <c r="AD106" s="497">
        <v>41236</v>
      </c>
      <c r="AE106" s="497">
        <v>28214</v>
      </c>
      <c r="AF106" s="497">
        <v>28604</v>
      </c>
      <c r="AG106" s="461"/>
      <c r="AH106" s="497"/>
      <c r="AI106" s="461"/>
      <c r="AJ106" s="497"/>
      <c r="AK106" s="476"/>
      <c r="AL106" s="497"/>
      <c r="AM106" s="462"/>
      <c r="AN106" s="497"/>
      <c r="AO106" s="497"/>
      <c r="AP106" s="72"/>
      <c r="AQ106" s="72"/>
    </row>
    <row r="107" spans="1:43">
      <c r="A107" s="461"/>
      <c r="B107" s="461"/>
      <c r="C107" s="494"/>
      <c r="D107" s="461"/>
      <c r="E107" s="462">
        <v>1E-3</v>
      </c>
      <c r="F107" s="497">
        <v>10000</v>
      </c>
      <c r="G107" s="462" t="s">
        <v>850</v>
      </c>
      <c r="H107" s="494" t="s">
        <v>846</v>
      </c>
      <c r="I107" s="461"/>
      <c r="J107" s="494" t="s">
        <v>851</v>
      </c>
      <c r="K107" s="461"/>
      <c r="L107" s="461">
        <v>7</v>
      </c>
      <c r="M107" s="461">
        <f>IF(SUM(L105:L107)&lt;=1,L107,1-SUM(M105:M105))</f>
        <v>0</v>
      </c>
      <c r="N107" s="461">
        <v>7</v>
      </c>
      <c r="O107" s="461">
        <f>IF(SUM(L105:L107)&lt;=60,L107-M107-N107,50-SUM(O105:O105))</f>
        <v>0</v>
      </c>
      <c r="P107" s="461">
        <f t="shared" si="0"/>
        <v>0</v>
      </c>
      <c r="Q107" s="462" t="s">
        <v>834</v>
      </c>
      <c r="R107" s="461">
        <v>1.5</v>
      </c>
      <c r="S107" s="462"/>
      <c r="T107" s="461"/>
      <c r="U107" s="461"/>
      <c r="V107" s="461"/>
      <c r="W107" s="461"/>
      <c r="X107" s="502"/>
      <c r="Y107" s="505"/>
      <c r="Z107" s="505"/>
      <c r="AA107" s="506"/>
      <c r="AB107" s="497">
        <v>1607649.12076923</v>
      </c>
      <c r="AC107" s="497">
        <f>R107*X105*AB107</f>
        <v>65109.789391153812</v>
      </c>
      <c r="AD107" s="497">
        <f>R107*Y105*AB107</f>
        <v>45817.999941923052</v>
      </c>
      <c r="AE107" s="497">
        <f>R107*Z105*AB107</f>
        <v>31349.157854999983</v>
      </c>
      <c r="AF107" s="497">
        <f>R107*AA105*AB107</f>
        <v>29781.699962249986</v>
      </c>
      <c r="AG107" s="461"/>
      <c r="AH107" s="497"/>
      <c r="AI107" s="461"/>
      <c r="AJ107" s="497"/>
      <c r="AK107" s="476">
        <v>0</v>
      </c>
      <c r="AL107" s="497">
        <f t="shared" ref="AL107:AL108" si="73">(M107*AC107)+(N107*AD107)+(O107*AE107)+(P107*AF107)+AK107</f>
        <v>320725.99959346134</v>
      </c>
      <c r="AM107" s="462">
        <v>0</v>
      </c>
      <c r="AN107" s="497"/>
      <c r="AO107" s="497"/>
      <c r="AP107" s="72"/>
      <c r="AQ107" s="72"/>
    </row>
    <row r="108" spans="1:43" ht="27.6">
      <c r="A108" s="461"/>
      <c r="B108" s="461"/>
      <c r="C108" s="494"/>
      <c r="D108" s="461"/>
      <c r="E108" s="462">
        <v>1E-3</v>
      </c>
      <c r="F108" s="497">
        <v>10000</v>
      </c>
      <c r="G108" s="462" t="s">
        <v>850</v>
      </c>
      <c r="H108" s="494" t="s">
        <v>846</v>
      </c>
      <c r="I108" s="461"/>
      <c r="J108" s="494" t="s">
        <v>831</v>
      </c>
      <c r="K108" s="461"/>
      <c r="L108" s="461">
        <v>6</v>
      </c>
      <c r="M108" s="461"/>
      <c r="N108" s="461">
        <v>6</v>
      </c>
      <c r="O108" s="461">
        <f>IF(SUM(L105:L108)&lt;=60,L108-M108-N108,50-SUM(O105:O107))</f>
        <v>0</v>
      </c>
      <c r="P108" s="461">
        <f t="shared" si="0"/>
        <v>0</v>
      </c>
      <c r="Q108" s="462" t="s">
        <v>835</v>
      </c>
      <c r="R108" s="461">
        <v>1.8</v>
      </c>
      <c r="S108" s="462"/>
      <c r="T108" s="461"/>
      <c r="U108" s="461"/>
      <c r="V108" s="461"/>
      <c r="W108" s="461"/>
      <c r="X108" s="502"/>
      <c r="Y108" s="505"/>
      <c r="Z108" s="505"/>
      <c r="AA108" s="506"/>
      <c r="AB108" s="497">
        <v>1607649.12076923</v>
      </c>
      <c r="AC108" s="497">
        <f>R108*X105*AB108</f>
        <v>78131.747269384578</v>
      </c>
      <c r="AD108" s="497">
        <f>R108*Y105*AB108</f>
        <v>54981.599930307668</v>
      </c>
      <c r="AE108" s="497">
        <f>R108*Z105*AB108</f>
        <v>37618.989425999978</v>
      </c>
      <c r="AF108" s="497">
        <f>R108*AA105*AB108</f>
        <v>35738.039954699983</v>
      </c>
      <c r="AG108" s="461"/>
      <c r="AH108" s="497"/>
      <c r="AI108" s="461"/>
      <c r="AJ108" s="497"/>
      <c r="AK108" s="476">
        <v>0</v>
      </c>
      <c r="AL108" s="497">
        <f t="shared" si="73"/>
        <v>329889.59958184604</v>
      </c>
      <c r="AM108" s="462">
        <v>0</v>
      </c>
      <c r="AN108" s="497"/>
      <c r="AO108" s="497"/>
      <c r="AP108" s="72"/>
      <c r="AQ108" s="72"/>
    </row>
    <row r="109" spans="1:43" ht="27.6">
      <c r="A109" s="461">
        <v>41</v>
      </c>
      <c r="B109" s="672" t="s">
        <v>614</v>
      </c>
      <c r="C109" s="494" t="s">
        <v>747</v>
      </c>
      <c r="D109" s="461" t="s">
        <v>720</v>
      </c>
      <c r="E109" s="462">
        <v>1E-3</v>
      </c>
      <c r="F109" s="497">
        <v>10000</v>
      </c>
      <c r="G109" s="462" t="s">
        <v>850</v>
      </c>
      <c r="H109" s="494" t="s">
        <v>846</v>
      </c>
      <c r="I109" s="461"/>
      <c r="J109" s="494" t="s">
        <v>831</v>
      </c>
      <c r="K109" s="461">
        <v>42</v>
      </c>
      <c r="L109" s="461">
        <v>20</v>
      </c>
      <c r="M109" s="461">
        <v>1</v>
      </c>
      <c r="N109" s="461">
        <v>9</v>
      </c>
      <c r="O109" s="461">
        <v>10</v>
      </c>
      <c r="P109" s="461">
        <v>0</v>
      </c>
      <c r="Q109" s="462" t="s">
        <v>832</v>
      </c>
      <c r="R109" s="461">
        <v>0.68</v>
      </c>
      <c r="S109" s="462"/>
      <c r="T109" s="461"/>
      <c r="U109" s="461"/>
      <c r="V109" s="461"/>
      <c r="W109" s="461"/>
      <c r="X109" s="502">
        <v>2.7E-2</v>
      </c>
      <c r="Y109" s="505">
        <v>1.9E-2</v>
      </c>
      <c r="Z109" s="505">
        <v>1.2999999999999999E-2</v>
      </c>
      <c r="AA109" s="506">
        <v>1.235E-2</v>
      </c>
      <c r="AB109" s="497">
        <v>1607649.12076923</v>
      </c>
      <c r="AC109" s="497">
        <f>R109*X109*AB109</f>
        <v>29516.437857323064</v>
      </c>
      <c r="AD109" s="497">
        <f>R109*Y109*AB109</f>
        <v>20770.826640338451</v>
      </c>
      <c r="AE109" s="497">
        <f>R109*Z109*AB109</f>
        <v>14211.618227599994</v>
      </c>
      <c r="AF109" s="497">
        <f>R109*AA109*AB109</f>
        <v>13501.037316219994</v>
      </c>
      <c r="AG109" s="461">
        <v>0</v>
      </c>
      <c r="AH109" s="497">
        <f>ROUND(AG109*AJ3,0)</f>
        <v>0</v>
      </c>
      <c r="AI109" s="461">
        <v>1.1E-4</v>
      </c>
      <c r="AJ109" s="497">
        <v>24</v>
      </c>
      <c r="AK109" s="476">
        <v>0</v>
      </c>
      <c r="AL109" s="497">
        <f>(M109*AC109)+(N109*AD109)+(O109*AE109)+(P109*AF109)+AK109+AL111+AL112</f>
        <v>624314.4595595228</v>
      </c>
      <c r="AM109" s="462">
        <v>1</v>
      </c>
      <c r="AN109" s="497">
        <f>AL109*AM109</f>
        <v>624314.4595595228</v>
      </c>
      <c r="AO109" s="497">
        <v>130</v>
      </c>
      <c r="AP109" s="72"/>
      <c r="AQ109" s="72"/>
    </row>
    <row r="110" spans="1:43" ht="27.6">
      <c r="A110" s="461"/>
      <c r="B110" s="461"/>
      <c r="C110" s="494"/>
      <c r="D110" s="461"/>
      <c r="E110" s="462"/>
      <c r="F110" s="497">
        <v>10000</v>
      </c>
      <c r="G110" s="462" t="s">
        <v>850</v>
      </c>
      <c r="H110" s="494" t="s">
        <v>846</v>
      </c>
      <c r="I110" s="461"/>
      <c r="J110" s="494" t="s">
        <v>831</v>
      </c>
      <c r="K110" s="461"/>
      <c r="L110" s="461">
        <v>9</v>
      </c>
      <c r="M110" s="461">
        <v>1</v>
      </c>
      <c r="N110" s="461">
        <v>8</v>
      </c>
      <c r="O110" s="461">
        <v>0</v>
      </c>
      <c r="P110" s="461">
        <v>0</v>
      </c>
      <c r="Q110" s="462" t="s">
        <v>833</v>
      </c>
      <c r="R110" s="461">
        <v>1.35</v>
      </c>
      <c r="S110" s="462"/>
      <c r="T110" s="461"/>
      <c r="U110" s="461"/>
      <c r="V110" s="461"/>
      <c r="W110" s="461"/>
      <c r="X110" s="502"/>
      <c r="Y110" s="505"/>
      <c r="Z110" s="505"/>
      <c r="AA110" s="506"/>
      <c r="AB110" s="497">
        <v>1607649.12076923</v>
      </c>
      <c r="AC110" s="497">
        <v>58599</v>
      </c>
      <c r="AD110" s="497">
        <v>41236</v>
      </c>
      <c r="AE110" s="497">
        <v>28214</v>
      </c>
      <c r="AF110" s="497">
        <v>28604</v>
      </c>
      <c r="AG110" s="461"/>
      <c r="AH110" s="497"/>
      <c r="AI110" s="461"/>
      <c r="AJ110" s="497"/>
      <c r="AK110" s="476"/>
      <c r="AL110" s="497"/>
      <c r="AM110" s="462"/>
      <c r="AN110" s="497"/>
      <c r="AO110" s="497"/>
      <c r="AP110" s="72"/>
      <c r="AQ110" s="72"/>
    </row>
    <row r="111" spans="1:43" ht="27.6">
      <c r="A111" s="461"/>
      <c r="B111" s="461"/>
      <c r="C111" s="494"/>
      <c r="D111" s="461"/>
      <c r="E111" s="462">
        <v>1E-3</v>
      </c>
      <c r="F111" s="497">
        <v>10000</v>
      </c>
      <c r="G111" s="462" t="s">
        <v>850</v>
      </c>
      <c r="H111" s="494" t="s">
        <v>846</v>
      </c>
      <c r="I111" s="461"/>
      <c r="J111" s="494" t="s">
        <v>831</v>
      </c>
      <c r="K111" s="461"/>
      <c r="L111" s="461">
        <v>7</v>
      </c>
      <c r="M111" s="461">
        <f>IF(SUM(L109:L111)&lt;=1,L111,1-SUM(M109:M109))</f>
        <v>0</v>
      </c>
      <c r="N111" s="461">
        <f>IF(SUM(L109:L111)&lt;=10,L111-M111,9-SUM(N109:N109))</f>
        <v>0</v>
      </c>
      <c r="O111" s="461">
        <f>IF(SUM(L109:L111)&lt;=60,L111-M111-N111,50-SUM(O109:O109))</f>
        <v>7</v>
      </c>
      <c r="P111" s="461">
        <f t="shared" si="0"/>
        <v>0</v>
      </c>
      <c r="Q111" s="462" t="s">
        <v>834</v>
      </c>
      <c r="R111" s="461">
        <v>1.5</v>
      </c>
      <c r="S111" s="462"/>
      <c r="T111" s="461"/>
      <c r="U111" s="461"/>
      <c r="V111" s="461"/>
      <c r="W111" s="461"/>
      <c r="X111" s="502"/>
      <c r="Y111" s="505"/>
      <c r="Z111" s="505"/>
      <c r="AA111" s="506"/>
      <c r="AB111" s="497">
        <v>1607649.12076923</v>
      </c>
      <c r="AC111" s="497">
        <f>R111*X109*AB111</f>
        <v>65109.789391153812</v>
      </c>
      <c r="AD111" s="497">
        <f>R111*Y109*AB111</f>
        <v>45817.999941923052</v>
      </c>
      <c r="AE111" s="497">
        <f>R111*Z109*AB111</f>
        <v>31349.157854999983</v>
      </c>
      <c r="AF111" s="497">
        <f>R111*AA109*AB111</f>
        <v>29781.699962249986</v>
      </c>
      <c r="AG111" s="461"/>
      <c r="AH111" s="497"/>
      <c r="AI111" s="461"/>
      <c r="AJ111" s="497"/>
      <c r="AK111" s="476">
        <v>0</v>
      </c>
      <c r="AL111" s="497">
        <f t="shared" ref="AL111:AL112" si="74">(M111*AC111)+(N111*AD111)+(O111*AE111)+(P111*AF111)+AK111</f>
        <v>219444.10498499987</v>
      </c>
      <c r="AM111" s="462">
        <v>0</v>
      </c>
      <c r="AN111" s="497"/>
      <c r="AO111" s="497"/>
      <c r="AP111" s="72"/>
      <c r="AQ111" s="72"/>
    </row>
    <row r="112" spans="1:43" ht="27.6">
      <c r="A112" s="461"/>
      <c r="B112" s="461"/>
      <c r="C112" s="494"/>
      <c r="D112" s="461"/>
      <c r="E112" s="462">
        <v>1E-3</v>
      </c>
      <c r="F112" s="497">
        <v>10000</v>
      </c>
      <c r="G112" s="462" t="s">
        <v>850</v>
      </c>
      <c r="H112" s="494" t="s">
        <v>846</v>
      </c>
      <c r="I112" s="461"/>
      <c r="J112" s="494" t="s">
        <v>831</v>
      </c>
      <c r="K112" s="461"/>
      <c r="L112" s="461">
        <v>6</v>
      </c>
      <c r="M112" s="461">
        <f>IF(SUM(L109:L112)&lt;=1,L112,1-SUM(M109:M111))</f>
        <v>-1</v>
      </c>
      <c r="N112" s="461">
        <f>IF(SUM(L109:L112)&lt;=10,L112-M112,9-SUM(N109:N111))</f>
        <v>-8</v>
      </c>
      <c r="O112" s="461">
        <f>IF(SUM(L109:L112)&lt;=60,L112-M112-N112,50-SUM(O109:O111))</f>
        <v>15</v>
      </c>
      <c r="P112" s="461">
        <f t="shared" si="0"/>
        <v>0</v>
      </c>
      <c r="Q112" s="462" t="s">
        <v>835</v>
      </c>
      <c r="R112" s="461">
        <v>1.8</v>
      </c>
      <c r="S112" s="462"/>
      <c r="T112" s="461"/>
      <c r="U112" s="461"/>
      <c r="V112" s="461"/>
      <c r="W112" s="461"/>
      <c r="X112" s="502"/>
      <c r="Y112" s="505"/>
      <c r="Z112" s="505"/>
      <c r="AA112" s="506"/>
      <c r="AB112" s="497">
        <v>1607649.12076923</v>
      </c>
      <c r="AC112" s="497">
        <f>R112*X109*AB112</f>
        <v>78131.747269384578</v>
      </c>
      <c r="AD112" s="497">
        <f>R112*Y109*AB112</f>
        <v>54981.599930307668</v>
      </c>
      <c r="AE112" s="497">
        <f>R112*Z109*AB112</f>
        <v>37618.989425999978</v>
      </c>
      <c r="AF112" s="497">
        <f>R112*AA109*AB112</f>
        <v>35738.039954699983</v>
      </c>
      <c r="AG112" s="461"/>
      <c r="AH112" s="497"/>
      <c r="AI112" s="461"/>
      <c r="AJ112" s="497"/>
      <c r="AK112" s="476">
        <v>0</v>
      </c>
      <c r="AL112" s="497">
        <f t="shared" si="74"/>
        <v>46300.294678153819</v>
      </c>
      <c r="AM112" s="462">
        <v>0</v>
      </c>
      <c r="AN112" s="497"/>
      <c r="AO112" s="497"/>
      <c r="AP112" s="72"/>
      <c r="AQ112" s="72"/>
    </row>
    <row r="113" spans="1:43" ht="27.6">
      <c r="A113" s="461">
        <v>42</v>
      </c>
      <c r="B113" s="672" t="s">
        <v>648</v>
      </c>
      <c r="C113" s="494" t="s">
        <v>748</v>
      </c>
      <c r="D113" s="461" t="s">
        <v>356</v>
      </c>
      <c r="E113" s="462">
        <v>0</v>
      </c>
      <c r="F113" s="497">
        <v>10</v>
      </c>
      <c r="G113" s="462"/>
      <c r="H113" s="494" t="s">
        <v>839</v>
      </c>
      <c r="I113" s="461"/>
      <c r="J113" s="494" t="s">
        <v>840</v>
      </c>
      <c r="K113" s="461">
        <f>L114+L113</f>
        <v>12</v>
      </c>
      <c r="L113" s="461">
        <v>6</v>
      </c>
      <c r="M113" s="461">
        <f>MIN(L113,1)</f>
        <v>1</v>
      </c>
      <c r="N113" s="461">
        <f>IF(L113&lt;10,L113-M113,9)</f>
        <v>5</v>
      </c>
      <c r="O113" s="461">
        <f>IF(L113&lt;60,L113-M113-N113,50)</f>
        <v>0</v>
      </c>
      <c r="P113" s="461">
        <f t="shared" si="0"/>
        <v>0</v>
      </c>
      <c r="Q113" s="462" t="s">
        <v>834</v>
      </c>
      <c r="R113" s="461">
        <v>1.5</v>
      </c>
      <c r="S113" s="462"/>
      <c r="T113" s="461"/>
      <c r="U113" s="461"/>
      <c r="V113" s="461"/>
      <c r="W113" s="461"/>
      <c r="X113" s="502">
        <v>2.5999999999999999E-2</v>
      </c>
      <c r="Y113" s="505">
        <v>1.9E-2</v>
      </c>
      <c r="Z113" s="505">
        <v>1.2999999999999999E-2</v>
      </c>
      <c r="AA113" s="506">
        <v>1.235E-2</v>
      </c>
      <c r="AB113" s="497">
        <v>1929828.9442857101</v>
      </c>
      <c r="AC113" s="497">
        <f>R113*X113*AB113</f>
        <v>75263.328827142701</v>
      </c>
      <c r="AD113" s="497">
        <f>R113*Y113*AB113</f>
        <v>55000.124912142732</v>
      </c>
      <c r="AE113" s="497">
        <f>R113*Z113*AB113</f>
        <v>37631.66441357135</v>
      </c>
      <c r="AF113" s="497">
        <f>R113*AA113*AB113</f>
        <v>35750.08119289278</v>
      </c>
      <c r="AG113" s="461">
        <v>0</v>
      </c>
      <c r="AH113" s="497">
        <f>ROUND(AG113*AJ3,0)</f>
        <v>0</v>
      </c>
      <c r="AI113" s="461">
        <v>0</v>
      </c>
      <c r="AJ113" s="497">
        <f>ROUND(AI113*AJ3,0)</f>
        <v>0</v>
      </c>
      <c r="AK113" s="476">
        <v>0</v>
      </c>
      <c r="AL113" s="497">
        <f>(M113*AC113)+(N113*AD113)+(O113*AE113)+(P113*AF113)+AK113+AL114</f>
        <v>704580.54755871277</v>
      </c>
      <c r="AM113" s="462">
        <v>1</v>
      </c>
      <c r="AN113" s="497">
        <f>AL113*AM113</f>
        <v>704580.54755871277</v>
      </c>
      <c r="AO113" s="497">
        <f>(AN113/F113)+AH113+AJ113</f>
        <v>70458.054755871271</v>
      </c>
      <c r="AP113" s="72"/>
      <c r="AQ113" s="72"/>
    </row>
    <row r="114" spans="1:43" ht="27.6">
      <c r="A114" s="461"/>
      <c r="B114" s="461"/>
      <c r="C114" s="494"/>
      <c r="D114" s="461"/>
      <c r="E114" s="462">
        <v>0</v>
      </c>
      <c r="F114" s="497">
        <v>10</v>
      </c>
      <c r="G114" s="462"/>
      <c r="H114" s="494" t="s">
        <v>839</v>
      </c>
      <c r="I114" s="461"/>
      <c r="J114" s="494" t="s">
        <v>840</v>
      </c>
      <c r="K114" s="461"/>
      <c r="L114" s="461">
        <v>6</v>
      </c>
      <c r="M114" s="461">
        <f>IF(SUM(L113:L114)&lt;=1,L114,1-SUM(M113:M113))</f>
        <v>0</v>
      </c>
      <c r="N114" s="461">
        <f>IF(SUM(L113:L114)&lt;=10,L114-M114,9-SUM(N113:N113))</f>
        <v>4</v>
      </c>
      <c r="O114" s="461">
        <f>IF(SUM(L113:L114)&lt;=60,L114-M114-N114,50-SUM(O113:O113))</f>
        <v>2</v>
      </c>
      <c r="P114" s="461">
        <f t="shared" si="0"/>
        <v>0</v>
      </c>
      <c r="Q114" s="462" t="s">
        <v>835</v>
      </c>
      <c r="R114" s="461">
        <v>1.8</v>
      </c>
      <c r="S114" s="462"/>
      <c r="T114" s="461"/>
      <c r="U114" s="461"/>
      <c r="V114" s="461"/>
      <c r="W114" s="461"/>
      <c r="X114" s="502"/>
      <c r="Y114" s="505"/>
      <c r="Z114" s="505"/>
      <c r="AA114" s="506"/>
      <c r="AB114" s="497">
        <v>1929828.9442857101</v>
      </c>
      <c r="AC114" s="497">
        <f>R114*X113*AB114</f>
        <v>90315.994592571238</v>
      </c>
      <c r="AD114" s="497">
        <f>R114*Y113*AB114</f>
        <v>66000.149894571281</v>
      </c>
      <c r="AE114" s="497">
        <f>R114*Z113*AB114</f>
        <v>45157.997296285619</v>
      </c>
      <c r="AF114" s="497">
        <f>R114*AA113*AB114</f>
        <v>42900.097431471338</v>
      </c>
      <c r="AG114" s="461"/>
      <c r="AH114" s="497"/>
      <c r="AI114" s="461"/>
      <c r="AJ114" s="497"/>
      <c r="AK114" s="476">
        <v>0</v>
      </c>
      <c r="AL114" s="497">
        <f>(M114*AC114)+(N114*AD114)+(O114*AE114)+(P114*AF114)+AK114</f>
        <v>354316.59417085635</v>
      </c>
      <c r="AM114" s="462">
        <v>0</v>
      </c>
      <c r="AN114" s="497"/>
      <c r="AO114" s="497"/>
      <c r="AP114" s="72"/>
      <c r="AQ114" s="72"/>
    </row>
    <row r="115" spans="1:43" ht="27.6">
      <c r="A115" s="461">
        <v>43</v>
      </c>
      <c r="B115" s="672" t="s">
        <v>649</v>
      </c>
      <c r="C115" s="494" t="s">
        <v>749</v>
      </c>
      <c r="D115" s="461" t="s">
        <v>356</v>
      </c>
      <c r="E115" s="462">
        <v>0</v>
      </c>
      <c r="F115" s="497">
        <v>10</v>
      </c>
      <c r="G115" s="462"/>
      <c r="H115" s="494" t="s">
        <v>839</v>
      </c>
      <c r="I115" s="461"/>
      <c r="J115" s="494" t="s">
        <v>840</v>
      </c>
      <c r="K115" s="461">
        <f>L116+L115</f>
        <v>12</v>
      </c>
      <c r="L115" s="461">
        <v>6</v>
      </c>
      <c r="M115" s="461">
        <f>MIN(L115,1)</f>
        <v>1</v>
      </c>
      <c r="N115" s="461">
        <f>IF(L115&lt;10,L115-M115,9)</f>
        <v>5</v>
      </c>
      <c r="O115" s="461">
        <f>IF(L115&lt;60,L115-M115-N115,50)</f>
        <v>0</v>
      </c>
      <c r="P115" s="461">
        <f t="shared" si="0"/>
        <v>0</v>
      </c>
      <c r="Q115" s="462" t="s">
        <v>834</v>
      </c>
      <c r="R115" s="461">
        <v>1.5</v>
      </c>
      <c r="S115" s="462"/>
      <c r="T115" s="461"/>
      <c r="U115" s="461"/>
      <c r="V115" s="461"/>
      <c r="W115" s="461"/>
      <c r="X115" s="502">
        <v>2.5999999999999999E-2</v>
      </c>
      <c r="Y115" s="505">
        <v>1.9E-2</v>
      </c>
      <c r="Z115" s="505">
        <v>1.2999999999999999E-2</v>
      </c>
      <c r="AA115" s="506">
        <v>1.235E-2</v>
      </c>
      <c r="AB115" s="497">
        <v>1929828.9442857101</v>
      </c>
      <c r="AC115" s="497">
        <f>R115*X115*AB115</f>
        <v>75263.328827142701</v>
      </c>
      <c r="AD115" s="497">
        <f>R115*Y115*AB115</f>
        <v>55000.124912142732</v>
      </c>
      <c r="AE115" s="497">
        <f>R115*Z115*AB115</f>
        <v>37631.66441357135</v>
      </c>
      <c r="AF115" s="497">
        <f>R115*AA115*AB115</f>
        <v>35750.08119289278</v>
      </c>
      <c r="AG115" s="461">
        <v>0</v>
      </c>
      <c r="AH115" s="497">
        <f>ROUND(AG115*AJ3,0)</f>
        <v>0</v>
      </c>
      <c r="AI115" s="461">
        <v>0</v>
      </c>
      <c r="AJ115" s="497">
        <f>ROUND(AI115*AJ3,0)</f>
        <v>0</v>
      </c>
      <c r="AK115" s="476">
        <v>0</v>
      </c>
      <c r="AL115" s="497">
        <f>(M115*AC115)+(N115*AD115)+(O115*AE115)+(P115*AF115)+AK115+AL116</f>
        <v>704580.54755871277</v>
      </c>
      <c r="AM115" s="462">
        <v>1</v>
      </c>
      <c r="AN115" s="497">
        <f>AL115*AM115</f>
        <v>704580.54755871277</v>
      </c>
      <c r="AO115" s="497">
        <f>(AN115/F115)+AH115+AJ115</f>
        <v>70458.054755871271</v>
      </c>
      <c r="AP115" s="72"/>
      <c r="AQ115" s="72"/>
    </row>
    <row r="116" spans="1:43" ht="27.6">
      <c r="A116" s="461"/>
      <c r="B116" s="461"/>
      <c r="C116" s="494"/>
      <c r="D116" s="461"/>
      <c r="E116" s="462">
        <v>0</v>
      </c>
      <c r="F116" s="497">
        <v>10</v>
      </c>
      <c r="G116" s="462"/>
      <c r="H116" s="494" t="s">
        <v>839</v>
      </c>
      <c r="I116" s="461"/>
      <c r="J116" s="494" t="s">
        <v>840</v>
      </c>
      <c r="K116" s="461"/>
      <c r="L116" s="461">
        <v>6</v>
      </c>
      <c r="M116" s="461">
        <f>IF(SUM(L115:L116)&lt;=1,L116,1-SUM(M115:M115))</f>
        <v>0</v>
      </c>
      <c r="N116" s="461">
        <f>IF(SUM(L115:L116)&lt;=10,L116-M116,9-SUM(N115:N115))</f>
        <v>4</v>
      </c>
      <c r="O116" s="461">
        <f>IF(SUM(L115:L116)&lt;=60,L116-M116-N116,50-SUM(O115:O115))</f>
        <v>2</v>
      </c>
      <c r="P116" s="461">
        <f t="shared" si="0"/>
        <v>0</v>
      </c>
      <c r="Q116" s="462" t="s">
        <v>835</v>
      </c>
      <c r="R116" s="461">
        <v>1.8</v>
      </c>
      <c r="S116" s="462"/>
      <c r="T116" s="461"/>
      <c r="U116" s="461"/>
      <c r="V116" s="461"/>
      <c r="W116" s="461"/>
      <c r="X116" s="502"/>
      <c r="Y116" s="505"/>
      <c r="Z116" s="505"/>
      <c r="AA116" s="506"/>
      <c r="AB116" s="497">
        <v>1929828.9442857101</v>
      </c>
      <c r="AC116" s="497">
        <f>R116*X115*AB116</f>
        <v>90315.994592571238</v>
      </c>
      <c r="AD116" s="497">
        <f>R116*Y115*AB116</f>
        <v>66000.149894571281</v>
      </c>
      <c r="AE116" s="497">
        <f>R116*Z115*AB116</f>
        <v>45157.997296285619</v>
      </c>
      <c r="AF116" s="497">
        <f>R116*AA115*AB116</f>
        <v>42900.097431471338</v>
      </c>
      <c r="AG116" s="461"/>
      <c r="AH116" s="497"/>
      <c r="AI116" s="461"/>
      <c r="AJ116" s="497"/>
      <c r="AK116" s="476">
        <v>0</v>
      </c>
      <c r="AL116" s="497">
        <f>(M116*AC116)+(N116*AD116)+(O116*AE116)+(P116*AF116)+AK116</f>
        <v>354316.59417085635</v>
      </c>
      <c r="AM116" s="462">
        <v>0</v>
      </c>
      <c r="AN116" s="497"/>
      <c r="AO116" s="497"/>
      <c r="AP116" s="72"/>
      <c r="AQ116" s="72"/>
    </row>
    <row r="117" spans="1:43" ht="27.6">
      <c r="A117" s="461">
        <v>44</v>
      </c>
      <c r="B117" s="672" t="s">
        <v>650</v>
      </c>
      <c r="C117" s="494" t="s">
        <v>750</v>
      </c>
      <c r="D117" s="461" t="s">
        <v>356</v>
      </c>
      <c r="E117" s="462">
        <v>0</v>
      </c>
      <c r="F117" s="497">
        <v>10</v>
      </c>
      <c r="G117" s="462"/>
      <c r="H117" s="494" t="s">
        <v>839</v>
      </c>
      <c r="I117" s="461"/>
      <c r="J117" s="494" t="s">
        <v>840</v>
      </c>
      <c r="K117" s="461">
        <f>L118+L117</f>
        <v>12</v>
      </c>
      <c r="L117" s="461">
        <v>6</v>
      </c>
      <c r="M117" s="461">
        <f>MIN(L117,1)</f>
        <v>1</v>
      </c>
      <c r="N117" s="461">
        <f>IF(L117&lt;10,L117-M117,9)</f>
        <v>5</v>
      </c>
      <c r="O117" s="461">
        <f>IF(L117&lt;60,L117-M117-N117,50)</f>
        <v>0</v>
      </c>
      <c r="P117" s="461">
        <f t="shared" si="0"/>
        <v>0</v>
      </c>
      <c r="Q117" s="462" t="s">
        <v>834</v>
      </c>
      <c r="R117" s="461">
        <v>1.5</v>
      </c>
      <c r="S117" s="462"/>
      <c r="T117" s="461"/>
      <c r="U117" s="461"/>
      <c r="V117" s="461"/>
      <c r="W117" s="461"/>
      <c r="X117" s="502">
        <v>2.5999999999999999E-2</v>
      </c>
      <c r="Y117" s="505">
        <v>1.9E-2</v>
      </c>
      <c r="Z117" s="505">
        <v>1.2999999999999999E-2</v>
      </c>
      <c r="AA117" s="506">
        <v>1.235E-2</v>
      </c>
      <c r="AB117" s="497">
        <v>1929828.9442857101</v>
      </c>
      <c r="AC117" s="497">
        <f>R117*X117*AB117</f>
        <v>75263.328827142701</v>
      </c>
      <c r="AD117" s="497">
        <f>R117*Y117*AB117</f>
        <v>55000.124912142732</v>
      </c>
      <c r="AE117" s="497">
        <f>R117*Z117*AB117</f>
        <v>37631.66441357135</v>
      </c>
      <c r="AF117" s="497">
        <f>R117*AA117*AB117</f>
        <v>35750.08119289278</v>
      </c>
      <c r="AG117" s="461">
        <v>0</v>
      </c>
      <c r="AH117" s="497">
        <f>ROUND(AG117*AJ3,0)</f>
        <v>0</v>
      </c>
      <c r="AI117" s="461">
        <v>0</v>
      </c>
      <c r="AJ117" s="497">
        <f>ROUND(AI117*AJ3,0)</f>
        <v>0</v>
      </c>
      <c r="AK117" s="476">
        <v>0</v>
      </c>
      <c r="AL117" s="497">
        <f>(M117*AC117)+(N117*AD117)+(O117*AE117)+(P117*AF117)+AK117+AL118</f>
        <v>704580.54755871277</v>
      </c>
      <c r="AM117" s="462">
        <v>1</v>
      </c>
      <c r="AN117" s="497">
        <f>AL117*AM117</f>
        <v>704580.54755871277</v>
      </c>
      <c r="AO117" s="497">
        <f>(AN117/F117)+AH117+AJ117</f>
        <v>70458.054755871271</v>
      </c>
      <c r="AP117" s="72"/>
      <c r="AQ117" s="72"/>
    </row>
    <row r="118" spans="1:43" ht="27.6">
      <c r="A118" s="461"/>
      <c r="B118" s="461"/>
      <c r="C118" s="494"/>
      <c r="D118" s="461"/>
      <c r="E118" s="462">
        <v>0</v>
      </c>
      <c r="F118" s="497">
        <v>10</v>
      </c>
      <c r="G118" s="462"/>
      <c r="H118" s="494" t="s">
        <v>839</v>
      </c>
      <c r="I118" s="461"/>
      <c r="J118" s="494" t="s">
        <v>840</v>
      </c>
      <c r="K118" s="461"/>
      <c r="L118" s="461">
        <v>6</v>
      </c>
      <c r="M118" s="461">
        <f>IF(SUM(L117:L118)&lt;=1,L118,1-SUM(M117:M117))</f>
        <v>0</v>
      </c>
      <c r="N118" s="461">
        <f>IF(SUM(L117:L118)&lt;=10,L118-M118,9-SUM(N117:N117))</f>
        <v>4</v>
      </c>
      <c r="O118" s="461">
        <f>IF(SUM(L117:L118)&lt;=60,L118-M118-N118,50-SUM(O117:O117))</f>
        <v>2</v>
      </c>
      <c r="P118" s="461">
        <f t="shared" si="0"/>
        <v>0</v>
      </c>
      <c r="Q118" s="462" t="s">
        <v>835</v>
      </c>
      <c r="R118" s="461">
        <v>1.8</v>
      </c>
      <c r="S118" s="462"/>
      <c r="T118" s="461"/>
      <c r="U118" s="461"/>
      <c r="V118" s="461"/>
      <c r="W118" s="461"/>
      <c r="X118" s="502"/>
      <c r="Y118" s="505"/>
      <c r="Z118" s="505"/>
      <c r="AA118" s="506"/>
      <c r="AB118" s="497">
        <v>1929828.9442857101</v>
      </c>
      <c r="AC118" s="497">
        <f>R118*X117*AB118</f>
        <v>90315.994592571238</v>
      </c>
      <c r="AD118" s="497">
        <f>R118*Y117*AB118</f>
        <v>66000.149894571281</v>
      </c>
      <c r="AE118" s="497">
        <f>R118*Z117*AB118</f>
        <v>45157.997296285619</v>
      </c>
      <c r="AF118" s="497">
        <f>R118*AA117*AB118</f>
        <v>42900.097431471338</v>
      </c>
      <c r="AG118" s="461"/>
      <c r="AH118" s="497"/>
      <c r="AI118" s="461"/>
      <c r="AJ118" s="497"/>
      <c r="AK118" s="476">
        <v>0</v>
      </c>
      <c r="AL118" s="497">
        <f>(M118*AC118)+(N118*AD118)+(O118*AE118)+(P118*AF118)+AK118</f>
        <v>354316.59417085635</v>
      </c>
      <c r="AM118" s="462">
        <v>0</v>
      </c>
      <c r="AN118" s="497"/>
      <c r="AO118" s="497"/>
      <c r="AP118" s="72"/>
      <c r="AQ118" s="72"/>
    </row>
    <row r="119" spans="1:43" ht="41.4">
      <c r="A119" s="461">
        <v>45</v>
      </c>
      <c r="B119" s="672" t="s">
        <v>655</v>
      </c>
      <c r="C119" s="494" t="s">
        <v>751</v>
      </c>
      <c r="D119" s="461" t="s">
        <v>752</v>
      </c>
      <c r="E119" s="462">
        <v>2.3E-3</v>
      </c>
      <c r="F119" s="497">
        <v>4347.8260869565202</v>
      </c>
      <c r="G119" s="462"/>
      <c r="H119" s="494" t="s">
        <v>852</v>
      </c>
      <c r="I119" s="461"/>
      <c r="J119" s="494" t="s">
        <v>831</v>
      </c>
      <c r="K119" s="461">
        <f>L121+L120+L119</f>
        <v>22</v>
      </c>
      <c r="L119" s="461">
        <v>9</v>
      </c>
      <c r="M119" s="461">
        <f>MIN(L119,1)</f>
        <v>1</v>
      </c>
      <c r="N119" s="461">
        <f>IF(L119&lt;10,L119-M119,9)</f>
        <v>8</v>
      </c>
      <c r="O119" s="461">
        <f>IF(L119&lt;60,L119-M119-N119,50)</f>
        <v>0</v>
      </c>
      <c r="P119" s="461">
        <f t="shared" si="0"/>
        <v>0</v>
      </c>
      <c r="Q119" s="462" t="s">
        <v>833</v>
      </c>
      <c r="R119" s="461">
        <v>1.35</v>
      </c>
      <c r="S119" s="462"/>
      <c r="T119" s="461"/>
      <c r="U119" s="461"/>
      <c r="V119" s="461"/>
      <c r="W119" s="461"/>
      <c r="X119" s="502">
        <v>4.9000000000000002E-2</v>
      </c>
      <c r="Y119" s="505">
        <v>3.5999999999999997E-2</v>
      </c>
      <c r="Z119" s="505">
        <v>2.3E-2</v>
      </c>
      <c r="AA119" s="506">
        <v>2.1850000000000001E-2</v>
      </c>
      <c r="AB119" s="497">
        <v>1607649.12076923</v>
      </c>
      <c r="AC119" s="497">
        <f>R119*X119*AB119</f>
        <v>106345.98933888457</v>
      </c>
      <c r="AD119" s="497">
        <f>R119*Y119*AB119</f>
        <v>78131.747269384578</v>
      </c>
      <c r="AE119" s="497">
        <f>R119*Z119*AB119</f>
        <v>49917.505199884588</v>
      </c>
      <c r="AF119" s="497">
        <f>R119*AA119*AB119</f>
        <v>47421.629939890365</v>
      </c>
      <c r="AG119" s="461">
        <v>0</v>
      </c>
      <c r="AH119" s="497">
        <f>ROUND(AG119*AJ3,0)</f>
        <v>0</v>
      </c>
      <c r="AI119" s="461">
        <v>0</v>
      </c>
      <c r="AJ119" s="497">
        <f>ROUND(AI119*AJ3,0)</f>
        <v>0</v>
      </c>
      <c r="AK119" s="476">
        <v>0</v>
      </c>
      <c r="AL119" s="497">
        <f>(M119*AC119)+(N119*AD119)+(O119*AE119)+(P119*AF119)+AK119+AL120+AL121</f>
        <v>1550336.429613807</v>
      </c>
      <c r="AM119" s="462">
        <v>1</v>
      </c>
      <c r="AN119" s="497">
        <f>AL119*AM119</f>
        <v>1550336.429613807</v>
      </c>
      <c r="AO119" s="497">
        <f>(AN119/F119)+AH119+AJ119</f>
        <v>356.57737881117572</v>
      </c>
      <c r="AP119" s="72"/>
      <c r="AQ119" s="72"/>
    </row>
    <row r="120" spans="1:43" ht="27.6">
      <c r="A120" s="461"/>
      <c r="B120" s="461"/>
      <c r="C120" s="494"/>
      <c r="D120" s="461"/>
      <c r="E120" s="462">
        <v>2.3E-3</v>
      </c>
      <c r="F120" s="497">
        <v>4347.8260869565202</v>
      </c>
      <c r="G120" s="462"/>
      <c r="H120" s="494" t="s">
        <v>852</v>
      </c>
      <c r="I120" s="461"/>
      <c r="J120" s="494" t="s">
        <v>831</v>
      </c>
      <c r="K120" s="461"/>
      <c r="L120" s="461">
        <v>7</v>
      </c>
      <c r="M120" s="461">
        <f>IF(SUM(L119:L120)&lt;=1,L120,1-SUM(M119:M119))</f>
        <v>0</v>
      </c>
      <c r="N120" s="461">
        <f>IF(SUM(L119:L120)&lt;=10,L120-M120,9-SUM(N119:N119))</f>
        <v>1</v>
      </c>
      <c r="O120" s="461">
        <f>IF(SUM(L119:L120)&lt;=60,L120-M120-N120,50-SUM(O119:O119))</f>
        <v>6</v>
      </c>
      <c r="P120" s="461">
        <f t="shared" si="0"/>
        <v>0</v>
      </c>
      <c r="Q120" s="462" t="s">
        <v>834</v>
      </c>
      <c r="R120" s="461">
        <v>1.5</v>
      </c>
      <c r="S120" s="462"/>
      <c r="T120" s="461"/>
      <c r="U120" s="461"/>
      <c r="V120" s="461"/>
      <c r="W120" s="461"/>
      <c r="X120" s="502"/>
      <c r="Y120" s="505"/>
      <c r="Z120" s="505"/>
      <c r="AA120" s="506"/>
      <c r="AB120" s="497">
        <v>1607649.12076923</v>
      </c>
      <c r="AC120" s="497">
        <f>R120*X119*AB120</f>
        <v>118162.21037653842</v>
      </c>
      <c r="AD120" s="497">
        <f>R120*Y119*AB120</f>
        <v>86813.052521538411</v>
      </c>
      <c r="AE120" s="497">
        <f>R120*Z119*AB120</f>
        <v>55463.894666538436</v>
      </c>
      <c r="AF120" s="497">
        <f>R120*AA119*AB120</f>
        <v>52690.699933211508</v>
      </c>
      <c r="AG120" s="461"/>
      <c r="AH120" s="497"/>
      <c r="AI120" s="461"/>
      <c r="AJ120" s="497"/>
      <c r="AK120" s="476">
        <v>0</v>
      </c>
      <c r="AL120" s="497">
        <f t="shared" ref="AL120:AL121" si="75">(M120*AC120)+(N120*AD120)+(O120*AE120)+(P120*AF120)+AK120</f>
        <v>419596.42052076902</v>
      </c>
      <c r="AM120" s="462">
        <v>0</v>
      </c>
      <c r="AN120" s="497"/>
      <c r="AO120" s="497"/>
      <c r="AP120" s="72"/>
      <c r="AQ120" s="72"/>
    </row>
    <row r="121" spans="1:43" ht="27.6">
      <c r="A121" s="461"/>
      <c r="B121" s="461"/>
      <c r="C121" s="511"/>
      <c r="D121" s="512"/>
      <c r="E121" s="513">
        <v>2.3E-3</v>
      </c>
      <c r="F121" s="514">
        <v>4347.8260869565202</v>
      </c>
      <c r="G121" s="513"/>
      <c r="H121" s="511" t="s">
        <v>852</v>
      </c>
      <c r="I121" s="512"/>
      <c r="J121" s="511" t="s">
        <v>831</v>
      </c>
      <c r="K121" s="512"/>
      <c r="L121" s="512">
        <v>6</v>
      </c>
      <c r="M121" s="512">
        <f>IF(SUM(L119:L121)&lt;=1,L121,1-SUM(M119:M120))</f>
        <v>0</v>
      </c>
      <c r="N121" s="512">
        <f>IF(SUM(L119:L121)&lt;=10,L121-M121,9-SUM(N119:N120))</f>
        <v>0</v>
      </c>
      <c r="O121" s="512">
        <f>IF(SUM(L119:L121)&lt;=60,L121-M121-N121,50-SUM(O119:O120))</f>
        <v>6</v>
      </c>
      <c r="P121" s="512">
        <f t="shared" si="0"/>
        <v>0</v>
      </c>
      <c r="Q121" s="513" t="s">
        <v>835</v>
      </c>
      <c r="R121" s="512">
        <v>1.8</v>
      </c>
      <c r="S121" s="513"/>
      <c r="T121" s="512"/>
      <c r="U121" s="512"/>
      <c r="V121" s="512"/>
      <c r="W121" s="512"/>
      <c r="X121" s="516"/>
      <c r="Y121" s="517"/>
      <c r="Z121" s="517"/>
      <c r="AA121" s="518"/>
      <c r="AB121" s="514">
        <v>1607649.12076923</v>
      </c>
      <c r="AC121" s="514">
        <f>R121*X119*AB121</f>
        <v>141794.65245184608</v>
      </c>
      <c r="AD121" s="514">
        <f>R121*Y119*AB121</f>
        <v>104175.66302584609</v>
      </c>
      <c r="AE121" s="514">
        <f>R121*Z119*AB121</f>
        <v>66556.673599846123</v>
      </c>
      <c r="AF121" s="514">
        <f>R121*AA119*AB121</f>
        <v>63228.839919853817</v>
      </c>
      <c r="AG121" s="512"/>
      <c r="AH121" s="514"/>
      <c r="AI121" s="512"/>
      <c r="AJ121" s="514"/>
      <c r="AK121" s="477">
        <v>0</v>
      </c>
      <c r="AL121" s="514">
        <f t="shared" si="75"/>
        <v>399340.04159907671</v>
      </c>
      <c r="AM121" s="513">
        <v>0</v>
      </c>
      <c r="AN121" s="514"/>
      <c r="AO121" s="514"/>
      <c r="AP121" s="72"/>
      <c r="AQ121" s="72"/>
    </row>
    <row r="122" spans="1:43" ht="15" customHeight="1">
      <c r="A122" s="515"/>
      <c r="B122" s="515"/>
      <c r="C122" s="515"/>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5"/>
      <c r="AM122" s="515"/>
      <c r="AN122" s="515"/>
      <c r="AO122" s="515"/>
      <c r="AP122" s="515"/>
      <c r="AQ122" s="515"/>
    </row>
    <row r="123" spans="1:43">
      <c r="A123" s="515"/>
      <c r="B123" s="515"/>
      <c r="C123" s="515"/>
      <c r="D123" s="515"/>
      <c r="E123" s="515"/>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5"/>
      <c r="AM123" s="515"/>
      <c r="AN123" s="515"/>
      <c r="AO123" s="515"/>
      <c r="AP123" s="515"/>
      <c r="AQ123" s="515"/>
    </row>
    <row r="124" spans="1:43">
      <c r="A124" s="515"/>
      <c r="B124" s="515"/>
      <c r="C124" s="515"/>
      <c r="D124" s="515"/>
      <c r="E124" s="515"/>
      <c r="F124" s="515"/>
      <c r="G124" s="515"/>
      <c r="H124" s="515"/>
      <c r="I124" s="515"/>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5"/>
      <c r="AM124" s="515"/>
      <c r="AN124" s="515"/>
      <c r="AO124" s="515"/>
      <c r="AP124" s="515"/>
      <c r="AQ124" s="515"/>
    </row>
    <row r="125" spans="1:43">
      <c r="A125" s="515"/>
      <c r="B125" s="515"/>
      <c r="C125" s="515"/>
      <c r="D125" s="515"/>
      <c r="E125" s="515"/>
      <c r="F125" s="515"/>
      <c r="G125" s="515"/>
      <c r="H125" s="515"/>
      <c r="I125" s="515"/>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5"/>
      <c r="AM125" s="515"/>
      <c r="AN125" s="515"/>
      <c r="AO125" s="515"/>
      <c r="AP125" s="515"/>
      <c r="AQ125" s="515"/>
    </row>
    <row r="126" spans="1:43">
      <c r="A126" s="515"/>
      <c r="B126" s="515"/>
      <c r="C126" s="515"/>
      <c r="D126" s="515"/>
      <c r="E126" s="515"/>
      <c r="F126" s="515"/>
      <c r="G126" s="515"/>
      <c r="H126" s="515"/>
      <c r="I126" s="515"/>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5"/>
      <c r="AM126" s="515"/>
      <c r="AN126" s="515"/>
      <c r="AO126" s="515"/>
      <c r="AP126" s="515"/>
      <c r="AQ126" s="515"/>
    </row>
    <row r="127" spans="1:43">
      <c r="A127" s="515"/>
      <c r="B127" s="515"/>
      <c r="C127" s="515"/>
      <c r="D127" s="515"/>
      <c r="E127" s="515"/>
      <c r="F127" s="515"/>
      <c r="G127" s="515"/>
      <c r="H127" s="515"/>
      <c r="I127" s="515"/>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5"/>
      <c r="AM127" s="515"/>
      <c r="AN127" s="515"/>
      <c r="AO127" s="515"/>
      <c r="AP127" s="515"/>
      <c r="AQ127" s="515"/>
    </row>
    <row r="128" spans="1:43">
      <c r="A128" s="515"/>
      <c r="B128" s="515"/>
      <c r="C128" s="515"/>
      <c r="D128" s="515"/>
      <c r="E128" s="515"/>
      <c r="F128" s="515"/>
      <c r="G128" s="515"/>
      <c r="H128" s="515"/>
      <c r="I128" s="515"/>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5"/>
      <c r="AM128" s="515"/>
      <c r="AN128" s="515"/>
      <c r="AO128" s="515"/>
      <c r="AP128" s="515"/>
      <c r="AQ128" s="515"/>
    </row>
    <row r="129" spans="1:43">
      <c r="A129" s="515"/>
      <c r="B129" s="515"/>
      <c r="C129" s="515"/>
      <c r="D129" s="515"/>
      <c r="E129" s="515"/>
      <c r="F129" s="515"/>
      <c r="G129" s="515"/>
      <c r="H129" s="515"/>
      <c r="I129" s="515"/>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5"/>
      <c r="AM129" s="515"/>
      <c r="AN129" s="515"/>
      <c r="AO129" s="515"/>
      <c r="AP129" s="515"/>
      <c r="AQ129" s="515"/>
    </row>
    <row r="130" spans="1:43">
      <c r="A130" s="515"/>
      <c r="B130" s="515"/>
      <c r="C130" s="515"/>
      <c r="D130" s="515"/>
      <c r="E130" s="515"/>
      <c r="F130" s="515"/>
      <c r="G130" s="515"/>
      <c r="H130" s="515"/>
      <c r="I130" s="515"/>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5"/>
      <c r="AM130" s="515"/>
      <c r="AN130" s="515"/>
      <c r="AO130" s="515"/>
      <c r="AP130" s="515"/>
      <c r="AQ130" s="515"/>
    </row>
    <row r="131" spans="1:43">
      <c r="A131" s="515"/>
      <c r="B131" s="515"/>
      <c r="C131" s="515"/>
      <c r="D131" s="515"/>
      <c r="E131" s="515"/>
      <c r="F131" s="515"/>
      <c r="G131" s="515"/>
      <c r="H131" s="515"/>
      <c r="I131" s="515"/>
      <c r="J131" s="515"/>
      <c r="K131" s="515"/>
      <c r="L131" s="515"/>
      <c r="M131" s="515"/>
      <c r="N131" s="515"/>
      <c r="O131" s="515"/>
      <c r="P131" s="515"/>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5"/>
      <c r="AM131" s="515"/>
      <c r="AN131" s="515"/>
      <c r="AO131" s="515"/>
      <c r="AP131" s="515"/>
      <c r="AQ131" s="515"/>
    </row>
    <row r="132" spans="1:43">
      <c r="A132" s="515"/>
      <c r="B132" s="515"/>
      <c r="C132" s="515"/>
      <c r="D132" s="515"/>
      <c r="E132" s="515"/>
      <c r="F132" s="515"/>
      <c r="G132" s="515"/>
      <c r="H132" s="515"/>
      <c r="I132" s="515"/>
      <c r="J132" s="515"/>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5"/>
      <c r="AM132" s="515"/>
      <c r="AN132" s="515"/>
      <c r="AO132" s="515"/>
      <c r="AP132" s="515"/>
      <c r="AQ132" s="515"/>
    </row>
    <row r="133" spans="1:43">
      <c r="A133" s="515"/>
      <c r="B133" s="515"/>
      <c r="C133" s="515"/>
      <c r="D133" s="515"/>
      <c r="E133" s="515"/>
      <c r="F133" s="515"/>
      <c r="G133" s="515"/>
      <c r="H133" s="515"/>
      <c r="I133" s="515"/>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5"/>
      <c r="AM133" s="515"/>
      <c r="AN133" s="515"/>
      <c r="AO133" s="515"/>
      <c r="AP133" s="515"/>
      <c r="AQ133" s="515"/>
    </row>
    <row r="134" spans="1:43">
      <c r="A134" s="515"/>
      <c r="B134" s="515"/>
      <c r="C134" s="515"/>
      <c r="D134" s="515"/>
      <c r="E134" s="515"/>
      <c r="F134" s="515"/>
      <c r="G134" s="515"/>
      <c r="H134" s="515"/>
      <c r="I134" s="515"/>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5"/>
      <c r="AM134" s="515"/>
      <c r="AN134" s="515"/>
      <c r="AO134" s="515"/>
      <c r="AP134" s="515"/>
      <c r="AQ134" s="515"/>
    </row>
    <row r="135" spans="1:43">
      <c r="A135" s="515"/>
      <c r="B135" s="515"/>
      <c r="C135" s="515"/>
      <c r="D135" s="515"/>
      <c r="E135" s="515"/>
      <c r="F135" s="515"/>
      <c r="G135" s="515"/>
      <c r="H135" s="515"/>
      <c r="I135" s="515"/>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5"/>
      <c r="AM135" s="515"/>
      <c r="AN135" s="515"/>
      <c r="AO135" s="515"/>
      <c r="AP135" s="515"/>
      <c r="AQ135" s="515"/>
    </row>
    <row r="136" spans="1:43">
      <c r="A136" s="515"/>
      <c r="B136" s="515"/>
      <c r="C136" s="515"/>
      <c r="D136" s="515"/>
      <c r="E136" s="515"/>
      <c r="F136" s="515"/>
      <c r="G136" s="515"/>
      <c r="H136" s="515"/>
      <c r="I136" s="515"/>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5"/>
      <c r="AM136" s="515"/>
      <c r="AN136" s="515"/>
      <c r="AO136" s="515"/>
      <c r="AP136" s="515"/>
      <c r="AQ136" s="515"/>
    </row>
    <row r="137" spans="1:43">
      <c r="A137" s="515"/>
      <c r="B137" s="515"/>
      <c r="C137" s="515"/>
      <c r="D137" s="515"/>
      <c r="E137" s="515"/>
      <c r="F137" s="515"/>
      <c r="G137" s="515"/>
      <c r="H137" s="515"/>
      <c r="I137" s="515"/>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5"/>
      <c r="AM137" s="515"/>
      <c r="AN137" s="515"/>
      <c r="AO137" s="515"/>
      <c r="AP137" s="515"/>
      <c r="AQ137" s="515"/>
    </row>
    <row r="138" spans="1:43">
      <c r="A138" s="515"/>
      <c r="B138" s="515"/>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5"/>
      <c r="AM138" s="515"/>
      <c r="AN138" s="515"/>
      <c r="AO138" s="515"/>
      <c r="AP138" s="515"/>
      <c r="AQ138" s="515"/>
    </row>
    <row r="139" spans="1:43">
      <c r="A139" s="515"/>
      <c r="B139" s="515"/>
      <c r="C139" s="515"/>
      <c r="D139" s="515"/>
      <c r="E139" s="515"/>
      <c r="F139" s="515"/>
      <c r="G139" s="515"/>
      <c r="H139" s="515"/>
      <c r="I139" s="515"/>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5"/>
      <c r="AM139" s="515"/>
      <c r="AN139" s="515"/>
      <c r="AO139" s="515"/>
      <c r="AP139" s="515"/>
      <c r="AQ139" s="515"/>
    </row>
    <row r="140" spans="1:43">
      <c r="A140" s="515"/>
      <c r="B140" s="515"/>
      <c r="C140" s="515"/>
      <c r="D140" s="515"/>
      <c r="E140" s="515"/>
      <c r="F140" s="515"/>
      <c r="G140" s="515"/>
      <c r="H140" s="515"/>
      <c r="I140" s="515"/>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5"/>
      <c r="AM140" s="515"/>
      <c r="AN140" s="515"/>
      <c r="AO140" s="515"/>
      <c r="AP140" s="515"/>
      <c r="AQ140" s="515"/>
    </row>
    <row r="141" spans="1:43">
      <c r="A141" s="515"/>
      <c r="B141" s="515"/>
      <c r="C141" s="515"/>
      <c r="D141" s="515"/>
      <c r="E141" s="515"/>
      <c r="F141" s="515"/>
      <c r="G141" s="515"/>
      <c r="H141" s="515"/>
      <c r="I141" s="515"/>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5"/>
      <c r="AM141" s="515"/>
      <c r="AN141" s="515"/>
      <c r="AO141" s="515"/>
      <c r="AP141" s="515"/>
      <c r="AQ141" s="515"/>
    </row>
    <row r="142" spans="1:43">
      <c r="A142" s="515"/>
      <c r="B142" s="515"/>
      <c r="C142" s="515"/>
      <c r="D142" s="515"/>
      <c r="E142" s="515"/>
      <c r="F142" s="515"/>
      <c r="G142" s="515"/>
      <c r="H142" s="515"/>
      <c r="I142" s="515"/>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5"/>
      <c r="AM142" s="515"/>
      <c r="AN142" s="515"/>
      <c r="AO142" s="515"/>
      <c r="AP142" s="515"/>
      <c r="AQ142" s="515"/>
    </row>
    <row r="143" spans="1:43">
      <c r="A143" s="515"/>
      <c r="B143" s="515"/>
      <c r="C143" s="515"/>
      <c r="D143" s="515"/>
      <c r="E143" s="515"/>
      <c r="F143" s="515"/>
      <c r="G143" s="515"/>
      <c r="H143" s="515"/>
      <c r="I143" s="515"/>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5"/>
      <c r="AM143" s="515"/>
      <c r="AN143" s="515"/>
      <c r="AO143" s="515"/>
      <c r="AP143" s="515"/>
      <c r="AQ143" s="515"/>
    </row>
    <row r="144" spans="1:43">
      <c r="A144" s="515"/>
      <c r="B144" s="515"/>
      <c r="C144" s="515"/>
      <c r="D144" s="515"/>
      <c r="E144" s="515"/>
      <c r="F144" s="515"/>
      <c r="G144" s="515"/>
      <c r="H144" s="515"/>
      <c r="I144" s="515"/>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5"/>
      <c r="AM144" s="515"/>
      <c r="AN144" s="515"/>
      <c r="AO144" s="515"/>
      <c r="AP144" s="515"/>
      <c r="AQ144" s="515"/>
    </row>
    <row r="145" spans="1:43">
      <c r="A145" s="515"/>
      <c r="B145" s="515"/>
      <c r="C145" s="515"/>
      <c r="D145" s="515"/>
      <c r="E145" s="515"/>
      <c r="F145" s="515"/>
      <c r="G145" s="515"/>
      <c r="H145" s="515"/>
      <c r="I145" s="515"/>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5"/>
      <c r="AM145" s="515"/>
      <c r="AN145" s="515"/>
      <c r="AO145" s="515"/>
      <c r="AP145" s="515"/>
      <c r="AQ145" s="515"/>
    </row>
    <row r="146" spans="1:43">
      <c r="A146" s="515"/>
      <c r="B146" s="515"/>
      <c r="C146" s="515"/>
      <c r="D146" s="515"/>
      <c r="E146" s="515"/>
      <c r="F146" s="515"/>
      <c r="G146" s="515"/>
      <c r="H146" s="515"/>
      <c r="I146" s="515"/>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5"/>
      <c r="AM146" s="515"/>
      <c r="AN146" s="515"/>
      <c r="AO146" s="515"/>
      <c r="AP146" s="515"/>
      <c r="AQ146" s="515"/>
    </row>
    <row r="147" spans="1:43">
      <c r="A147" s="515"/>
      <c r="B147" s="515"/>
      <c r="C147" s="515"/>
      <c r="D147" s="515"/>
      <c r="E147" s="515"/>
      <c r="F147" s="515"/>
      <c r="G147" s="515"/>
      <c r="H147" s="515"/>
      <c r="I147" s="515"/>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5"/>
      <c r="AM147" s="515"/>
      <c r="AN147" s="515"/>
      <c r="AO147" s="515"/>
      <c r="AP147" s="515"/>
      <c r="AQ147" s="515"/>
    </row>
    <row r="148" spans="1:43">
      <c r="A148" s="515"/>
      <c r="B148" s="515"/>
      <c r="C148" s="515"/>
      <c r="D148" s="515"/>
      <c r="E148" s="515"/>
      <c r="F148" s="515"/>
      <c r="G148" s="515"/>
      <c r="H148" s="515"/>
      <c r="I148" s="515"/>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5"/>
      <c r="AM148" s="515"/>
      <c r="AN148" s="515"/>
      <c r="AO148" s="515"/>
      <c r="AP148" s="515"/>
      <c r="AQ148" s="515"/>
    </row>
    <row r="149" spans="1:43" ht="15.6">
      <c r="A149" s="478"/>
      <c r="B149" s="478"/>
      <c r="C149" s="478"/>
      <c r="D149" s="478"/>
      <c r="E149" s="478"/>
      <c r="F149" s="519"/>
      <c r="G149" s="478"/>
      <c r="H149" s="478"/>
      <c r="I149" s="478"/>
      <c r="J149" s="478"/>
      <c r="K149" s="520"/>
      <c r="L149" s="520"/>
      <c r="M149" s="520"/>
      <c r="N149" s="520"/>
      <c r="O149" s="520"/>
      <c r="P149" s="520"/>
      <c r="Q149" s="478"/>
      <c r="R149" s="520"/>
      <c r="S149" s="478"/>
      <c r="T149" s="478"/>
      <c r="U149" s="478"/>
      <c r="V149" s="478"/>
      <c r="W149" s="478"/>
      <c r="X149" s="520"/>
      <c r="Y149" s="520"/>
      <c r="Z149" s="520"/>
      <c r="AA149" s="520"/>
      <c r="AB149" s="519"/>
      <c r="AC149" s="519"/>
      <c r="AD149" s="519"/>
      <c r="AE149" s="478"/>
      <c r="AF149" s="478"/>
      <c r="AG149" s="519"/>
      <c r="AH149" s="519"/>
      <c r="AI149" s="519"/>
      <c r="AJ149" s="478"/>
      <c r="AK149" s="478"/>
      <c r="AL149" s="519"/>
      <c r="AM149" s="478"/>
      <c r="AN149" s="519"/>
      <c r="AO149" s="519"/>
      <c r="AP149" s="478"/>
      <c r="AQ149" s="478"/>
    </row>
    <row r="150" spans="1:43" ht="15.6">
      <c r="A150" s="478"/>
      <c r="B150" s="478"/>
      <c r="C150" s="478"/>
      <c r="D150" s="478"/>
      <c r="E150" s="478"/>
      <c r="F150" s="519"/>
      <c r="G150" s="478"/>
      <c r="H150" s="478"/>
      <c r="I150" s="478"/>
      <c r="J150" s="478"/>
      <c r="K150" s="520"/>
      <c r="L150" s="520"/>
      <c r="M150" s="520"/>
      <c r="N150" s="520"/>
      <c r="O150" s="520"/>
      <c r="P150" s="520"/>
      <c r="Q150" s="478"/>
      <c r="R150" s="520"/>
      <c r="S150" s="478"/>
      <c r="T150" s="478"/>
      <c r="U150" s="478"/>
      <c r="V150" s="478"/>
      <c r="W150" s="478"/>
      <c r="X150" s="520"/>
      <c r="Y150" s="520"/>
      <c r="Z150" s="520"/>
      <c r="AA150" s="520"/>
      <c r="AB150" s="519"/>
      <c r="AC150" s="519"/>
      <c r="AD150" s="519"/>
      <c r="AE150" s="478"/>
      <c r="AF150" s="478"/>
      <c r="AG150" s="519"/>
      <c r="AH150" s="519"/>
      <c r="AI150" s="519"/>
      <c r="AJ150" s="478"/>
      <c r="AK150" s="478"/>
      <c r="AL150" s="519"/>
      <c r="AM150" s="478"/>
      <c r="AN150" s="519"/>
      <c r="AO150" s="519"/>
      <c r="AP150" s="478"/>
      <c r="AQ150" s="478"/>
    </row>
    <row r="151" spans="1:43" ht="15.6">
      <c r="A151" s="478"/>
      <c r="B151" s="478"/>
      <c r="C151" s="478"/>
      <c r="D151" s="478"/>
      <c r="E151" s="478"/>
      <c r="F151" s="519"/>
      <c r="G151" s="478"/>
      <c r="H151" s="478"/>
      <c r="I151" s="478"/>
      <c r="J151" s="478"/>
      <c r="K151" s="520"/>
      <c r="L151" s="520"/>
      <c r="M151" s="520"/>
      <c r="N151" s="520"/>
      <c r="O151" s="520"/>
      <c r="P151" s="520"/>
      <c r="Q151" s="478"/>
      <c r="R151" s="520"/>
      <c r="S151" s="478"/>
      <c r="T151" s="478"/>
      <c r="U151" s="478"/>
      <c r="V151" s="478"/>
      <c r="W151" s="478"/>
      <c r="X151" s="520"/>
      <c r="Y151" s="520"/>
      <c r="Z151" s="520"/>
      <c r="AA151" s="520"/>
      <c r="AB151" s="519"/>
      <c r="AC151" s="519"/>
      <c r="AD151" s="519"/>
      <c r="AE151" s="478"/>
      <c r="AF151" s="478"/>
      <c r="AG151" s="519"/>
      <c r="AH151" s="519"/>
      <c r="AI151" s="519"/>
      <c r="AJ151" s="478"/>
      <c r="AK151" s="478"/>
      <c r="AL151" s="519"/>
      <c r="AM151" s="478"/>
      <c r="AN151" s="519"/>
      <c r="AO151" s="519"/>
      <c r="AP151" s="478"/>
      <c r="AQ151" s="478"/>
    </row>
    <row r="152" spans="1:43" ht="15.6">
      <c r="A152" s="478"/>
      <c r="B152" s="478"/>
      <c r="C152" s="478"/>
      <c r="D152" s="478"/>
      <c r="E152" s="478"/>
      <c r="F152" s="519"/>
      <c r="G152" s="478"/>
      <c r="H152" s="478"/>
      <c r="I152" s="478"/>
      <c r="J152" s="478"/>
      <c r="K152" s="520"/>
      <c r="L152" s="520"/>
      <c r="M152" s="520"/>
      <c r="N152" s="520"/>
      <c r="O152" s="520"/>
      <c r="P152" s="520"/>
      <c r="Q152" s="478"/>
      <c r="R152" s="520"/>
      <c r="S152" s="478"/>
      <c r="T152" s="478"/>
      <c r="U152" s="478"/>
      <c r="V152" s="478"/>
      <c r="W152" s="478"/>
      <c r="X152" s="520"/>
      <c r="Y152" s="520"/>
      <c r="Z152" s="520"/>
      <c r="AA152" s="520"/>
      <c r="AB152" s="519"/>
      <c r="AC152" s="519"/>
      <c r="AD152" s="519"/>
      <c r="AE152" s="478"/>
      <c r="AF152" s="478"/>
      <c r="AG152" s="519"/>
      <c r="AH152" s="519"/>
      <c r="AI152" s="519"/>
      <c r="AJ152" s="478"/>
      <c r="AK152" s="478"/>
      <c r="AL152" s="519"/>
      <c r="AM152" s="478"/>
      <c r="AN152" s="519"/>
      <c r="AO152" s="519"/>
      <c r="AP152" s="478"/>
      <c r="AQ152" s="478"/>
    </row>
    <row r="153" spans="1:43" ht="15.6">
      <c r="A153" s="478"/>
      <c r="B153" s="478"/>
      <c r="C153" s="478"/>
      <c r="D153" s="478"/>
      <c r="E153" s="478"/>
      <c r="F153" s="519"/>
      <c r="G153" s="478"/>
      <c r="H153" s="478"/>
      <c r="I153" s="478"/>
      <c r="J153" s="478"/>
      <c r="K153" s="520"/>
      <c r="L153" s="520"/>
      <c r="M153" s="520"/>
      <c r="N153" s="520"/>
      <c r="O153" s="520"/>
      <c r="P153" s="520"/>
      <c r="Q153" s="478"/>
      <c r="R153" s="520"/>
      <c r="S153" s="478"/>
      <c r="T153" s="478"/>
      <c r="U153" s="478"/>
      <c r="V153" s="478"/>
      <c r="W153" s="478"/>
      <c r="X153" s="520"/>
      <c r="Y153" s="520"/>
      <c r="Z153" s="520"/>
      <c r="AA153" s="520"/>
      <c r="AB153" s="519"/>
      <c r="AC153" s="519"/>
      <c r="AD153" s="519"/>
      <c r="AE153" s="478"/>
      <c r="AF153" s="478"/>
      <c r="AG153" s="519"/>
      <c r="AH153" s="519"/>
      <c r="AI153" s="519"/>
      <c r="AJ153" s="478"/>
      <c r="AK153" s="478"/>
      <c r="AL153" s="519"/>
      <c r="AM153" s="478"/>
      <c r="AN153" s="519"/>
      <c r="AO153" s="519"/>
      <c r="AP153" s="478"/>
      <c r="AQ153" s="478"/>
    </row>
    <row r="154" spans="1:43" ht="15.6">
      <c r="A154" s="478"/>
      <c r="B154" s="478"/>
      <c r="C154" s="478"/>
      <c r="D154" s="478"/>
      <c r="E154" s="478"/>
      <c r="F154" s="519"/>
      <c r="G154" s="478"/>
      <c r="H154" s="478"/>
      <c r="I154" s="478"/>
      <c r="J154" s="478"/>
      <c r="K154" s="520"/>
      <c r="L154" s="520"/>
      <c r="M154" s="520"/>
      <c r="N154" s="520"/>
      <c r="O154" s="520"/>
      <c r="P154" s="520"/>
      <c r="Q154" s="478"/>
      <c r="R154" s="520"/>
      <c r="S154" s="478"/>
      <c r="T154" s="478"/>
      <c r="U154" s="478"/>
      <c r="V154" s="478"/>
      <c r="W154" s="478"/>
      <c r="X154" s="520"/>
      <c r="Y154" s="520"/>
      <c r="Z154" s="520"/>
      <c r="AA154" s="520"/>
      <c r="AB154" s="519"/>
      <c r="AC154" s="519"/>
      <c r="AD154" s="519"/>
      <c r="AE154" s="478"/>
      <c r="AF154" s="478"/>
      <c r="AG154" s="519"/>
      <c r="AH154" s="519"/>
      <c r="AI154" s="519"/>
      <c r="AJ154" s="478"/>
      <c r="AK154" s="478"/>
      <c r="AL154" s="519"/>
      <c r="AM154" s="478"/>
      <c r="AN154" s="519"/>
      <c r="AO154" s="519"/>
      <c r="AP154" s="478"/>
      <c r="AQ154" s="478"/>
    </row>
    <row r="155" spans="1:43" ht="15.6">
      <c r="A155" s="478"/>
      <c r="B155" s="478"/>
      <c r="C155" s="478"/>
      <c r="D155" s="478"/>
      <c r="E155" s="478"/>
      <c r="F155" s="519"/>
      <c r="G155" s="478"/>
      <c r="H155" s="478"/>
      <c r="I155" s="478"/>
      <c r="J155" s="478"/>
      <c r="K155" s="520"/>
      <c r="L155" s="520"/>
      <c r="M155" s="520"/>
      <c r="N155" s="520"/>
      <c r="O155" s="520"/>
      <c r="P155" s="520"/>
      <c r="Q155" s="478"/>
      <c r="R155" s="520"/>
      <c r="S155" s="478"/>
      <c r="T155" s="478"/>
      <c r="U155" s="478"/>
      <c r="V155" s="478"/>
      <c r="W155" s="478"/>
      <c r="X155" s="520"/>
      <c r="Y155" s="520"/>
      <c r="Z155" s="520"/>
      <c r="AA155" s="520"/>
      <c r="AB155" s="519"/>
      <c r="AC155" s="519"/>
      <c r="AD155" s="519"/>
      <c r="AE155" s="478"/>
      <c r="AF155" s="478"/>
      <c r="AG155" s="519"/>
      <c r="AH155" s="519"/>
      <c r="AI155" s="519"/>
      <c r="AJ155" s="478"/>
      <c r="AK155" s="478"/>
      <c r="AL155" s="519"/>
      <c r="AM155" s="478"/>
      <c r="AN155" s="519"/>
      <c r="AO155" s="519"/>
      <c r="AP155" s="478"/>
      <c r="AQ155" s="478"/>
    </row>
    <row r="156" spans="1:43" ht="15.6">
      <c r="A156" s="478"/>
      <c r="B156" s="478"/>
      <c r="C156" s="478"/>
      <c r="D156" s="478"/>
      <c r="E156" s="478"/>
      <c r="F156" s="519"/>
      <c r="G156" s="478"/>
      <c r="H156" s="478"/>
      <c r="I156" s="478"/>
      <c r="J156" s="478"/>
      <c r="K156" s="520"/>
      <c r="L156" s="520"/>
      <c r="M156" s="520"/>
      <c r="N156" s="520"/>
      <c r="O156" s="520"/>
      <c r="P156" s="520"/>
      <c r="Q156" s="478"/>
      <c r="R156" s="520"/>
      <c r="S156" s="478"/>
      <c r="T156" s="478"/>
      <c r="U156" s="478"/>
      <c r="V156" s="478"/>
      <c r="W156" s="478"/>
      <c r="X156" s="520"/>
      <c r="Y156" s="520"/>
      <c r="Z156" s="520"/>
      <c r="AA156" s="520"/>
      <c r="AB156" s="519"/>
      <c r="AC156" s="519"/>
      <c r="AD156" s="519"/>
      <c r="AE156" s="478"/>
      <c r="AF156" s="478"/>
      <c r="AG156" s="519"/>
      <c r="AH156" s="519"/>
      <c r="AI156" s="519"/>
      <c r="AJ156" s="478"/>
      <c r="AK156" s="478"/>
      <c r="AL156" s="519"/>
      <c r="AM156" s="478"/>
      <c r="AN156" s="519"/>
      <c r="AO156" s="519"/>
      <c r="AP156" s="478"/>
      <c r="AQ156" s="478"/>
    </row>
    <row r="157" spans="1:43" ht="15.6">
      <c r="A157" s="478"/>
      <c r="B157" s="478"/>
      <c r="C157" s="478"/>
      <c r="D157" s="478"/>
      <c r="E157" s="478"/>
      <c r="F157" s="519"/>
      <c r="G157" s="478"/>
      <c r="H157" s="478"/>
      <c r="I157" s="478"/>
      <c r="J157" s="478"/>
      <c r="K157" s="520"/>
      <c r="L157" s="520"/>
      <c r="M157" s="520"/>
      <c r="N157" s="520"/>
      <c r="O157" s="520"/>
      <c r="P157" s="520"/>
      <c r="Q157" s="478"/>
      <c r="R157" s="520"/>
      <c r="S157" s="478"/>
      <c r="T157" s="478"/>
      <c r="U157" s="478"/>
      <c r="V157" s="478"/>
      <c r="W157" s="478"/>
      <c r="X157" s="520"/>
      <c r="Y157" s="520"/>
      <c r="Z157" s="520"/>
      <c r="AA157" s="520"/>
      <c r="AB157" s="519"/>
      <c r="AC157" s="519"/>
      <c r="AD157" s="519"/>
      <c r="AE157" s="478"/>
      <c r="AF157" s="478"/>
      <c r="AG157" s="519"/>
      <c r="AH157" s="519"/>
      <c r="AI157" s="519"/>
      <c r="AJ157" s="478"/>
      <c r="AK157" s="478"/>
      <c r="AL157" s="519"/>
      <c r="AM157" s="478"/>
      <c r="AN157" s="519"/>
      <c r="AO157" s="519"/>
      <c r="AP157" s="478"/>
      <c r="AQ157" s="478"/>
    </row>
    <row r="158" spans="1:43" ht="15.6">
      <c r="A158" s="478"/>
      <c r="B158" s="478"/>
      <c r="C158" s="478"/>
      <c r="D158" s="478"/>
      <c r="E158" s="478"/>
      <c r="F158" s="519"/>
      <c r="G158" s="478"/>
      <c r="H158" s="478"/>
      <c r="I158" s="478"/>
      <c r="J158" s="478"/>
      <c r="K158" s="520"/>
      <c r="L158" s="520"/>
      <c r="M158" s="520"/>
      <c r="N158" s="520"/>
      <c r="O158" s="520"/>
      <c r="P158" s="520"/>
      <c r="Q158" s="478"/>
      <c r="R158" s="520"/>
      <c r="S158" s="478"/>
      <c r="T158" s="478"/>
      <c r="U158" s="478"/>
      <c r="V158" s="478"/>
      <c r="W158" s="478"/>
      <c r="X158" s="520"/>
      <c r="Y158" s="520"/>
      <c r="Z158" s="520"/>
      <c r="AA158" s="520"/>
      <c r="AB158" s="519"/>
      <c r="AC158" s="519"/>
      <c r="AD158" s="519"/>
      <c r="AE158" s="478"/>
      <c r="AF158" s="478"/>
      <c r="AG158" s="519"/>
      <c r="AH158" s="519"/>
      <c r="AI158" s="519"/>
      <c r="AJ158" s="478"/>
      <c r="AK158" s="478"/>
      <c r="AL158" s="519"/>
      <c r="AM158" s="478"/>
      <c r="AN158" s="519"/>
      <c r="AO158" s="519"/>
      <c r="AP158" s="478"/>
      <c r="AQ158" s="478"/>
    </row>
    <row r="159" spans="1:43" ht="15.6">
      <c r="A159" s="478"/>
      <c r="B159" s="478"/>
      <c r="C159" s="478"/>
      <c r="D159" s="478"/>
      <c r="E159" s="478"/>
      <c r="F159" s="519"/>
      <c r="G159" s="478"/>
      <c r="H159" s="478"/>
      <c r="I159" s="478"/>
      <c r="J159" s="478"/>
      <c r="K159" s="520"/>
      <c r="L159" s="520"/>
      <c r="M159" s="520"/>
      <c r="N159" s="520"/>
      <c r="O159" s="520"/>
      <c r="P159" s="520"/>
      <c r="Q159" s="478"/>
      <c r="R159" s="520"/>
      <c r="S159" s="478"/>
      <c r="T159" s="478"/>
      <c r="U159" s="478"/>
      <c r="V159" s="478"/>
      <c r="W159" s="478"/>
      <c r="X159" s="520"/>
      <c r="Y159" s="520"/>
      <c r="Z159" s="520"/>
      <c r="AA159" s="520"/>
      <c r="AB159" s="519"/>
      <c r="AC159" s="519"/>
      <c r="AD159" s="519"/>
      <c r="AE159" s="478"/>
      <c r="AF159" s="478"/>
      <c r="AG159" s="519"/>
      <c r="AH159" s="519"/>
      <c r="AI159" s="519"/>
      <c r="AJ159" s="478"/>
      <c r="AK159" s="478"/>
      <c r="AL159" s="519"/>
      <c r="AM159" s="478"/>
      <c r="AN159" s="519"/>
      <c r="AO159" s="519"/>
      <c r="AP159" s="478"/>
      <c r="AQ159" s="478"/>
    </row>
    <row r="160" spans="1:43" ht="15.6">
      <c r="A160" s="478"/>
      <c r="B160" s="478"/>
      <c r="C160" s="478"/>
      <c r="D160" s="478"/>
      <c r="E160" s="478"/>
      <c r="F160" s="519"/>
      <c r="G160" s="478"/>
      <c r="H160" s="478"/>
      <c r="I160" s="478"/>
      <c r="J160" s="478"/>
      <c r="K160" s="520"/>
      <c r="L160" s="520"/>
      <c r="M160" s="520"/>
      <c r="N160" s="520"/>
      <c r="O160" s="520"/>
      <c r="P160" s="520"/>
      <c r="Q160" s="478"/>
      <c r="R160" s="520"/>
      <c r="S160" s="478"/>
      <c r="T160" s="478"/>
      <c r="U160" s="478"/>
      <c r="V160" s="478"/>
      <c r="W160" s="478"/>
      <c r="X160" s="520"/>
      <c r="Y160" s="520"/>
      <c r="Z160" s="520"/>
      <c r="AA160" s="520"/>
      <c r="AB160" s="519"/>
      <c r="AC160" s="519"/>
      <c r="AD160" s="519"/>
      <c r="AE160" s="478"/>
      <c r="AF160" s="478"/>
      <c r="AG160" s="519"/>
      <c r="AH160" s="519"/>
      <c r="AI160" s="519"/>
      <c r="AJ160" s="478"/>
      <c r="AK160" s="478"/>
      <c r="AL160" s="519"/>
      <c r="AM160" s="478"/>
      <c r="AN160" s="519"/>
      <c r="AO160" s="519"/>
      <c r="AP160" s="478"/>
      <c r="AQ160" s="478"/>
    </row>
    <row r="161" spans="1:43" ht="15.6">
      <c r="A161" s="478"/>
      <c r="B161" s="478"/>
      <c r="C161" s="478"/>
      <c r="D161" s="478"/>
      <c r="E161" s="478"/>
      <c r="F161" s="519"/>
      <c r="G161" s="478"/>
      <c r="H161" s="478"/>
      <c r="I161" s="478"/>
      <c r="J161" s="478"/>
      <c r="K161" s="520"/>
      <c r="L161" s="520"/>
      <c r="M161" s="520"/>
      <c r="N161" s="520"/>
      <c r="O161" s="520"/>
      <c r="P161" s="520"/>
      <c r="Q161" s="478"/>
      <c r="R161" s="520"/>
      <c r="S161" s="478"/>
      <c r="T161" s="478"/>
      <c r="U161" s="478"/>
      <c r="V161" s="478"/>
      <c r="W161" s="478"/>
      <c r="X161" s="520"/>
      <c r="Y161" s="520"/>
      <c r="Z161" s="520"/>
      <c r="AA161" s="520"/>
      <c r="AB161" s="519"/>
      <c r="AC161" s="519"/>
      <c r="AD161" s="519"/>
      <c r="AE161" s="478"/>
      <c r="AF161" s="478"/>
      <c r="AG161" s="519"/>
      <c r="AH161" s="519"/>
      <c r="AI161" s="519"/>
      <c r="AJ161" s="478"/>
      <c r="AK161" s="478"/>
      <c r="AL161" s="519"/>
      <c r="AM161" s="478"/>
      <c r="AN161" s="519"/>
      <c r="AO161" s="519"/>
      <c r="AP161" s="478"/>
      <c r="AQ161" s="478"/>
    </row>
    <row r="162" spans="1:43" ht="15.6">
      <c r="A162" s="478"/>
      <c r="B162" s="478"/>
      <c r="C162" s="478"/>
      <c r="D162" s="478"/>
      <c r="E162" s="478"/>
      <c r="F162" s="519"/>
      <c r="G162" s="478"/>
      <c r="H162" s="478"/>
      <c r="I162" s="478"/>
      <c r="J162" s="478"/>
      <c r="K162" s="520"/>
      <c r="L162" s="520"/>
      <c r="M162" s="520"/>
      <c r="N162" s="520"/>
      <c r="O162" s="520"/>
      <c r="P162" s="520"/>
      <c r="Q162" s="478"/>
      <c r="R162" s="520"/>
      <c r="S162" s="478"/>
      <c r="T162" s="478"/>
      <c r="U162" s="478"/>
      <c r="V162" s="478"/>
      <c r="W162" s="478"/>
      <c r="X162" s="520"/>
      <c r="Y162" s="520"/>
      <c r="Z162" s="520"/>
      <c r="AA162" s="520"/>
      <c r="AB162" s="519"/>
      <c r="AC162" s="519"/>
      <c r="AD162" s="519"/>
      <c r="AE162" s="478"/>
      <c r="AF162" s="478"/>
      <c r="AG162" s="519"/>
      <c r="AH162" s="519"/>
      <c r="AI162" s="519"/>
      <c r="AJ162" s="478"/>
      <c r="AK162" s="478"/>
      <c r="AL162" s="519"/>
      <c r="AM162" s="478"/>
      <c r="AN162" s="519"/>
      <c r="AO162" s="519"/>
      <c r="AP162" s="478"/>
      <c r="AQ162" s="478"/>
    </row>
    <row r="163" spans="1:43" ht="15.6">
      <c r="A163" s="478"/>
      <c r="B163" s="478"/>
      <c r="C163" s="478"/>
      <c r="D163" s="478"/>
      <c r="E163" s="478"/>
      <c r="F163" s="519"/>
      <c r="G163" s="478"/>
      <c r="H163" s="478"/>
      <c r="I163" s="478"/>
      <c r="J163" s="478"/>
      <c r="K163" s="520"/>
      <c r="L163" s="520"/>
      <c r="M163" s="520"/>
      <c r="N163" s="520"/>
      <c r="O163" s="520"/>
      <c r="P163" s="520"/>
      <c r="Q163" s="478"/>
      <c r="R163" s="520"/>
      <c r="S163" s="478"/>
      <c r="T163" s="478"/>
      <c r="U163" s="478"/>
      <c r="V163" s="478"/>
      <c r="W163" s="478"/>
      <c r="X163" s="520"/>
      <c r="Y163" s="520"/>
      <c r="Z163" s="520"/>
      <c r="AA163" s="520"/>
      <c r="AB163" s="519"/>
      <c r="AC163" s="519"/>
      <c r="AD163" s="519"/>
      <c r="AE163" s="478"/>
      <c r="AF163" s="478"/>
      <c r="AG163" s="519"/>
      <c r="AH163" s="519"/>
      <c r="AI163" s="519"/>
      <c r="AJ163" s="478"/>
      <c r="AK163" s="478"/>
      <c r="AL163" s="519"/>
      <c r="AM163" s="478"/>
      <c r="AN163" s="519"/>
      <c r="AO163" s="519"/>
      <c r="AP163" s="478"/>
      <c r="AQ163" s="478"/>
    </row>
    <row r="164" spans="1:43" ht="15.6">
      <c r="A164" s="478"/>
      <c r="B164" s="478"/>
      <c r="C164" s="478"/>
      <c r="D164" s="478"/>
      <c r="E164" s="478"/>
      <c r="F164" s="519"/>
      <c r="G164" s="478"/>
      <c r="H164" s="478"/>
      <c r="I164" s="478"/>
      <c r="J164" s="478"/>
      <c r="K164" s="520"/>
      <c r="L164" s="520"/>
      <c r="M164" s="520"/>
      <c r="N164" s="520"/>
      <c r="O164" s="520"/>
      <c r="P164" s="520"/>
      <c r="Q164" s="478"/>
      <c r="R164" s="520"/>
      <c r="S164" s="478"/>
      <c r="T164" s="478"/>
      <c r="U164" s="478"/>
      <c r="V164" s="478"/>
      <c r="W164" s="478"/>
      <c r="X164" s="520"/>
      <c r="Y164" s="520"/>
      <c r="Z164" s="520"/>
      <c r="AA164" s="520"/>
      <c r="AB164" s="519"/>
      <c r="AC164" s="519"/>
      <c r="AD164" s="519"/>
      <c r="AE164" s="478"/>
      <c r="AF164" s="478"/>
      <c r="AG164" s="519"/>
      <c r="AH164" s="519"/>
      <c r="AI164" s="519"/>
      <c r="AJ164" s="478"/>
      <c r="AK164" s="478"/>
      <c r="AL164" s="519"/>
      <c r="AM164" s="478"/>
      <c r="AN164" s="519"/>
      <c r="AO164" s="519"/>
      <c r="AP164" s="478"/>
      <c r="AQ164" s="478"/>
    </row>
    <row r="165" spans="1:43" ht="15.6">
      <c r="A165" s="478"/>
      <c r="B165" s="478"/>
      <c r="C165" s="478"/>
      <c r="D165" s="478"/>
      <c r="E165" s="478"/>
      <c r="F165" s="519"/>
      <c r="G165" s="478"/>
      <c r="H165" s="478"/>
      <c r="I165" s="478"/>
      <c r="J165" s="478"/>
      <c r="K165" s="520"/>
      <c r="L165" s="520"/>
      <c r="M165" s="520"/>
      <c r="N165" s="520"/>
      <c r="O165" s="520"/>
      <c r="P165" s="520"/>
      <c r="Q165" s="478"/>
      <c r="R165" s="520"/>
      <c r="S165" s="478"/>
      <c r="T165" s="478"/>
      <c r="U165" s="478"/>
      <c r="V165" s="478"/>
      <c r="W165" s="478"/>
      <c r="X165" s="520"/>
      <c r="Y165" s="520"/>
      <c r="Z165" s="520"/>
      <c r="AA165" s="520"/>
      <c r="AB165" s="519"/>
      <c r="AC165" s="519"/>
      <c r="AD165" s="519"/>
      <c r="AE165" s="478"/>
      <c r="AF165" s="478"/>
      <c r="AG165" s="519"/>
      <c r="AH165" s="519"/>
      <c r="AI165" s="519"/>
      <c r="AJ165" s="478"/>
      <c r="AK165" s="478"/>
      <c r="AL165" s="519"/>
      <c r="AM165" s="478"/>
      <c r="AN165" s="519"/>
      <c r="AO165" s="519"/>
      <c r="AP165" s="478"/>
      <c r="AQ165" s="478"/>
    </row>
    <row r="166" spans="1:43" ht="15.6">
      <c r="A166" s="478"/>
      <c r="B166" s="478"/>
      <c r="C166" s="478"/>
      <c r="D166" s="478"/>
      <c r="E166" s="478"/>
      <c r="F166" s="519"/>
      <c r="G166" s="478"/>
      <c r="H166" s="478"/>
      <c r="I166" s="478"/>
      <c r="J166" s="478"/>
      <c r="K166" s="520"/>
      <c r="L166" s="520"/>
      <c r="M166" s="520"/>
      <c r="N166" s="520"/>
      <c r="O166" s="520"/>
      <c r="P166" s="520"/>
      <c r="Q166" s="478"/>
      <c r="R166" s="520"/>
      <c r="S166" s="478"/>
      <c r="T166" s="478"/>
      <c r="U166" s="478"/>
      <c r="V166" s="478"/>
      <c r="W166" s="478"/>
      <c r="X166" s="520"/>
      <c r="Y166" s="520"/>
      <c r="Z166" s="520"/>
      <c r="AA166" s="520"/>
      <c r="AB166" s="519"/>
      <c r="AC166" s="519"/>
      <c r="AD166" s="519"/>
      <c r="AE166" s="478"/>
      <c r="AF166" s="478"/>
      <c r="AG166" s="519"/>
      <c r="AH166" s="519"/>
      <c r="AI166" s="519"/>
      <c r="AJ166" s="478"/>
      <c r="AK166" s="478"/>
      <c r="AL166" s="519"/>
      <c r="AM166" s="478"/>
      <c r="AN166" s="519"/>
      <c r="AO166" s="519"/>
      <c r="AP166" s="478"/>
      <c r="AQ166" s="478"/>
    </row>
    <row r="167" spans="1:43" ht="15.6">
      <c r="A167" s="478"/>
      <c r="B167" s="478"/>
      <c r="C167" s="478"/>
      <c r="D167" s="478"/>
      <c r="E167" s="478"/>
      <c r="F167" s="519"/>
      <c r="G167" s="478"/>
      <c r="H167" s="478"/>
      <c r="I167" s="478"/>
      <c r="J167" s="478"/>
      <c r="K167" s="520"/>
      <c r="L167" s="520"/>
      <c r="M167" s="520"/>
      <c r="N167" s="520"/>
      <c r="O167" s="520"/>
      <c r="P167" s="520"/>
      <c r="Q167" s="478"/>
      <c r="R167" s="520"/>
      <c r="S167" s="478"/>
      <c r="T167" s="478"/>
      <c r="U167" s="478"/>
      <c r="V167" s="478"/>
      <c r="W167" s="478"/>
      <c r="X167" s="520"/>
      <c r="Y167" s="520"/>
      <c r="Z167" s="520"/>
      <c r="AA167" s="520"/>
      <c r="AB167" s="519"/>
      <c r="AC167" s="519"/>
      <c r="AD167" s="519"/>
      <c r="AE167" s="478"/>
      <c r="AF167" s="478"/>
      <c r="AG167" s="519"/>
      <c r="AH167" s="519"/>
      <c r="AI167" s="519"/>
      <c r="AJ167" s="478"/>
      <c r="AK167" s="478"/>
      <c r="AL167" s="519"/>
      <c r="AM167" s="478"/>
      <c r="AN167" s="519"/>
      <c r="AO167" s="519"/>
      <c r="AP167" s="478"/>
      <c r="AQ167" s="478"/>
    </row>
    <row r="168" spans="1:43" ht="15.6">
      <c r="A168" s="478"/>
      <c r="B168" s="478"/>
      <c r="C168" s="478"/>
      <c r="D168" s="478"/>
      <c r="E168" s="478"/>
      <c r="F168" s="519"/>
      <c r="G168" s="478"/>
      <c r="H168" s="478"/>
      <c r="I168" s="478"/>
      <c r="J168" s="478"/>
      <c r="K168" s="520"/>
      <c r="L168" s="520"/>
      <c r="M168" s="520"/>
      <c r="N168" s="520"/>
      <c r="O168" s="520"/>
      <c r="P168" s="520"/>
      <c r="Q168" s="478"/>
      <c r="R168" s="520"/>
      <c r="S168" s="478"/>
      <c r="T168" s="478"/>
      <c r="U168" s="478"/>
      <c r="V168" s="478"/>
      <c r="W168" s="478"/>
      <c r="X168" s="520"/>
      <c r="Y168" s="520"/>
      <c r="Z168" s="520"/>
      <c r="AA168" s="520"/>
      <c r="AB168" s="519"/>
      <c r="AC168" s="519"/>
      <c r="AD168" s="519"/>
      <c r="AE168" s="478"/>
      <c r="AF168" s="478"/>
      <c r="AG168" s="519"/>
      <c r="AH168" s="519"/>
      <c r="AI168" s="519"/>
      <c r="AJ168" s="478"/>
      <c r="AK168" s="478"/>
      <c r="AL168" s="519"/>
      <c r="AM168" s="478"/>
      <c r="AN168" s="519"/>
      <c r="AO168" s="519"/>
      <c r="AP168" s="478"/>
      <c r="AQ168" s="478"/>
    </row>
    <row r="169" spans="1:43" ht="15.6">
      <c r="A169" s="478"/>
      <c r="B169" s="478"/>
      <c r="C169" s="478"/>
      <c r="D169" s="478"/>
      <c r="E169" s="478"/>
      <c r="F169" s="519"/>
      <c r="G169" s="478"/>
      <c r="H169" s="478"/>
      <c r="I169" s="478"/>
      <c r="J169" s="478"/>
      <c r="K169" s="520"/>
      <c r="L169" s="520"/>
      <c r="M169" s="520"/>
      <c r="N169" s="520"/>
      <c r="O169" s="520"/>
      <c r="P169" s="520"/>
      <c r="Q169" s="478"/>
      <c r="R169" s="520"/>
      <c r="S169" s="478"/>
      <c r="T169" s="478"/>
      <c r="U169" s="478"/>
      <c r="V169" s="478"/>
      <c r="W169" s="478"/>
      <c r="X169" s="520"/>
      <c r="Y169" s="520"/>
      <c r="Z169" s="520"/>
      <c r="AA169" s="520"/>
      <c r="AB169" s="519"/>
      <c r="AC169" s="519"/>
      <c r="AD169" s="519"/>
      <c r="AE169" s="478"/>
      <c r="AF169" s="478"/>
      <c r="AG169" s="519"/>
      <c r="AH169" s="519"/>
      <c r="AI169" s="519"/>
      <c r="AJ169" s="478"/>
      <c r="AK169" s="478"/>
      <c r="AL169" s="519"/>
      <c r="AM169" s="478"/>
      <c r="AN169" s="519"/>
      <c r="AO169" s="519"/>
      <c r="AP169" s="478"/>
      <c r="AQ169" s="478"/>
    </row>
    <row r="170" spans="1:43" ht="15.6">
      <c r="A170" s="478"/>
      <c r="B170" s="478"/>
      <c r="C170" s="478"/>
      <c r="D170" s="478"/>
      <c r="E170" s="478"/>
      <c r="F170" s="519"/>
      <c r="G170" s="478"/>
      <c r="H170" s="478"/>
      <c r="I170" s="478"/>
      <c r="J170" s="478"/>
      <c r="K170" s="520"/>
      <c r="L170" s="520"/>
      <c r="M170" s="520"/>
      <c r="N170" s="520"/>
      <c r="O170" s="520"/>
      <c r="P170" s="520"/>
      <c r="Q170" s="478"/>
      <c r="R170" s="520"/>
      <c r="S170" s="478"/>
      <c r="T170" s="478"/>
      <c r="U170" s="478"/>
      <c r="V170" s="478"/>
      <c r="W170" s="478"/>
      <c r="X170" s="520"/>
      <c r="Y170" s="520"/>
      <c r="Z170" s="520"/>
      <c r="AA170" s="520"/>
      <c r="AB170" s="519"/>
      <c r="AC170" s="519"/>
      <c r="AD170" s="519"/>
      <c r="AE170" s="478"/>
      <c r="AF170" s="478"/>
      <c r="AG170" s="519"/>
      <c r="AH170" s="519"/>
      <c r="AI170" s="519"/>
      <c r="AJ170" s="478"/>
      <c r="AK170" s="478"/>
      <c r="AL170" s="519"/>
      <c r="AM170" s="478"/>
      <c r="AN170" s="519"/>
      <c r="AO170" s="519"/>
      <c r="AP170" s="478"/>
      <c r="AQ170" s="478"/>
    </row>
    <row r="171" spans="1:43" ht="15.6">
      <c r="A171" s="478"/>
      <c r="B171" s="478"/>
      <c r="C171" s="478"/>
      <c r="D171" s="478"/>
      <c r="E171" s="478"/>
      <c r="F171" s="519"/>
      <c r="G171" s="478"/>
      <c r="H171" s="478"/>
      <c r="I171" s="478"/>
      <c r="J171" s="478"/>
      <c r="K171" s="520"/>
      <c r="L171" s="520"/>
      <c r="M171" s="520"/>
      <c r="N171" s="520"/>
      <c r="O171" s="520"/>
      <c r="P171" s="520"/>
      <c r="Q171" s="478"/>
      <c r="R171" s="520"/>
      <c r="S171" s="478"/>
      <c r="T171" s="478"/>
      <c r="U171" s="478"/>
      <c r="V171" s="478"/>
      <c r="W171" s="478"/>
      <c r="X171" s="520"/>
      <c r="Y171" s="520"/>
      <c r="Z171" s="520"/>
      <c r="AA171" s="520"/>
      <c r="AB171" s="519"/>
      <c r="AC171" s="519"/>
      <c r="AD171" s="519"/>
      <c r="AE171" s="478"/>
      <c r="AF171" s="478"/>
      <c r="AG171" s="519"/>
      <c r="AH171" s="519"/>
      <c r="AI171" s="519"/>
      <c r="AJ171" s="478"/>
      <c r="AK171" s="478"/>
      <c r="AL171" s="519"/>
      <c r="AM171" s="478"/>
      <c r="AN171" s="519"/>
      <c r="AO171" s="519"/>
      <c r="AP171" s="478"/>
      <c r="AQ171" s="478"/>
    </row>
    <row r="172" spans="1:43" ht="15.6">
      <c r="A172" s="478"/>
      <c r="B172" s="478"/>
      <c r="C172" s="478"/>
      <c r="D172" s="478"/>
      <c r="E172" s="478"/>
      <c r="F172" s="519"/>
      <c r="G172" s="478"/>
      <c r="H172" s="478"/>
      <c r="I172" s="478"/>
      <c r="J172" s="478"/>
      <c r="K172" s="520"/>
      <c r="L172" s="520"/>
      <c r="M172" s="520"/>
      <c r="N172" s="520"/>
      <c r="O172" s="520"/>
      <c r="P172" s="520"/>
      <c r="Q172" s="478"/>
      <c r="R172" s="520"/>
      <c r="S172" s="478"/>
      <c r="T172" s="478"/>
      <c r="U172" s="478"/>
      <c r="V172" s="478"/>
      <c r="W172" s="478"/>
      <c r="X172" s="520"/>
      <c r="Y172" s="520"/>
      <c r="Z172" s="520"/>
      <c r="AA172" s="520"/>
      <c r="AB172" s="519"/>
      <c r="AC172" s="519"/>
      <c r="AD172" s="519"/>
      <c r="AE172" s="478"/>
      <c r="AF172" s="478"/>
      <c r="AG172" s="519"/>
      <c r="AH172" s="519"/>
      <c r="AI172" s="519"/>
      <c r="AJ172" s="478"/>
      <c r="AK172" s="478"/>
      <c r="AL172" s="519"/>
      <c r="AM172" s="478"/>
      <c r="AN172" s="519"/>
      <c r="AO172" s="519"/>
      <c r="AP172" s="478"/>
      <c r="AQ172" s="478"/>
    </row>
    <row r="173" spans="1:43" ht="15.6">
      <c r="A173" s="478"/>
      <c r="B173" s="478"/>
      <c r="C173" s="478"/>
      <c r="D173" s="478"/>
      <c r="E173" s="478"/>
      <c r="F173" s="519"/>
      <c r="G173" s="478"/>
      <c r="H173" s="478"/>
      <c r="I173" s="478"/>
      <c r="J173" s="478"/>
      <c r="K173" s="520"/>
      <c r="L173" s="520"/>
      <c r="M173" s="520"/>
      <c r="N173" s="520"/>
      <c r="O173" s="520"/>
      <c r="P173" s="520"/>
      <c r="Q173" s="478"/>
      <c r="R173" s="520"/>
      <c r="S173" s="478"/>
      <c r="T173" s="478"/>
      <c r="U173" s="478"/>
      <c r="V173" s="478"/>
      <c r="W173" s="478"/>
      <c r="X173" s="520"/>
      <c r="Y173" s="520"/>
      <c r="Z173" s="520"/>
      <c r="AA173" s="520"/>
      <c r="AB173" s="519"/>
      <c r="AC173" s="519"/>
      <c r="AD173" s="519"/>
      <c r="AE173" s="478"/>
      <c r="AF173" s="478"/>
      <c r="AG173" s="519"/>
      <c r="AH173" s="519"/>
      <c r="AI173" s="519"/>
      <c r="AJ173" s="478"/>
      <c r="AK173" s="478"/>
      <c r="AL173" s="519"/>
      <c r="AM173" s="478"/>
      <c r="AN173" s="519"/>
      <c r="AO173" s="519"/>
      <c r="AP173" s="478"/>
      <c r="AQ173" s="478"/>
    </row>
    <row r="174" spans="1:43" ht="15.6">
      <c r="A174" s="478"/>
      <c r="B174" s="478"/>
      <c r="C174" s="478"/>
      <c r="D174" s="478"/>
      <c r="E174" s="478"/>
      <c r="F174" s="519"/>
      <c r="G174" s="478"/>
      <c r="H174" s="478"/>
      <c r="I174" s="478"/>
      <c r="J174" s="478"/>
      <c r="K174" s="520"/>
      <c r="L174" s="520"/>
      <c r="M174" s="520"/>
      <c r="N174" s="520"/>
      <c r="O174" s="520"/>
      <c r="P174" s="520"/>
      <c r="Q174" s="478"/>
      <c r="R174" s="520"/>
      <c r="S174" s="478"/>
      <c r="T174" s="478"/>
      <c r="U174" s="478"/>
      <c r="V174" s="478"/>
      <c r="W174" s="478"/>
      <c r="X174" s="520"/>
      <c r="Y174" s="520"/>
      <c r="Z174" s="520"/>
      <c r="AA174" s="520"/>
      <c r="AB174" s="519"/>
      <c r="AC174" s="519"/>
      <c r="AD174" s="519"/>
      <c r="AE174" s="478"/>
      <c r="AF174" s="478"/>
      <c r="AG174" s="519"/>
      <c r="AH174" s="519"/>
      <c r="AI174" s="519"/>
      <c r="AJ174" s="478"/>
      <c r="AK174" s="478"/>
      <c r="AL174" s="519"/>
      <c r="AM174" s="478"/>
      <c r="AN174" s="519"/>
      <c r="AO174" s="519"/>
      <c r="AP174" s="478"/>
      <c r="AQ174" s="478"/>
    </row>
    <row r="175" spans="1:43" ht="15.6">
      <c r="A175" s="478"/>
      <c r="B175" s="478"/>
      <c r="C175" s="478"/>
      <c r="D175" s="478"/>
      <c r="E175" s="478"/>
      <c r="F175" s="519"/>
      <c r="G175" s="478"/>
      <c r="H175" s="478"/>
      <c r="I175" s="478"/>
      <c r="J175" s="478"/>
      <c r="K175" s="520"/>
      <c r="L175" s="520"/>
      <c r="M175" s="520"/>
      <c r="N175" s="520"/>
      <c r="O175" s="520"/>
      <c r="P175" s="520"/>
      <c r="Q175" s="478"/>
      <c r="R175" s="520"/>
      <c r="S175" s="478"/>
      <c r="T175" s="478"/>
      <c r="U175" s="478"/>
      <c r="V175" s="478"/>
      <c r="W175" s="478"/>
      <c r="X175" s="520"/>
      <c r="Y175" s="520"/>
      <c r="Z175" s="520"/>
      <c r="AA175" s="520"/>
      <c r="AB175" s="519"/>
      <c r="AC175" s="519"/>
      <c r="AD175" s="519"/>
      <c r="AE175" s="478"/>
      <c r="AF175" s="478"/>
      <c r="AG175" s="519"/>
      <c r="AH175" s="519"/>
      <c r="AI175" s="519"/>
      <c r="AJ175" s="478"/>
      <c r="AK175" s="478"/>
      <c r="AL175" s="519"/>
      <c r="AM175" s="478"/>
      <c r="AN175" s="519"/>
      <c r="AO175" s="519"/>
      <c r="AP175" s="478"/>
      <c r="AQ175" s="478"/>
    </row>
    <row r="176" spans="1:43" ht="15.6">
      <c r="A176" s="478"/>
      <c r="B176" s="478"/>
      <c r="C176" s="478"/>
      <c r="D176" s="478"/>
      <c r="E176" s="478"/>
      <c r="F176" s="519"/>
      <c r="G176" s="478"/>
      <c r="H176" s="478"/>
      <c r="I176" s="478"/>
      <c r="J176" s="478"/>
      <c r="K176" s="520"/>
      <c r="L176" s="520"/>
      <c r="M176" s="520"/>
      <c r="N176" s="520"/>
      <c r="O176" s="520"/>
      <c r="P176" s="520"/>
      <c r="Q176" s="478"/>
      <c r="R176" s="520"/>
      <c r="S176" s="478"/>
      <c r="T176" s="478"/>
      <c r="U176" s="478"/>
      <c r="V176" s="478"/>
      <c r="W176" s="478"/>
      <c r="X176" s="520"/>
      <c r="Y176" s="520"/>
      <c r="Z176" s="520"/>
      <c r="AA176" s="520"/>
      <c r="AB176" s="519"/>
      <c r="AC176" s="519"/>
      <c r="AD176" s="519"/>
      <c r="AE176" s="478"/>
      <c r="AF176" s="478"/>
      <c r="AG176" s="519"/>
      <c r="AH176" s="519"/>
      <c r="AI176" s="519"/>
      <c r="AJ176" s="478"/>
      <c r="AK176" s="478"/>
      <c r="AL176" s="519"/>
      <c r="AM176" s="478"/>
      <c r="AN176" s="519"/>
      <c r="AO176" s="519"/>
      <c r="AP176" s="478"/>
      <c r="AQ176" s="478"/>
    </row>
    <row r="177" spans="1:43" ht="15.6">
      <c r="A177" s="478"/>
      <c r="B177" s="478"/>
      <c r="C177" s="478"/>
      <c r="D177" s="478"/>
      <c r="E177" s="478"/>
      <c r="F177" s="519"/>
      <c r="G177" s="478"/>
      <c r="H177" s="478"/>
      <c r="I177" s="478"/>
      <c r="J177" s="478"/>
      <c r="K177" s="520"/>
      <c r="L177" s="520"/>
      <c r="M177" s="520"/>
      <c r="N177" s="520"/>
      <c r="O177" s="520"/>
      <c r="P177" s="520"/>
      <c r="Q177" s="478"/>
      <c r="R177" s="520"/>
      <c r="S177" s="478"/>
      <c r="T177" s="478"/>
      <c r="U177" s="478"/>
      <c r="V177" s="478"/>
      <c r="W177" s="478"/>
      <c r="X177" s="520"/>
      <c r="Y177" s="520"/>
      <c r="Z177" s="520"/>
      <c r="AA177" s="520"/>
      <c r="AB177" s="519"/>
      <c r="AC177" s="519"/>
      <c r="AD177" s="519"/>
      <c r="AE177" s="478"/>
      <c r="AF177" s="478"/>
      <c r="AG177" s="519"/>
      <c r="AH177" s="519"/>
      <c r="AI177" s="519"/>
      <c r="AJ177" s="478"/>
      <c r="AK177" s="478"/>
      <c r="AL177" s="519"/>
      <c r="AM177" s="478"/>
      <c r="AN177" s="519"/>
      <c r="AO177" s="519"/>
      <c r="AP177" s="478"/>
      <c r="AQ177" s="478"/>
    </row>
    <row r="178" spans="1:43" ht="15.6">
      <c r="A178" s="478"/>
      <c r="B178" s="478"/>
      <c r="C178" s="478"/>
      <c r="D178" s="478"/>
      <c r="E178" s="478"/>
      <c r="F178" s="519"/>
      <c r="G178" s="478"/>
      <c r="H178" s="478"/>
      <c r="I178" s="478"/>
      <c r="J178" s="478"/>
      <c r="K178" s="520"/>
      <c r="L178" s="520"/>
      <c r="M178" s="520"/>
      <c r="N178" s="520"/>
      <c r="O178" s="520"/>
      <c r="P178" s="520"/>
      <c r="Q178" s="478"/>
      <c r="R178" s="520"/>
      <c r="S178" s="478"/>
      <c r="T178" s="478"/>
      <c r="U178" s="478"/>
      <c r="V178" s="478"/>
      <c r="W178" s="478"/>
      <c r="X178" s="520"/>
      <c r="Y178" s="520"/>
      <c r="Z178" s="520"/>
      <c r="AA178" s="520"/>
      <c r="AB178" s="519"/>
      <c r="AC178" s="519"/>
      <c r="AD178" s="519"/>
      <c r="AE178" s="478"/>
      <c r="AF178" s="478"/>
      <c r="AG178" s="519"/>
      <c r="AH178" s="519"/>
      <c r="AI178" s="519"/>
      <c r="AJ178" s="478"/>
      <c r="AK178" s="478"/>
      <c r="AL178" s="519"/>
      <c r="AM178" s="478"/>
      <c r="AN178" s="519"/>
      <c r="AO178" s="519"/>
      <c r="AP178" s="478"/>
      <c r="AQ178" s="478"/>
    </row>
    <row r="179" spans="1:43" ht="15.6">
      <c r="A179" s="478"/>
      <c r="B179" s="478"/>
      <c r="C179" s="478"/>
      <c r="D179" s="478"/>
      <c r="E179" s="478"/>
      <c r="F179" s="519"/>
      <c r="G179" s="478"/>
      <c r="H179" s="478"/>
      <c r="I179" s="478"/>
      <c r="J179" s="478"/>
      <c r="K179" s="520"/>
      <c r="L179" s="520"/>
      <c r="M179" s="520"/>
      <c r="N179" s="520"/>
      <c r="O179" s="520"/>
      <c r="P179" s="520"/>
      <c r="Q179" s="478"/>
      <c r="R179" s="520"/>
      <c r="S179" s="478"/>
      <c r="T179" s="478"/>
      <c r="U179" s="478"/>
      <c r="V179" s="478"/>
      <c r="W179" s="478"/>
      <c r="X179" s="520"/>
      <c r="Y179" s="520"/>
      <c r="Z179" s="520"/>
      <c r="AA179" s="520"/>
      <c r="AB179" s="519"/>
      <c r="AC179" s="519"/>
      <c r="AD179" s="519"/>
      <c r="AE179" s="478"/>
      <c r="AF179" s="478"/>
      <c r="AG179" s="519"/>
      <c r="AH179" s="519"/>
      <c r="AI179" s="519"/>
      <c r="AJ179" s="478"/>
      <c r="AK179" s="478"/>
      <c r="AL179" s="519"/>
      <c r="AM179" s="478"/>
      <c r="AN179" s="519"/>
      <c r="AO179" s="519"/>
      <c r="AP179" s="478"/>
      <c r="AQ179" s="478"/>
    </row>
    <row r="180" spans="1:43" ht="15.6">
      <c r="A180" s="478"/>
      <c r="B180" s="478"/>
      <c r="C180" s="478"/>
      <c r="D180" s="478"/>
      <c r="E180" s="478"/>
      <c r="F180" s="519"/>
      <c r="G180" s="478"/>
      <c r="H180" s="478"/>
      <c r="I180" s="478"/>
      <c r="J180" s="478"/>
      <c r="K180" s="520"/>
      <c r="L180" s="520"/>
      <c r="M180" s="520"/>
      <c r="N180" s="520"/>
      <c r="O180" s="520"/>
      <c r="P180" s="520"/>
      <c r="Q180" s="478"/>
      <c r="R180" s="520"/>
      <c r="S180" s="478"/>
      <c r="T180" s="478"/>
      <c r="U180" s="478"/>
      <c r="V180" s="478"/>
      <c r="W180" s="478"/>
      <c r="X180" s="520"/>
      <c r="Y180" s="520"/>
      <c r="Z180" s="520"/>
      <c r="AA180" s="520"/>
      <c r="AB180" s="519"/>
      <c r="AC180" s="519"/>
      <c r="AD180" s="519"/>
      <c r="AE180" s="478"/>
      <c r="AF180" s="478"/>
      <c r="AG180" s="519"/>
      <c r="AH180" s="519"/>
      <c r="AI180" s="519"/>
      <c r="AJ180" s="478"/>
      <c r="AK180" s="478"/>
      <c r="AL180" s="519"/>
      <c r="AM180" s="478"/>
      <c r="AN180" s="519"/>
      <c r="AO180" s="519"/>
      <c r="AP180" s="478"/>
      <c r="AQ180" s="478"/>
    </row>
    <row r="181" spans="1:43" ht="15.6">
      <c r="A181" s="478"/>
      <c r="B181" s="478"/>
      <c r="C181" s="478"/>
      <c r="D181" s="478"/>
      <c r="E181" s="478"/>
      <c r="F181" s="519"/>
      <c r="G181" s="478"/>
      <c r="H181" s="478"/>
      <c r="I181" s="478"/>
      <c r="J181" s="478"/>
      <c r="K181" s="520"/>
      <c r="L181" s="520"/>
      <c r="M181" s="520"/>
      <c r="N181" s="520"/>
      <c r="O181" s="520"/>
      <c r="P181" s="520"/>
      <c r="Q181" s="478"/>
      <c r="R181" s="520"/>
      <c r="S181" s="478"/>
      <c r="T181" s="478"/>
      <c r="U181" s="478"/>
      <c r="V181" s="478"/>
      <c r="W181" s="478"/>
      <c r="X181" s="520"/>
      <c r="Y181" s="520"/>
      <c r="Z181" s="520"/>
      <c r="AA181" s="520"/>
      <c r="AB181" s="519"/>
      <c r="AC181" s="519"/>
      <c r="AD181" s="519"/>
      <c r="AE181" s="478"/>
      <c r="AF181" s="478"/>
      <c r="AG181" s="519"/>
      <c r="AH181" s="519"/>
      <c r="AI181" s="519"/>
      <c r="AJ181" s="478"/>
      <c r="AK181" s="478"/>
      <c r="AL181" s="519"/>
      <c r="AM181" s="478"/>
      <c r="AN181" s="519"/>
      <c r="AO181" s="519"/>
      <c r="AP181" s="478"/>
      <c r="AQ181" s="478"/>
    </row>
    <row r="182" spans="1:43" ht="15.6">
      <c r="A182" s="478"/>
      <c r="B182" s="478"/>
      <c r="C182" s="478"/>
      <c r="D182" s="478"/>
      <c r="E182" s="478"/>
      <c r="F182" s="519"/>
      <c r="G182" s="478"/>
      <c r="H182" s="478"/>
      <c r="I182" s="478"/>
      <c r="J182" s="478"/>
      <c r="K182" s="520"/>
      <c r="L182" s="520"/>
      <c r="M182" s="520"/>
      <c r="N182" s="520"/>
      <c r="O182" s="520"/>
      <c r="P182" s="520"/>
      <c r="Q182" s="478"/>
      <c r="R182" s="520"/>
      <c r="S182" s="478"/>
      <c r="T182" s="478"/>
      <c r="U182" s="478"/>
      <c r="V182" s="478"/>
      <c r="W182" s="478"/>
      <c r="X182" s="520"/>
      <c r="Y182" s="520"/>
      <c r="Z182" s="520"/>
      <c r="AA182" s="520"/>
      <c r="AB182" s="519"/>
      <c r="AC182" s="519"/>
      <c r="AD182" s="519"/>
      <c r="AE182" s="478"/>
      <c r="AF182" s="478"/>
      <c r="AG182" s="519"/>
      <c r="AH182" s="519"/>
      <c r="AI182" s="519"/>
      <c r="AJ182" s="478"/>
      <c r="AK182" s="478"/>
      <c r="AL182" s="519"/>
      <c r="AM182" s="478"/>
      <c r="AN182" s="519"/>
      <c r="AO182" s="519"/>
      <c r="AP182" s="478"/>
      <c r="AQ182" s="478"/>
    </row>
    <row r="183" spans="1:43" ht="15.6">
      <c r="A183" s="478"/>
      <c r="B183" s="478"/>
      <c r="C183" s="478"/>
      <c r="D183" s="478"/>
      <c r="E183" s="478"/>
      <c r="F183" s="519"/>
      <c r="G183" s="478"/>
      <c r="H183" s="478"/>
      <c r="I183" s="478"/>
      <c r="J183" s="478"/>
      <c r="K183" s="520"/>
      <c r="L183" s="520"/>
      <c r="M183" s="520"/>
      <c r="N183" s="520"/>
      <c r="O183" s="520"/>
      <c r="P183" s="520"/>
      <c r="Q183" s="478"/>
      <c r="R183" s="520"/>
      <c r="S183" s="478"/>
      <c r="T183" s="478"/>
      <c r="U183" s="478"/>
      <c r="V183" s="478"/>
      <c r="W183" s="478"/>
      <c r="X183" s="520"/>
      <c r="Y183" s="520"/>
      <c r="Z183" s="520"/>
      <c r="AA183" s="520"/>
      <c r="AB183" s="519"/>
      <c r="AC183" s="519"/>
      <c r="AD183" s="519"/>
      <c r="AE183" s="478"/>
      <c r="AF183" s="478"/>
      <c r="AG183" s="519"/>
      <c r="AH183" s="519"/>
      <c r="AI183" s="519"/>
      <c r="AJ183" s="478"/>
      <c r="AK183" s="478"/>
      <c r="AL183" s="519"/>
      <c r="AM183" s="478"/>
      <c r="AN183" s="519"/>
      <c r="AO183" s="519"/>
      <c r="AP183" s="478"/>
      <c r="AQ183" s="478"/>
    </row>
    <row r="184" spans="1:43" ht="15.6">
      <c r="A184" s="478"/>
      <c r="B184" s="478"/>
      <c r="C184" s="478"/>
      <c r="D184" s="478"/>
      <c r="E184" s="478"/>
      <c r="F184" s="519"/>
      <c r="G184" s="478"/>
      <c r="H184" s="478"/>
      <c r="I184" s="478"/>
      <c r="J184" s="478"/>
      <c r="K184" s="520"/>
      <c r="L184" s="520"/>
      <c r="M184" s="520"/>
      <c r="N184" s="520"/>
      <c r="O184" s="520"/>
      <c r="P184" s="520"/>
      <c r="Q184" s="478"/>
      <c r="R184" s="520"/>
      <c r="S184" s="478"/>
      <c r="T184" s="478"/>
      <c r="U184" s="478"/>
      <c r="V184" s="478"/>
      <c r="W184" s="478"/>
      <c r="X184" s="520"/>
      <c r="Y184" s="520"/>
      <c r="Z184" s="520"/>
      <c r="AA184" s="520"/>
      <c r="AB184" s="519"/>
      <c r="AC184" s="519"/>
      <c r="AD184" s="519"/>
      <c r="AE184" s="478"/>
      <c r="AF184" s="478"/>
      <c r="AG184" s="519"/>
      <c r="AH184" s="519"/>
      <c r="AI184" s="519"/>
      <c r="AJ184" s="478"/>
      <c r="AK184" s="478"/>
      <c r="AL184" s="519"/>
      <c r="AM184" s="478"/>
      <c r="AN184" s="519"/>
      <c r="AO184" s="519"/>
      <c r="AP184" s="478"/>
      <c r="AQ184" s="478"/>
    </row>
    <row r="185" spans="1:43" ht="15.6">
      <c r="A185" s="478"/>
      <c r="B185" s="478"/>
      <c r="C185" s="478"/>
      <c r="D185" s="478"/>
      <c r="E185" s="478"/>
      <c r="F185" s="519"/>
      <c r="G185" s="478"/>
      <c r="H185" s="478"/>
      <c r="I185" s="478"/>
      <c r="J185" s="478"/>
      <c r="K185" s="520"/>
      <c r="L185" s="520"/>
      <c r="M185" s="520"/>
      <c r="N185" s="520"/>
      <c r="O185" s="520"/>
      <c r="P185" s="520"/>
      <c r="Q185" s="478"/>
      <c r="R185" s="520"/>
      <c r="S185" s="478"/>
      <c r="T185" s="478"/>
      <c r="U185" s="478"/>
      <c r="V185" s="478"/>
      <c r="W185" s="478"/>
      <c r="X185" s="520"/>
      <c r="Y185" s="520"/>
      <c r="Z185" s="520"/>
      <c r="AA185" s="520"/>
      <c r="AB185" s="519"/>
      <c r="AC185" s="519"/>
      <c r="AD185" s="519"/>
      <c r="AE185" s="478"/>
      <c r="AF185" s="478"/>
      <c r="AG185" s="519"/>
      <c r="AH185" s="519"/>
      <c r="AI185" s="519"/>
      <c r="AJ185" s="478"/>
      <c r="AK185" s="478"/>
      <c r="AL185" s="519"/>
      <c r="AM185" s="478"/>
      <c r="AN185" s="519"/>
      <c r="AO185" s="519"/>
      <c r="AP185" s="478"/>
      <c r="AQ185" s="478"/>
    </row>
    <row r="186" spans="1:43" ht="15.6">
      <c r="A186" s="478"/>
      <c r="B186" s="478"/>
      <c r="C186" s="478"/>
      <c r="D186" s="478"/>
      <c r="E186" s="478"/>
      <c r="F186" s="519"/>
      <c r="G186" s="478"/>
      <c r="H186" s="478"/>
      <c r="I186" s="478"/>
      <c r="J186" s="478"/>
      <c r="K186" s="520"/>
      <c r="L186" s="520"/>
      <c r="M186" s="520"/>
      <c r="N186" s="520"/>
      <c r="O186" s="520"/>
      <c r="P186" s="520"/>
      <c r="Q186" s="478"/>
      <c r="R186" s="520"/>
      <c r="S186" s="478"/>
      <c r="T186" s="478"/>
      <c r="U186" s="478"/>
      <c r="V186" s="478"/>
      <c r="W186" s="478"/>
      <c r="X186" s="520"/>
      <c r="Y186" s="520"/>
      <c r="Z186" s="520"/>
      <c r="AA186" s="520"/>
      <c r="AB186" s="519"/>
      <c r="AC186" s="519"/>
      <c r="AD186" s="519"/>
      <c r="AE186" s="478"/>
      <c r="AF186" s="478"/>
      <c r="AG186" s="519"/>
      <c r="AH186" s="519"/>
      <c r="AI186" s="519"/>
      <c r="AJ186" s="478"/>
      <c r="AK186" s="478"/>
      <c r="AL186" s="519"/>
      <c r="AM186" s="478"/>
      <c r="AN186" s="519"/>
      <c r="AO186" s="519"/>
      <c r="AP186" s="478"/>
      <c r="AQ186" s="478"/>
    </row>
    <row r="187" spans="1:43" ht="15.6">
      <c r="A187" s="478"/>
      <c r="B187" s="478"/>
      <c r="C187" s="478"/>
      <c r="D187" s="478"/>
      <c r="E187" s="478"/>
      <c r="F187" s="519"/>
      <c r="G187" s="478"/>
      <c r="H187" s="478"/>
      <c r="I187" s="478"/>
      <c r="J187" s="478"/>
      <c r="K187" s="520"/>
      <c r="L187" s="520"/>
      <c r="M187" s="520"/>
      <c r="N187" s="520"/>
      <c r="O187" s="520"/>
      <c r="P187" s="520"/>
      <c r="Q187" s="478"/>
      <c r="R187" s="520"/>
      <c r="S187" s="478"/>
      <c r="T187" s="478"/>
      <c r="U187" s="478"/>
      <c r="V187" s="478"/>
      <c r="W187" s="478"/>
      <c r="X187" s="520"/>
      <c r="Y187" s="520"/>
      <c r="Z187" s="520"/>
      <c r="AA187" s="520"/>
      <c r="AB187" s="519"/>
      <c r="AC187" s="519"/>
      <c r="AD187" s="519"/>
      <c r="AE187" s="478"/>
      <c r="AF187" s="478"/>
      <c r="AG187" s="519"/>
      <c r="AH187" s="519"/>
      <c r="AI187" s="519"/>
      <c r="AJ187" s="478"/>
      <c r="AK187" s="478"/>
      <c r="AL187" s="519"/>
      <c r="AM187" s="478"/>
      <c r="AN187" s="519"/>
      <c r="AO187" s="519"/>
      <c r="AP187" s="478"/>
      <c r="AQ187" s="478"/>
    </row>
    <row r="188" spans="1:43" ht="15.6">
      <c r="A188" s="478"/>
      <c r="B188" s="478"/>
      <c r="C188" s="478"/>
      <c r="D188" s="478"/>
      <c r="E188" s="478"/>
      <c r="F188" s="519"/>
      <c r="G188" s="478"/>
      <c r="H188" s="478"/>
      <c r="I188" s="478"/>
      <c r="J188" s="478"/>
      <c r="K188" s="520"/>
      <c r="L188" s="520"/>
      <c r="M188" s="520"/>
      <c r="N188" s="520"/>
      <c r="O188" s="520"/>
      <c r="P188" s="520"/>
      <c r="Q188" s="478"/>
      <c r="R188" s="520"/>
      <c r="S188" s="478"/>
      <c r="T188" s="478"/>
      <c r="U188" s="478"/>
      <c r="V188" s="478"/>
      <c r="W188" s="478"/>
      <c r="X188" s="520"/>
      <c r="Y188" s="520"/>
      <c r="Z188" s="520"/>
      <c r="AA188" s="520"/>
      <c r="AB188" s="519"/>
      <c r="AC188" s="519"/>
      <c r="AD188" s="519"/>
      <c r="AE188" s="478"/>
      <c r="AF188" s="478"/>
      <c r="AG188" s="519"/>
      <c r="AH188" s="519"/>
      <c r="AI188" s="519"/>
      <c r="AJ188" s="478"/>
      <c r="AK188" s="478"/>
      <c r="AL188" s="519"/>
      <c r="AM188" s="478"/>
      <c r="AN188" s="519"/>
      <c r="AO188" s="519"/>
      <c r="AP188" s="478"/>
      <c r="AQ188" s="478"/>
    </row>
    <row r="189" spans="1:43" ht="15.6">
      <c r="A189" s="478"/>
      <c r="B189" s="478"/>
      <c r="C189" s="478"/>
      <c r="D189" s="478"/>
      <c r="E189" s="478"/>
      <c r="F189" s="519"/>
      <c r="G189" s="478"/>
      <c r="H189" s="478"/>
      <c r="I189" s="478"/>
      <c r="J189" s="478"/>
      <c r="K189" s="520"/>
      <c r="L189" s="520"/>
      <c r="M189" s="520"/>
      <c r="N189" s="520"/>
      <c r="O189" s="520"/>
      <c r="P189" s="520"/>
      <c r="Q189" s="478"/>
      <c r="R189" s="520"/>
      <c r="S189" s="478"/>
      <c r="T189" s="478"/>
      <c r="U189" s="478"/>
      <c r="V189" s="478"/>
      <c r="W189" s="478"/>
      <c r="X189" s="520"/>
      <c r="Y189" s="520"/>
      <c r="Z189" s="520"/>
      <c r="AA189" s="520"/>
      <c r="AB189" s="519"/>
      <c r="AC189" s="519"/>
      <c r="AD189" s="519"/>
      <c r="AE189" s="478"/>
      <c r="AF189" s="478"/>
      <c r="AG189" s="519"/>
      <c r="AH189" s="519"/>
      <c r="AI189" s="519"/>
      <c r="AJ189" s="478"/>
      <c r="AK189" s="478"/>
      <c r="AL189" s="519"/>
      <c r="AM189" s="478"/>
      <c r="AN189" s="519"/>
      <c r="AO189" s="519"/>
      <c r="AP189" s="478"/>
      <c r="AQ189" s="478"/>
    </row>
    <row r="190" spans="1:43" ht="15.6">
      <c r="A190" s="478"/>
      <c r="B190" s="478"/>
      <c r="C190" s="478"/>
      <c r="D190" s="478"/>
      <c r="E190" s="478"/>
      <c r="F190" s="519"/>
      <c r="G190" s="478"/>
      <c r="H190" s="478"/>
      <c r="I190" s="478"/>
      <c r="J190" s="478"/>
      <c r="K190" s="520"/>
      <c r="L190" s="520"/>
      <c r="M190" s="520"/>
      <c r="N190" s="520"/>
      <c r="O190" s="520"/>
      <c r="P190" s="520"/>
      <c r="Q190" s="478"/>
      <c r="R190" s="520"/>
      <c r="S190" s="478"/>
      <c r="T190" s="478"/>
      <c r="U190" s="478"/>
      <c r="V190" s="478"/>
      <c r="W190" s="478"/>
      <c r="X190" s="520"/>
      <c r="Y190" s="520"/>
      <c r="Z190" s="520"/>
      <c r="AA190" s="520"/>
      <c r="AB190" s="519"/>
      <c r="AC190" s="519"/>
      <c r="AD190" s="519"/>
      <c r="AE190" s="478"/>
      <c r="AF190" s="478"/>
      <c r="AG190" s="519"/>
      <c r="AH190" s="519"/>
      <c r="AI190" s="519"/>
      <c r="AJ190" s="478"/>
      <c r="AK190" s="478"/>
      <c r="AL190" s="519"/>
      <c r="AM190" s="478"/>
      <c r="AN190" s="519"/>
      <c r="AO190" s="519"/>
      <c r="AP190" s="478"/>
      <c r="AQ190" s="478"/>
    </row>
    <row r="191" spans="1:43" ht="15.6">
      <c r="A191" s="478"/>
      <c r="B191" s="478"/>
      <c r="C191" s="478"/>
      <c r="D191" s="478"/>
      <c r="E191" s="478"/>
      <c r="F191" s="519"/>
      <c r="G191" s="478"/>
      <c r="H191" s="478"/>
      <c r="I191" s="478"/>
      <c r="J191" s="478"/>
      <c r="K191" s="520"/>
      <c r="L191" s="520"/>
      <c r="M191" s="520"/>
      <c r="N191" s="520"/>
      <c r="O191" s="520"/>
      <c r="P191" s="520"/>
      <c r="Q191" s="478"/>
      <c r="R191" s="520"/>
      <c r="S191" s="478"/>
      <c r="T191" s="478"/>
      <c r="U191" s="478"/>
      <c r="V191" s="478"/>
      <c r="W191" s="478"/>
      <c r="X191" s="520"/>
      <c r="Y191" s="520"/>
      <c r="Z191" s="520"/>
      <c r="AA191" s="520"/>
      <c r="AB191" s="519"/>
      <c r="AC191" s="519"/>
      <c r="AD191" s="519"/>
      <c r="AE191" s="478"/>
      <c r="AF191" s="478"/>
      <c r="AG191" s="519"/>
      <c r="AH191" s="519"/>
      <c r="AI191" s="519"/>
      <c r="AJ191" s="478"/>
      <c r="AK191" s="478"/>
      <c r="AL191" s="519"/>
      <c r="AM191" s="478"/>
      <c r="AN191" s="519"/>
      <c r="AO191" s="519"/>
      <c r="AP191" s="478"/>
      <c r="AQ191" s="478"/>
    </row>
    <row r="192" spans="1:43" ht="15.6">
      <c r="A192" s="478"/>
      <c r="B192" s="478"/>
      <c r="C192" s="478"/>
      <c r="D192" s="478"/>
      <c r="E192" s="478"/>
      <c r="F192" s="519"/>
      <c r="G192" s="478"/>
      <c r="H192" s="478"/>
      <c r="I192" s="478"/>
      <c r="J192" s="478"/>
      <c r="K192" s="520"/>
      <c r="L192" s="520"/>
      <c r="M192" s="520"/>
      <c r="N192" s="520"/>
      <c r="O192" s="520"/>
      <c r="P192" s="520"/>
      <c r="Q192" s="478"/>
      <c r="R192" s="520"/>
      <c r="S192" s="478"/>
      <c r="T192" s="478"/>
      <c r="U192" s="478"/>
      <c r="V192" s="478"/>
      <c r="W192" s="478"/>
      <c r="X192" s="520"/>
      <c r="Y192" s="520"/>
      <c r="Z192" s="520"/>
      <c r="AA192" s="520"/>
      <c r="AB192" s="519"/>
      <c r="AC192" s="519"/>
      <c r="AD192" s="519"/>
      <c r="AE192" s="478"/>
      <c r="AF192" s="478"/>
      <c r="AG192" s="519"/>
      <c r="AH192" s="519"/>
      <c r="AI192" s="519"/>
      <c r="AJ192" s="478"/>
      <c r="AK192" s="478"/>
      <c r="AL192" s="519"/>
      <c r="AM192" s="478"/>
      <c r="AN192" s="519"/>
      <c r="AO192" s="519"/>
      <c r="AP192" s="478"/>
      <c r="AQ192" s="478"/>
    </row>
    <row r="193" spans="1:43" ht="15.6">
      <c r="A193" s="478"/>
      <c r="B193" s="478"/>
      <c r="C193" s="478"/>
      <c r="D193" s="478"/>
      <c r="E193" s="478"/>
      <c r="F193" s="519"/>
      <c r="G193" s="478"/>
      <c r="H193" s="478"/>
      <c r="I193" s="478"/>
      <c r="J193" s="478"/>
      <c r="K193" s="520"/>
      <c r="L193" s="520"/>
      <c r="M193" s="520"/>
      <c r="N193" s="520"/>
      <c r="O193" s="520"/>
      <c r="P193" s="520"/>
      <c r="Q193" s="478"/>
      <c r="R193" s="520"/>
      <c r="S193" s="478"/>
      <c r="T193" s="478"/>
      <c r="U193" s="478"/>
      <c r="V193" s="478"/>
      <c r="W193" s="478"/>
      <c r="X193" s="520"/>
      <c r="Y193" s="520"/>
      <c r="Z193" s="520"/>
      <c r="AA193" s="520"/>
      <c r="AB193" s="519"/>
      <c r="AC193" s="519"/>
      <c r="AD193" s="519"/>
      <c r="AE193" s="478"/>
      <c r="AF193" s="478"/>
      <c r="AG193" s="519"/>
      <c r="AH193" s="519"/>
      <c r="AI193" s="519"/>
      <c r="AJ193" s="478"/>
      <c r="AK193" s="478"/>
      <c r="AL193" s="519"/>
      <c r="AM193" s="478"/>
      <c r="AN193" s="519"/>
      <c r="AO193" s="519"/>
      <c r="AP193" s="478"/>
      <c r="AQ193" s="478"/>
    </row>
    <row r="194" spans="1:43" ht="15.6">
      <c r="A194" s="478"/>
      <c r="B194" s="478"/>
      <c r="C194" s="478"/>
      <c r="D194" s="478"/>
      <c r="E194" s="478"/>
      <c r="F194" s="519"/>
      <c r="G194" s="478"/>
      <c r="H194" s="478"/>
      <c r="I194" s="478"/>
      <c r="J194" s="478"/>
      <c r="K194" s="520"/>
      <c r="L194" s="520"/>
      <c r="M194" s="520"/>
      <c r="N194" s="520"/>
      <c r="O194" s="520"/>
      <c r="P194" s="520"/>
      <c r="Q194" s="478"/>
      <c r="R194" s="520"/>
      <c r="S194" s="478"/>
      <c r="T194" s="478"/>
      <c r="U194" s="478"/>
      <c r="V194" s="478"/>
      <c r="W194" s="478"/>
      <c r="X194" s="520"/>
      <c r="Y194" s="520"/>
      <c r="Z194" s="520"/>
      <c r="AA194" s="520"/>
      <c r="AB194" s="519"/>
      <c r="AC194" s="519"/>
      <c r="AD194" s="519"/>
      <c r="AE194" s="478"/>
      <c r="AF194" s="478"/>
      <c r="AG194" s="519"/>
      <c r="AH194" s="519"/>
      <c r="AI194" s="519"/>
      <c r="AJ194" s="478"/>
      <c r="AK194" s="478"/>
      <c r="AL194" s="519"/>
      <c r="AM194" s="478"/>
      <c r="AN194" s="519"/>
      <c r="AO194" s="519"/>
      <c r="AP194" s="478"/>
      <c r="AQ194" s="478"/>
    </row>
    <row r="195" spans="1:43" ht="15.6">
      <c r="A195" s="478"/>
      <c r="B195" s="478"/>
      <c r="C195" s="478"/>
      <c r="D195" s="478"/>
      <c r="E195" s="478"/>
      <c r="F195" s="519"/>
      <c r="G195" s="478"/>
      <c r="H195" s="478"/>
      <c r="I195" s="478"/>
      <c r="J195" s="478"/>
      <c r="K195" s="520"/>
      <c r="L195" s="520"/>
      <c r="M195" s="520"/>
      <c r="N195" s="520"/>
      <c r="O195" s="520"/>
      <c r="P195" s="520"/>
      <c r="Q195" s="478"/>
      <c r="R195" s="520"/>
      <c r="S195" s="478"/>
      <c r="T195" s="478"/>
      <c r="U195" s="478"/>
      <c r="V195" s="478"/>
      <c r="W195" s="478"/>
      <c r="X195" s="520"/>
      <c r="Y195" s="520"/>
      <c r="Z195" s="520"/>
      <c r="AA195" s="520"/>
      <c r="AB195" s="519"/>
      <c r="AC195" s="519"/>
      <c r="AD195" s="519"/>
      <c r="AE195" s="478"/>
      <c r="AF195" s="478"/>
      <c r="AG195" s="519"/>
      <c r="AH195" s="519"/>
      <c r="AI195" s="519"/>
      <c r="AJ195" s="478"/>
      <c r="AK195" s="478"/>
      <c r="AL195" s="519"/>
      <c r="AM195" s="478"/>
      <c r="AN195" s="519"/>
      <c r="AO195" s="519"/>
      <c r="AP195" s="478"/>
      <c r="AQ195" s="478"/>
    </row>
    <row r="196" spans="1:43" ht="15.6">
      <c r="A196" s="478"/>
      <c r="B196" s="478"/>
      <c r="C196" s="478"/>
      <c r="D196" s="478"/>
      <c r="E196" s="478"/>
      <c r="F196" s="519"/>
      <c r="G196" s="478"/>
      <c r="H196" s="478"/>
      <c r="I196" s="478"/>
      <c r="J196" s="478"/>
      <c r="K196" s="520"/>
      <c r="L196" s="520"/>
      <c r="M196" s="520"/>
      <c r="N196" s="520"/>
      <c r="O196" s="520"/>
      <c r="P196" s="520"/>
      <c r="Q196" s="478"/>
      <c r="R196" s="520"/>
      <c r="S196" s="478"/>
      <c r="T196" s="478"/>
      <c r="U196" s="478"/>
      <c r="V196" s="478"/>
      <c r="W196" s="478"/>
      <c r="X196" s="520"/>
      <c r="Y196" s="520"/>
      <c r="Z196" s="520"/>
      <c r="AA196" s="520"/>
      <c r="AB196" s="519"/>
      <c r="AC196" s="519"/>
      <c r="AD196" s="519"/>
      <c r="AE196" s="478"/>
      <c r="AF196" s="478"/>
      <c r="AG196" s="519"/>
      <c r="AH196" s="519"/>
      <c r="AI196" s="519"/>
      <c r="AJ196" s="478"/>
      <c r="AK196" s="478"/>
      <c r="AL196" s="519"/>
      <c r="AM196" s="478"/>
      <c r="AN196" s="519"/>
      <c r="AO196" s="519"/>
      <c r="AP196" s="478"/>
      <c r="AQ196" s="478"/>
    </row>
    <row r="197" spans="1:43" ht="15.6">
      <c r="A197" s="478"/>
      <c r="B197" s="478"/>
      <c r="C197" s="478"/>
      <c r="D197" s="478"/>
      <c r="E197" s="478"/>
      <c r="F197" s="519"/>
      <c r="G197" s="478"/>
      <c r="H197" s="478"/>
      <c r="I197" s="478"/>
      <c r="J197" s="478"/>
      <c r="K197" s="520"/>
      <c r="L197" s="520"/>
      <c r="M197" s="520"/>
      <c r="N197" s="520"/>
      <c r="O197" s="520"/>
      <c r="P197" s="520"/>
      <c r="Q197" s="478"/>
      <c r="R197" s="520"/>
      <c r="S197" s="478"/>
      <c r="T197" s="478"/>
      <c r="U197" s="478"/>
      <c r="V197" s="478"/>
      <c r="W197" s="478"/>
      <c r="X197" s="520"/>
      <c r="Y197" s="520"/>
      <c r="Z197" s="520"/>
      <c r="AA197" s="520"/>
      <c r="AB197" s="519"/>
      <c r="AC197" s="519"/>
      <c r="AD197" s="519"/>
      <c r="AE197" s="478"/>
      <c r="AF197" s="478"/>
      <c r="AG197" s="519"/>
      <c r="AH197" s="519"/>
      <c r="AI197" s="519"/>
      <c r="AJ197" s="478"/>
      <c r="AK197" s="478"/>
      <c r="AL197" s="519"/>
      <c r="AM197" s="478"/>
      <c r="AN197" s="519"/>
      <c r="AO197" s="519"/>
      <c r="AP197" s="478"/>
      <c r="AQ197" s="478"/>
    </row>
    <row r="198" spans="1:43" ht="15.6">
      <c r="A198" s="478"/>
      <c r="B198" s="478"/>
      <c r="C198" s="478"/>
      <c r="D198" s="478"/>
      <c r="E198" s="478"/>
      <c r="F198" s="519"/>
      <c r="G198" s="478"/>
      <c r="H198" s="478"/>
      <c r="I198" s="478"/>
      <c r="J198" s="478"/>
      <c r="K198" s="520"/>
      <c r="L198" s="520"/>
      <c r="M198" s="520"/>
      <c r="N198" s="520"/>
      <c r="O198" s="520"/>
      <c r="P198" s="520"/>
      <c r="Q198" s="478"/>
      <c r="R198" s="520"/>
      <c r="S198" s="478"/>
      <c r="T198" s="478"/>
      <c r="U198" s="478"/>
      <c r="V198" s="478"/>
      <c r="W198" s="478"/>
      <c r="X198" s="520"/>
      <c r="Y198" s="520"/>
      <c r="Z198" s="520"/>
      <c r="AA198" s="520"/>
      <c r="AB198" s="519"/>
      <c r="AC198" s="519"/>
      <c r="AD198" s="519"/>
      <c r="AE198" s="478"/>
      <c r="AF198" s="478"/>
      <c r="AG198" s="519"/>
      <c r="AH198" s="519"/>
      <c r="AI198" s="519"/>
      <c r="AJ198" s="478"/>
      <c r="AK198" s="478"/>
      <c r="AL198" s="519"/>
      <c r="AM198" s="478"/>
      <c r="AN198" s="519"/>
      <c r="AO198" s="519"/>
      <c r="AP198" s="478"/>
      <c r="AQ198" s="478"/>
    </row>
    <row r="199" spans="1:43" ht="15.6">
      <c r="A199" s="478"/>
      <c r="B199" s="478"/>
      <c r="C199" s="478"/>
      <c r="D199" s="478"/>
      <c r="E199" s="478"/>
      <c r="F199" s="519"/>
      <c r="G199" s="478"/>
      <c r="H199" s="478"/>
      <c r="I199" s="478"/>
      <c r="J199" s="478"/>
      <c r="K199" s="520"/>
      <c r="L199" s="520"/>
      <c r="M199" s="520"/>
      <c r="N199" s="520"/>
      <c r="O199" s="520"/>
      <c r="P199" s="520"/>
      <c r="Q199" s="478"/>
      <c r="R199" s="520"/>
      <c r="S199" s="478"/>
      <c r="T199" s="478"/>
      <c r="U199" s="478"/>
      <c r="V199" s="478"/>
      <c r="W199" s="478"/>
      <c r="X199" s="520"/>
      <c r="Y199" s="520"/>
      <c r="Z199" s="520"/>
      <c r="AA199" s="520"/>
      <c r="AB199" s="519"/>
      <c r="AC199" s="519"/>
      <c r="AD199" s="519"/>
      <c r="AE199" s="478"/>
      <c r="AF199" s="478"/>
      <c r="AG199" s="519"/>
      <c r="AH199" s="519"/>
      <c r="AI199" s="519"/>
      <c r="AJ199" s="478"/>
      <c r="AK199" s="478"/>
      <c r="AL199" s="519"/>
      <c r="AM199" s="478"/>
      <c r="AN199" s="519"/>
      <c r="AO199" s="519"/>
      <c r="AP199" s="478"/>
      <c r="AQ199" s="478"/>
    </row>
  </sheetData>
  <mergeCells count="29">
    <mergeCell ref="A1:AO1"/>
    <mergeCell ref="A2:AO2"/>
    <mergeCell ref="A3:AE3"/>
    <mergeCell ref="AF3:AJ3"/>
    <mergeCell ref="M4:R4"/>
    <mergeCell ref="X4:AA4"/>
    <mergeCell ref="AC4:AF4"/>
    <mergeCell ref="AG4:AJ4"/>
    <mergeCell ref="A4:A5"/>
    <mergeCell ref="B4:B5"/>
    <mergeCell ref="C4:C5"/>
    <mergeCell ref="D4:D5"/>
    <mergeCell ref="E4:E5"/>
    <mergeCell ref="F4:F5"/>
    <mergeCell ref="G4:G5"/>
    <mergeCell ref="H4:H5"/>
    <mergeCell ref="I4:I5"/>
    <mergeCell ref="J4:J5"/>
    <mergeCell ref="K4:K5"/>
    <mergeCell ref="T4:T5"/>
    <mergeCell ref="U4:U5"/>
    <mergeCell ref="AM4:AM5"/>
    <mergeCell ref="AN4:AN5"/>
    <mergeCell ref="AO4:AO5"/>
    <mergeCell ref="V4:V5"/>
    <mergeCell ref="W4:W5"/>
    <mergeCell ref="AB4:AB5"/>
    <mergeCell ref="AK4:AK5"/>
    <mergeCell ref="AL4:AL5"/>
  </mergeCells>
  <dataValidations count="5">
    <dataValidation type="list" errorStyle="warning" allowBlank="1" showInputMessage="1" showErrorMessage="1" sqref="H6 H10 H14 H18 H22 H26 H30 H37 H40 H43 H46 H49 H51 H53 H55 H57 H64 H75 H90 H93 H96 H99 H102 H105 H113 H115 H117 H119 H34:H35 H59:H61 H67:H71 H79:H82 H86:H87 H109:H110" xr:uid="{00000000-0002-0000-0C00-000000000000}">
      <formula1>nhomHang</formula1>
    </dataValidation>
    <dataValidation type="list" errorStyle="warning" allowBlank="1" showInputMessage="1" showErrorMessage="1" sqref="AG6 AG10 AG14 AG18 AG22 AG26 AG30 AG37 AG40 AG43 AG46 AG49 AG51 AG53 AG55 AG57 AG64 AG75 AG90 AG93 AG96 AG99 AG102 AG113 AG115 AG117 AG119 AG34:AG35 AG59:AG61 AG67:AG71 AG79:AG82 AG86:AG87 AG105:AG106 AG109:AG110" xr:uid="{00000000-0002-0000-0C00-000001000000}">
      <formula1>BocLen</formula1>
    </dataValidation>
    <dataValidation type="list" errorStyle="warning" allowBlank="1" showInputMessage="1" showErrorMessage="1" sqref="AI6 AI10 AI14 AI18 AI22 AI26 AI30 AI37 AI40 AI43 AI46 AI49 AI51 AI53 AI55 AI57 AI64 AI75 AI90 AI93 AI96 AI99 AI102 AI113 AI115 AI117 AI119 AI34:AI35 AI59:AI61 AI67:AI71 AI79:AI82 AI86:AI87 AI105:AI106 AI109:AI110" xr:uid="{00000000-0002-0000-0C00-000002000000}">
      <formula1>BocXuong</formula1>
    </dataValidation>
    <dataValidation type="list" errorStyle="warning" allowBlank="1" showInputMessage="1" showErrorMessage="1" sqref="J6:J121" xr:uid="{00000000-0002-0000-0C00-000003000000}">
      <formula1>PhuongTiens</formula1>
    </dataValidation>
    <dataValidation type="list" errorStyle="warning" allowBlank="1" showInputMessage="1" showErrorMessage="1" sqref="Q6:Q121" xr:uid="{00000000-0002-0000-0C00-000004000000}">
      <formula1>LoaiDuongs</formula1>
    </dataValidation>
  </dataValidations>
  <printOptions horizontalCentered="1"/>
  <pageMargins left="0.25" right="0.2" top="0.5" bottom="0.5" header="0.3" footer="0.3"/>
  <pageSetup paperSize="9" scale="49" orientation="landscape"/>
  <headerFooter>
    <oddFooter>&amp;CPage &amp;P</oddFooter>
  </headerFooter>
  <ignoredErrors>
    <ignoredError sqref="O107:O108 M10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2"/>
  </sheetPr>
  <dimension ref="A1:P52"/>
  <sheetViews>
    <sheetView showZeros="0" topLeftCell="B1" workbookViewId="0">
      <selection activeCell="F12" sqref="F12"/>
    </sheetView>
  </sheetViews>
  <sheetFormatPr defaultColWidth="9.44140625" defaultRowHeight="14.4"/>
  <cols>
    <col min="1" max="1" width="5.44140625" hidden="1" customWidth="1"/>
    <col min="2" max="2" width="4.44140625" customWidth="1"/>
    <col min="3" max="3" width="8.44140625" customWidth="1"/>
    <col min="4" max="4" width="30.44140625" customWidth="1"/>
    <col min="5" max="5" width="6.44140625" customWidth="1"/>
    <col min="6" max="6" width="7" customWidth="1"/>
    <col min="7" max="7" width="8.77734375" customWidth="1"/>
    <col min="8" max="9" width="10" customWidth="1"/>
    <col min="10" max="11" width="7" customWidth="1"/>
    <col min="12" max="12" width="10" customWidth="1"/>
    <col min="13" max="13" width="7" customWidth="1"/>
    <col min="14" max="15" width="10" customWidth="1"/>
    <col min="16" max="16" width="10.77734375" customWidth="1"/>
  </cols>
  <sheetData>
    <row r="1" spans="1:16" ht="17.399999999999999">
      <c r="A1" s="940" t="s">
        <v>853</v>
      </c>
      <c r="B1" s="940" t="s">
        <v>853</v>
      </c>
      <c r="C1" s="940" t="s">
        <v>853</v>
      </c>
      <c r="D1" s="940" t="s">
        <v>853</v>
      </c>
      <c r="E1" s="940" t="s">
        <v>853</v>
      </c>
      <c r="F1" s="940" t="s">
        <v>853</v>
      </c>
      <c r="G1" s="940" t="s">
        <v>853</v>
      </c>
      <c r="H1" s="940" t="s">
        <v>853</v>
      </c>
      <c r="I1" s="940" t="s">
        <v>853</v>
      </c>
      <c r="J1" s="940" t="s">
        <v>853</v>
      </c>
      <c r="K1" s="940" t="s">
        <v>853</v>
      </c>
      <c r="L1" s="940" t="s">
        <v>853</v>
      </c>
      <c r="M1" s="940" t="s">
        <v>853</v>
      </c>
      <c r="N1" s="940" t="s">
        <v>853</v>
      </c>
      <c r="O1" s="940" t="s">
        <v>853</v>
      </c>
      <c r="P1" s="940" t="s">
        <v>853</v>
      </c>
    </row>
    <row r="2" spans="1:16">
      <c r="A2" s="901" t="s">
        <v>762</v>
      </c>
      <c r="B2" s="901" t="s">
        <v>762</v>
      </c>
      <c r="C2" s="901" t="s">
        <v>762</v>
      </c>
      <c r="D2" s="901" t="s">
        <v>762</v>
      </c>
      <c r="E2" s="901" t="s">
        <v>762</v>
      </c>
      <c r="F2" s="901" t="s">
        <v>762</v>
      </c>
      <c r="G2" s="901" t="s">
        <v>762</v>
      </c>
      <c r="H2" s="901" t="s">
        <v>762</v>
      </c>
      <c r="I2" s="901" t="s">
        <v>762</v>
      </c>
      <c r="J2" s="901" t="s">
        <v>762</v>
      </c>
      <c r="K2" s="901" t="s">
        <v>762</v>
      </c>
      <c r="L2" s="901" t="s">
        <v>762</v>
      </c>
      <c r="M2" s="901" t="s">
        <v>762</v>
      </c>
      <c r="N2" s="901" t="s">
        <v>762</v>
      </c>
      <c r="O2" s="901" t="s">
        <v>762</v>
      </c>
      <c r="P2" s="901" t="s">
        <v>762</v>
      </c>
    </row>
    <row r="3" spans="1:16">
      <c r="A3" s="901" t="s">
        <v>763</v>
      </c>
      <c r="B3" s="901" t="s">
        <v>763</v>
      </c>
      <c r="C3" s="901" t="s">
        <v>763</v>
      </c>
      <c r="D3" s="901" t="s">
        <v>763</v>
      </c>
      <c r="E3" s="901" t="s">
        <v>763</v>
      </c>
      <c r="F3" s="901" t="s">
        <v>763</v>
      </c>
      <c r="G3" s="901" t="s">
        <v>763</v>
      </c>
      <c r="H3" s="901" t="s">
        <v>763</v>
      </c>
      <c r="I3" s="901" t="s">
        <v>763</v>
      </c>
      <c r="J3" s="901" t="s">
        <v>763</v>
      </c>
      <c r="K3" s="901" t="s">
        <v>763</v>
      </c>
      <c r="L3" s="901" t="s">
        <v>763</v>
      </c>
      <c r="M3" s="901" t="s">
        <v>763</v>
      </c>
      <c r="N3" s="901" t="s">
        <v>763</v>
      </c>
      <c r="O3" s="901" t="s">
        <v>763</v>
      </c>
      <c r="P3" s="901" t="s">
        <v>763</v>
      </c>
    </row>
    <row r="4" spans="1:16">
      <c r="A4" s="956"/>
      <c r="B4" s="956" t="s">
        <v>5</v>
      </c>
      <c r="C4" s="957" t="s">
        <v>592</v>
      </c>
      <c r="D4" s="956" t="s">
        <v>686</v>
      </c>
      <c r="E4" s="956" t="s">
        <v>594</v>
      </c>
      <c r="F4" s="956" t="s">
        <v>767</v>
      </c>
      <c r="G4" s="956" t="s">
        <v>768</v>
      </c>
      <c r="H4" s="956" t="s">
        <v>770</v>
      </c>
      <c r="I4" s="956" t="s">
        <v>854</v>
      </c>
      <c r="J4" s="956"/>
      <c r="K4" s="956" t="s">
        <v>779</v>
      </c>
      <c r="L4" s="956"/>
      <c r="M4" s="956"/>
      <c r="N4" s="956" t="s">
        <v>855</v>
      </c>
      <c r="O4" s="956" t="s">
        <v>776</v>
      </c>
      <c r="P4" s="956" t="s">
        <v>696</v>
      </c>
    </row>
    <row r="5" spans="1:16">
      <c r="A5" s="956"/>
      <c r="B5" s="956"/>
      <c r="C5" s="957"/>
      <c r="D5" s="956"/>
      <c r="E5" s="956"/>
      <c r="F5" s="956"/>
      <c r="G5" s="956"/>
      <c r="H5" s="956"/>
      <c r="I5" s="100" t="s">
        <v>854</v>
      </c>
      <c r="J5" s="100" t="s">
        <v>596</v>
      </c>
      <c r="K5" s="100" t="s">
        <v>856</v>
      </c>
      <c r="L5" s="100" t="s">
        <v>857</v>
      </c>
      <c r="M5" s="100" t="s">
        <v>858</v>
      </c>
      <c r="N5" s="956"/>
      <c r="O5" s="956"/>
      <c r="P5" s="956"/>
    </row>
    <row r="6" spans="1:16">
      <c r="A6" s="83"/>
      <c r="B6" s="84">
        <v>1</v>
      </c>
      <c r="C6" s="479" t="s">
        <v>667</v>
      </c>
      <c r="D6" s="83" t="s">
        <v>699</v>
      </c>
      <c r="E6" s="84" t="s">
        <v>700</v>
      </c>
      <c r="F6" s="480">
        <v>0</v>
      </c>
      <c r="G6" s="83" t="s">
        <v>786</v>
      </c>
      <c r="H6" s="83"/>
      <c r="I6" s="83" t="s">
        <v>788</v>
      </c>
      <c r="J6" s="84">
        <v>1</v>
      </c>
      <c r="K6" s="480">
        <v>0</v>
      </c>
      <c r="L6" s="84">
        <f t="shared" ref="L6:L50" si="0">J6*K6</f>
        <v>0</v>
      </c>
      <c r="M6" s="84">
        <f t="shared" ref="M6:M50" si="1">SUM(L6:L6)</f>
        <v>0</v>
      </c>
      <c r="N6" s="86">
        <f t="shared" ref="N6:N50" si="2">0</f>
        <v>0</v>
      </c>
      <c r="O6" s="488">
        <v>0</v>
      </c>
      <c r="P6" s="86">
        <f t="shared" ref="P6:P50" si="3">F6*N6+O6</f>
        <v>0</v>
      </c>
    </row>
    <row r="7" spans="1:16">
      <c r="A7" s="91"/>
      <c r="B7" s="92">
        <v>2</v>
      </c>
      <c r="C7" s="481" t="s">
        <v>669</v>
      </c>
      <c r="D7" s="91" t="s">
        <v>701</v>
      </c>
      <c r="E7" s="92" t="s">
        <v>700</v>
      </c>
      <c r="F7" s="482">
        <v>0</v>
      </c>
      <c r="G7" s="91" t="s">
        <v>786</v>
      </c>
      <c r="H7" s="91"/>
      <c r="I7" s="91" t="s">
        <v>788</v>
      </c>
      <c r="J7" s="92">
        <v>1</v>
      </c>
      <c r="K7" s="482">
        <v>0</v>
      </c>
      <c r="L7" s="92">
        <f t="shared" si="0"/>
        <v>0</v>
      </c>
      <c r="M7" s="92">
        <f t="shared" si="1"/>
        <v>0</v>
      </c>
      <c r="N7" s="94">
        <f t="shared" si="2"/>
        <v>0</v>
      </c>
      <c r="O7" s="489">
        <v>0</v>
      </c>
      <c r="P7" s="94">
        <f t="shared" si="3"/>
        <v>0</v>
      </c>
    </row>
    <row r="8" spans="1:16">
      <c r="A8" s="91"/>
      <c r="B8" s="92">
        <v>3</v>
      </c>
      <c r="C8" s="481" t="s">
        <v>679</v>
      </c>
      <c r="D8" s="91" t="s">
        <v>702</v>
      </c>
      <c r="E8" s="92" t="s">
        <v>700</v>
      </c>
      <c r="F8" s="482">
        <v>0</v>
      </c>
      <c r="G8" s="91" t="s">
        <v>786</v>
      </c>
      <c r="H8" s="91"/>
      <c r="I8" s="91" t="s">
        <v>788</v>
      </c>
      <c r="J8" s="92">
        <v>1</v>
      </c>
      <c r="K8" s="482">
        <v>0</v>
      </c>
      <c r="L8" s="92">
        <f t="shared" si="0"/>
        <v>0</v>
      </c>
      <c r="M8" s="92">
        <f t="shared" si="1"/>
        <v>0</v>
      </c>
      <c r="N8" s="94">
        <f t="shared" si="2"/>
        <v>0</v>
      </c>
      <c r="O8" s="489">
        <v>0</v>
      </c>
      <c r="P8" s="94">
        <f t="shared" si="3"/>
        <v>0</v>
      </c>
    </row>
    <row r="9" spans="1:16">
      <c r="A9" s="91"/>
      <c r="B9" s="92">
        <v>4</v>
      </c>
      <c r="C9" s="481" t="s">
        <v>677</v>
      </c>
      <c r="D9" s="483" t="s">
        <v>704</v>
      </c>
      <c r="E9" s="92" t="s">
        <v>700</v>
      </c>
      <c r="F9" s="482">
        <v>0</v>
      </c>
      <c r="G9" s="91" t="s">
        <v>786</v>
      </c>
      <c r="H9" s="91"/>
      <c r="I9" s="91" t="s">
        <v>788</v>
      </c>
      <c r="J9" s="92">
        <v>1</v>
      </c>
      <c r="K9" s="482">
        <v>0</v>
      </c>
      <c r="L9" s="92">
        <f t="shared" si="0"/>
        <v>0</v>
      </c>
      <c r="M9" s="92">
        <f t="shared" si="1"/>
        <v>0</v>
      </c>
      <c r="N9" s="94">
        <f t="shared" si="2"/>
        <v>0</v>
      </c>
      <c r="O9" s="489">
        <v>0</v>
      </c>
      <c r="P9" s="94">
        <f t="shared" si="3"/>
        <v>0</v>
      </c>
    </row>
    <row r="10" spans="1:16">
      <c r="A10" s="91"/>
      <c r="B10" s="92">
        <v>5</v>
      </c>
      <c r="C10" s="481" t="s">
        <v>677</v>
      </c>
      <c r="D10" s="483" t="s">
        <v>703</v>
      </c>
      <c r="E10" s="92" t="s">
        <v>700</v>
      </c>
      <c r="F10" s="482">
        <v>0</v>
      </c>
      <c r="G10" s="91" t="s">
        <v>786</v>
      </c>
      <c r="H10" s="91"/>
      <c r="I10" s="91" t="s">
        <v>788</v>
      </c>
      <c r="J10" s="92">
        <v>1</v>
      </c>
      <c r="K10" s="482">
        <v>0</v>
      </c>
      <c r="L10" s="92">
        <f t="shared" si="0"/>
        <v>0</v>
      </c>
      <c r="M10" s="92">
        <f t="shared" si="1"/>
        <v>0</v>
      </c>
      <c r="N10" s="94">
        <f t="shared" si="2"/>
        <v>0</v>
      </c>
      <c r="O10" s="489">
        <v>0</v>
      </c>
      <c r="P10" s="94">
        <f t="shared" si="3"/>
        <v>0</v>
      </c>
    </row>
    <row r="11" spans="1:16">
      <c r="A11" s="91"/>
      <c r="B11" s="92">
        <v>6</v>
      </c>
      <c r="C11" s="481" t="s">
        <v>678</v>
      </c>
      <c r="D11" s="483" t="s">
        <v>706</v>
      </c>
      <c r="E11" s="92" t="s">
        <v>700</v>
      </c>
      <c r="F11" s="482">
        <v>0</v>
      </c>
      <c r="G11" s="91" t="s">
        <v>786</v>
      </c>
      <c r="H11" s="91"/>
      <c r="I11" s="91" t="s">
        <v>788</v>
      </c>
      <c r="J11" s="92">
        <v>1</v>
      </c>
      <c r="K11" s="482">
        <v>0</v>
      </c>
      <c r="L11" s="92">
        <f t="shared" si="0"/>
        <v>0</v>
      </c>
      <c r="M11" s="92">
        <f t="shared" si="1"/>
        <v>0</v>
      </c>
      <c r="N11" s="94">
        <f t="shared" si="2"/>
        <v>0</v>
      </c>
      <c r="O11" s="489">
        <v>0</v>
      </c>
      <c r="P11" s="94">
        <f t="shared" si="3"/>
        <v>0</v>
      </c>
    </row>
    <row r="12" spans="1:16">
      <c r="A12" s="91"/>
      <c r="B12" s="92">
        <v>7</v>
      </c>
      <c r="C12" s="481" t="s">
        <v>678</v>
      </c>
      <c r="D12" s="483" t="s">
        <v>705</v>
      </c>
      <c r="E12" s="92" t="s">
        <v>700</v>
      </c>
      <c r="F12" s="482">
        <v>0</v>
      </c>
      <c r="G12" s="91" t="s">
        <v>786</v>
      </c>
      <c r="H12" s="91"/>
      <c r="I12" s="91" t="s">
        <v>788</v>
      </c>
      <c r="J12" s="92">
        <v>1</v>
      </c>
      <c r="K12" s="482">
        <v>0</v>
      </c>
      <c r="L12" s="92">
        <f t="shared" si="0"/>
        <v>0</v>
      </c>
      <c r="M12" s="92">
        <f t="shared" si="1"/>
        <v>0</v>
      </c>
      <c r="N12" s="94">
        <f t="shared" si="2"/>
        <v>0</v>
      </c>
      <c r="O12" s="489">
        <v>0</v>
      </c>
      <c r="P12" s="94">
        <f t="shared" si="3"/>
        <v>0</v>
      </c>
    </row>
    <row r="13" spans="1:16">
      <c r="A13" s="91"/>
      <c r="B13" s="92">
        <v>8</v>
      </c>
      <c r="C13" s="481" t="s">
        <v>707</v>
      </c>
      <c r="D13" s="483" t="s">
        <v>708</v>
      </c>
      <c r="E13" s="92" t="s">
        <v>414</v>
      </c>
      <c r="F13" s="482">
        <v>0</v>
      </c>
      <c r="G13" s="91" t="s">
        <v>786</v>
      </c>
      <c r="H13" s="91"/>
      <c r="I13" s="91" t="s">
        <v>788</v>
      </c>
      <c r="J13" s="92">
        <v>1</v>
      </c>
      <c r="K13" s="482">
        <v>0</v>
      </c>
      <c r="L13" s="92">
        <f t="shared" si="0"/>
        <v>0</v>
      </c>
      <c r="M13" s="92">
        <f t="shared" si="1"/>
        <v>0</v>
      </c>
      <c r="N13" s="94">
        <f t="shared" si="2"/>
        <v>0</v>
      </c>
      <c r="O13" s="489">
        <v>0</v>
      </c>
      <c r="P13" s="94">
        <f t="shared" si="3"/>
        <v>0</v>
      </c>
    </row>
    <row r="14" spans="1:16">
      <c r="A14" s="91"/>
      <c r="B14" s="92">
        <v>9</v>
      </c>
      <c r="C14" s="481" t="s">
        <v>604</v>
      </c>
      <c r="D14" s="483" t="s">
        <v>709</v>
      </c>
      <c r="E14" s="92" t="s">
        <v>356</v>
      </c>
      <c r="F14" s="482">
        <v>0</v>
      </c>
      <c r="G14" s="91" t="s">
        <v>786</v>
      </c>
      <c r="H14" s="91"/>
      <c r="I14" s="91" t="s">
        <v>788</v>
      </c>
      <c r="J14" s="92">
        <v>1</v>
      </c>
      <c r="K14" s="482">
        <v>0</v>
      </c>
      <c r="L14" s="92">
        <f t="shared" si="0"/>
        <v>0</v>
      </c>
      <c r="M14" s="92">
        <f t="shared" si="1"/>
        <v>0</v>
      </c>
      <c r="N14" s="94">
        <f t="shared" si="2"/>
        <v>0</v>
      </c>
      <c r="O14" s="489">
        <v>0</v>
      </c>
      <c r="P14" s="94">
        <f t="shared" si="3"/>
        <v>0</v>
      </c>
    </row>
    <row r="15" spans="1:16">
      <c r="A15" s="91"/>
      <c r="B15" s="92">
        <v>10</v>
      </c>
      <c r="C15" s="481" t="s">
        <v>654</v>
      </c>
      <c r="D15" s="483" t="s">
        <v>710</v>
      </c>
      <c r="E15" s="92" t="s">
        <v>356</v>
      </c>
      <c r="F15" s="482">
        <v>1.31</v>
      </c>
      <c r="G15" s="91" t="s">
        <v>786</v>
      </c>
      <c r="H15" s="91"/>
      <c r="I15" s="91" t="s">
        <v>788</v>
      </c>
      <c r="J15" s="92">
        <v>1</v>
      </c>
      <c r="K15" s="482">
        <v>0</v>
      </c>
      <c r="L15" s="92">
        <f t="shared" si="0"/>
        <v>0</v>
      </c>
      <c r="M15" s="92">
        <f t="shared" si="1"/>
        <v>0</v>
      </c>
      <c r="N15" s="94">
        <f t="shared" si="2"/>
        <v>0</v>
      </c>
      <c r="O15" s="489">
        <v>0</v>
      </c>
      <c r="P15" s="94">
        <f t="shared" si="3"/>
        <v>0</v>
      </c>
    </row>
    <row r="16" spans="1:16">
      <c r="A16" s="91"/>
      <c r="B16" s="92">
        <v>11</v>
      </c>
      <c r="C16" s="481" t="s">
        <v>658</v>
      </c>
      <c r="D16" s="483" t="s">
        <v>711</v>
      </c>
      <c r="E16" s="92" t="s">
        <v>356</v>
      </c>
      <c r="F16" s="482">
        <v>1.2</v>
      </c>
      <c r="G16" s="91" t="s">
        <v>786</v>
      </c>
      <c r="H16" s="91"/>
      <c r="I16" s="91" t="s">
        <v>788</v>
      </c>
      <c r="J16" s="92">
        <v>1</v>
      </c>
      <c r="K16" s="482">
        <v>0</v>
      </c>
      <c r="L16" s="92">
        <f t="shared" si="0"/>
        <v>0</v>
      </c>
      <c r="M16" s="92">
        <f t="shared" si="1"/>
        <v>0</v>
      </c>
      <c r="N16" s="94">
        <f t="shared" si="2"/>
        <v>0</v>
      </c>
      <c r="O16" s="489">
        <v>0</v>
      </c>
      <c r="P16" s="94">
        <f t="shared" si="3"/>
        <v>0</v>
      </c>
    </row>
    <row r="17" spans="1:16">
      <c r="A17" s="91"/>
      <c r="B17" s="92">
        <v>12</v>
      </c>
      <c r="C17" s="481" t="s">
        <v>656</v>
      </c>
      <c r="D17" s="483" t="s">
        <v>712</v>
      </c>
      <c r="E17" s="92" t="s">
        <v>356</v>
      </c>
      <c r="F17" s="482">
        <v>1.38</v>
      </c>
      <c r="G17" s="91" t="s">
        <v>786</v>
      </c>
      <c r="H17" s="91"/>
      <c r="I17" s="91" t="s">
        <v>788</v>
      </c>
      <c r="J17" s="92">
        <v>1</v>
      </c>
      <c r="K17" s="482">
        <v>0</v>
      </c>
      <c r="L17" s="92">
        <f t="shared" si="0"/>
        <v>0</v>
      </c>
      <c r="M17" s="92">
        <f t="shared" si="1"/>
        <v>0</v>
      </c>
      <c r="N17" s="94">
        <f t="shared" si="2"/>
        <v>0</v>
      </c>
      <c r="O17" s="489">
        <v>0</v>
      </c>
      <c r="P17" s="94">
        <f t="shared" si="3"/>
        <v>0</v>
      </c>
    </row>
    <row r="18" spans="1:16">
      <c r="A18" s="91"/>
      <c r="B18" s="92">
        <v>13</v>
      </c>
      <c r="C18" s="481" t="s">
        <v>615</v>
      </c>
      <c r="D18" s="483" t="s">
        <v>713</v>
      </c>
      <c r="E18" s="92" t="s">
        <v>356</v>
      </c>
      <c r="F18" s="482">
        <v>1.45</v>
      </c>
      <c r="G18" s="91" t="s">
        <v>786</v>
      </c>
      <c r="H18" s="91"/>
      <c r="I18" s="91" t="s">
        <v>788</v>
      </c>
      <c r="J18" s="92">
        <v>1</v>
      </c>
      <c r="K18" s="482">
        <v>0</v>
      </c>
      <c r="L18" s="92">
        <f t="shared" si="0"/>
        <v>0</v>
      </c>
      <c r="M18" s="92">
        <f t="shared" si="1"/>
        <v>0</v>
      </c>
      <c r="N18" s="94">
        <f t="shared" si="2"/>
        <v>0</v>
      </c>
      <c r="O18" s="489">
        <v>0</v>
      </c>
      <c r="P18" s="94">
        <f t="shared" si="3"/>
        <v>0</v>
      </c>
    </row>
    <row r="19" spans="1:16">
      <c r="A19" s="91"/>
      <c r="B19" s="92">
        <v>14</v>
      </c>
      <c r="C19" s="481" t="s">
        <v>659</v>
      </c>
      <c r="D19" s="483" t="s">
        <v>714</v>
      </c>
      <c r="E19" s="92" t="s">
        <v>356</v>
      </c>
      <c r="F19" s="482">
        <v>1.6</v>
      </c>
      <c r="G19" s="91" t="s">
        <v>786</v>
      </c>
      <c r="H19" s="91"/>
      <c r="I19" s="91" t="s">
        <v>788</v>
      </c>
      <c r="J19" s="92">
        <v>1</v>
      </c>
      <c r="K19" s="482">
        <v>0</v>
      </c>
      <c r="L19" s="92">
        <f t="shared" si="0"/>
        <v>0</v>
      </c>
      <c r="M19" s="92">
        <f t="shared" si="1"/>
        <v>0</v>
      </c>
      <c r="N19" s="94">
        <f t="shared" si="2"/>
        <v>0</v>
      </c>
      <c r="O19" s="489">
        <v>0</v>
      </c>
      <c r="P19" s="94">
        <f t="shared" si="3"/>
        <v>0</v>
      </c>
    </row>
    <row r="20" spans="1:16">
      <c r="A20" s="91"/>
      <c r="B20" s="92">
        <v>15</v>
      </c>
      <c r="C20" s="481" t="s">
        <v>616</v>
      </c>
      <c r="D20" s="483" t="s">
        <v>715</v>
      </c>
      <c r="E20" s="92" t="s">
        <v>356</v>
      </c>
      <c r="F20" s="482">
        <v>1.5</v>
      </c>
      <c r="G20" s="91" t="s">
        <v>786</v>
      </c>
      <c r="H20" s="91"/>
      <c r="I20" s="91" t="s">
        <v>788</v>
      </c>
      <c r="J20" s="92">
        <v>1</v>
      </c>
      <c r="K20" s="482">
        <v>0</v>
      </c>
      <c r="L20" s="92">
        <f t="shared" si="0"/>
        <v>0</v>
      </c>
      <c r="M20" s="92">
        <f t="shared" si="1"/>
        <v>0</v>
      </c>
      <c r="N20" s="94">
        <f t="shared" si="2"/>
        <v>0</v>
      </c>
      <c r="O20" s="489">
        <v>0</v>
      </c>
      <c r="P20" s="94">
        <f t="shared" si="3"/>
        <v>0</v>
      </c>
    </row>
    <row r="21" spans="1:16">
      <c r="A21" s="91"/>
      <c r="B21" s="92">
        <v>16</v>
      </c>
      <c r="C21" s="481" t="s">
        <v>653</v>
      </c>
      <c r="D21" s="483" t="s">
        <v>716</v>
      </c>
      <c r="E21" s="92" t="s">
        <v>356</v>
      </c>
      <c r="F21" s="482">
        <v>1.5</v>
      </c>
      <c r="G21" s="91" t="s">
        <v>786</v>
      </c>
      <c r="H21" s="91"/>
      <c r="I21" s="91" t="s">
        <v>788</v>
      </c>
      <c r="J21" s="92">
        <v>1</v>
      </c>
      <c r="K21" s="482">
        <v>0</v>
      </c>
      <c r="L21" s="92">
        <f t="shared" si="0"/>
        <v>0</v>
      </c>
      <c r="M21" s="92">
        <f t="shared" si="1"/>
        <v>0</v>
      </c>
      <c r="N21" s="94">
        <f t="shared" si="2"/>
        <v>0</v>
      </c>
      <c r="O21" s="489">
        <v>0</v>
      </c>
      <c r="P21" s="94">
        <f t="shared" si="3"/>
        <v>0</v>
      </c>
    </row>
    <row r="22" spans="1:16">
      <c r="A22" s="91"/>
      <c r="B22" s="92">
        <v>17</v>
      </c>
      <c r="C22" s="481" t="s">
        <v>672</v>
      </c>
      <c r="D22" s="483" t="s">
        <v>717</v>
      </c>
      <c r="E22" s="92" t="s">
        <v>356</v>
      </c>
      <c r="F22" s="482">
        <v>1.6</v>
      </c>
      <c r="G22" s="91" t="s">
        <v>786</v>
      </c>
      <c r="H22" s="91"/>
      <c r="I22" s="91" t="s">
        <v>788</v>
      </c>
      <c r="J22" s="92">
        <v>1</v>
      </c>
      <c r="K22" s="482">
        <v>0</v>
      </c>
      <c r="L22" s="92">
        <f t="shared" si="0"/>
        <v>0</v>
      </c>
      <c r="M22" s="92">
        <f t="shared" si="1"/>
        <v>0</v>
      </c>
      <c r="N22" s="94">
        <f t="shared" si="2"/>
        <v>0</v>
      </c>
      <c r="O22" s="489">
        <v>0</v>
      </c>
      <c r="P22" s="94">
        <f t="shared" si="3"/>
        <v>0</v>
      </c>
    </row>
    <row r="23" spans="1:16">
      <c r="A23" s="91"/>
      <c r="B23" s="92">
        <v>18</v>
      </c>
      <c r="C23" s="481" t="s">
        <v>671</v>
      </c>
      <c r="D23" s="483" t="s">
        <v>718</v>
      </c>
      <c r="E23" s="92" t="s">
        <v>356</v>
      </c>
      <c r="F23" s="482">
        <v>1.5</v>
      </c>
      <c r="G23" s="91" t="s">
        <v>789</v>
      </c>
      <c r="H23" s="91"/>
      <c r="I23" s="91" t="s">
        <v>788</v>
      </c>
      <c r="J23" s="92">
        <v>1</v>
      </c>
      <c r="K23" s="482">
        <v>0</v>
      </c>
      <c r="L23" s="92">
        <f t="shared" si="0"/>
        <v>0</v>
      </c>
      <c r="M23" s="92">
        <f t="shared" si="1"/>
        <v>0</v>
      </c>
      <c r="N23" s="94">
        <f t="shared" si="2"/>
        <v>0</v>
      </c>
      <c r="O23" s="489">
        <v>0</v>
      </c>
      <c r="P23" s="94">
        <f t="shared" si="3"/>
        <v>0</v>
      </c>
    </row>
    <row r="24" spans="1:16">
      <c r="A24" s="91"/>
      <c r="B24" s="92">
        <v>19</v>
      </c>
      <c r="C24" s="481" t="s">
        <v>662</v>
      </c>
      <c r="D24" s="483" t="s">
        <v>719</v>
      </c>
      <c r="E24" s="92" t="s">
        <v>720</v>
      </c>
      <c r="F24" s="482">
        <v>1E-3</v>
      </c>
      <c r="G24" s="91" t="s">
        <v>786</v>
      </c>
      <c r="H24" s="91"/>
      <c r="I24" s="91" t="s">
        <v>788</v>
      </c>
      <c r="J24" s="92">
        <v>1</v>
      </c>
      <c r="K24" s="482">
        <v>0</v>
      </c>
      <c r="L24" s="92">
        <f t="shared" si="0"/>
        <v>0</v>
      </c>
      <c r="M24" s="92">
        <f t="shared" si="1"/>
        <v>0</v>
      </c>
      <c r="N24" s="94">
        <f t="shared" si="2"/>
        <v>0</v>
      </c>
      <c r="O24" s="489">
        <v>0</v>
      </c>
      <c r="P24" s="94">
        <f t="shared" si="3"/>
        <v>0</v>
      </c>
    </row>
    <row r="25" spans="1:16">
      <c r="A25" s="91"/>
      <c r="B25" s="92">
        <v>20</v>
      </c>
      <c r="C25" s="481" t="s">
        <v>626</v>
      </c>
      <c r="D25" s="483" t="s">
        <v>790</v>
      </c>
      <c r="E25" s="92" t="s">
        <v>468</v>
      </c>
      <c r="F25" s="482">
        <v>0</v>
      </c>
      <c r="G25" s="91" t="s">
        <v>786</v>
      </c>
      <c r="H25" s="91"/>
      <c r="I25" s="91" t="s">
        <v>788</v>
      </c>
      <c r="J25" s="92">
        <v>1</v>
      </c>
      <c r="K25" s="482">
        <v>0</v>
      </c>
      <c r="L25" s="92">
        <f t="shared" si="0"/>
        <v>0</v>
      </c>
      <c r="M25" s="92">
        <f t="shared" si="1"/>
        <v>0</v>
      </c>
      <c r="N25" s="94">
        <f t="shared" si="2"/>
        <v>0</v>
      </c>
      <c r="O25" s="489">
        <v>0</v>
      </c>
      <c r="P25" s="94">
        <f t="shared" si="3"/>
        <v>0</v>
      </c>
    </row>
    <row r="26" spans="1:16">
      <c r="A26" s="91"/>
      <c r="B26" s="92">
        <v>21</v>
      </c>
      <c r="C26" s="481" t="s">
        <v>618</v>
      </c>
      <c r="D26" s="483" t="s">
        <v>722</v>
      </c>
      <c r="E26" s="92" t="s">
        <v>356</v>
      </c>
      <c r="F26" s="482">
        <v>0.77</v>
      </c>
      <c r="G26" s="91" t="s">
        <v>786</v>
      </c>
      <c r="H26" s="91"/>
      <c r="I26" s="91" t="s">
        <v>788</v>
      </c>
      <c r="J26" s="92">
        <v>1</v>
      </c>
      <c r="K26" s="482">
        <v>0</v>
      </c>
      <c r="L26" s="92">
        <f t="shared" si="0"/>
        <v>0</v>
      </c>
      <c r="M26" s="92">
        <f t="shared" si="1"/>
        <v>0</v>
      </c>
      <c r="N26" s="94">
        <f t="shared" si="2"/>
        <v>0</v>
      </c>
      <c r="O26" s="489">
        <v>0</v>
      </c>
      <c r="P26" s="94">
        <f t="shared" si="3"/>
        <v>0</v>
      </c>
    </row>
    <row r="27" spans="1:16">
      <c r="A27" s="91"/>
      <c r="B27" s="92">
        <v>22</v>
      </c>
      <c r="C27" s="481" t="s">
        <v>682</v>
      </c>
      <c r="D27" s="483" t="s">
        <v>723</v>
      </c>
      <c r="E27" s="92" t="s">
        <v>356</v>
      </c>
      <c r="F27" s="482">
        <v>0.77</v>
      </c>
      <c r="G27" s="91" t="s">
        <v>786</v>
      </c>
      <c r="H27" s="91"/>
      <c r="I27" s="91" t="s">
        <v>788</v>
      </c>
      <c r="J27" s="92">
        <v>1</v>
      </c>
      <c r="K27" s="482">
        <v>0</v>
      </c>
      <c r="L27" s="92">
        <f t="shared" si="0"/>
        <v>0</v>
      </c>
      <c r="M27" s="92">
        <f t="shared" si="1"/>
        <v>0</v>
      </c>
      <c r="N27" s="94">
        <f t="shared" si="2"/>
        <v>0</v>
      </c>
      <c r="O27" s="489">
        <v>0</v>
      </c>
      <c r="P27" s="94">
        <f t="shared" si="3"/>
        <v>0</v>
      </c>
    </row>
    <row r="28" spans="1:16">
      <c r="A28" s="91"/>
      <c r="B28" s="92">
        <v>23</v>
      </c>
      <c r="C28" s="481" t="s">
        <v>636</v>
      </c>
      <c r="D28" s="483" t="s">
        <v>725</v>
      </c>
      <c r="E28" s="92" t="s">
        <v>726</v>
      </c>
      <c r="F28" s="482">
        <v>0</v>
      </c>
      <c r="G28" s="91" t="s">
        <v>786</v>
      </c>
      <c r="H28" s="91"/>
      <c r="I28" s="91" t="s">
        <v>788</v>
      </c>
      <c r="J28" s="92">
        <v>1</v>
      </c>
      <c r="K28" s="482">
        <v>0</v>
      </c>
      <c r="L28" s="92">
        <f t="shared" si="0"/>
        <v>0</v>
      </c>
      <c r="M28" s="92">
        <f t="shared" si="1"/>
        <v>0</v>
      </c>
      <c r="N28" s="94">
        <f t="shared" si="2"/>
        <v>0</v>
      </c>
      <c r="O28" s="489">
        <v>0</v>
      </c>
      <c r="P28" s="94">
        <f t="shared" si="3"/>
        <v>0</v>
      </c>
    </row>
    <row r="29" spans="1:16">
      <c r="A29" s="91"/>
      <c r="B29" s="92">
        <v>24</v>
      </c>
      <c r="C29" s="481" t="s">
        <v>631</v>
      </c>
      <c r="D29" s="483" t="s">
        <v>727</v>
      </c>
      <c r="E29" s="92" t="s">
        <v>720</v>
      </c>
      <c r="F29" s="482">
        <v>1E-3</v>
      </c>
      <c r="G29" s="91" t="s">
        <v>786</v>
      </c>
      <c r="H29" s="91"/>
      <c r="I29" s="91" t="s">
        <v>788</v>
      </c>
      <c r="J29" s="92">
        <v>1</v>
      </c>
      <c r="K29" s="482">
        <v>0</v>
      </c>
      <c r="L29" s="92">
        <f t="shared" si="0"/>
        <v>0</v>
      </c>
      <c r="M29" s="92">
        <f t="shared" si="1"/>
        <v>0</v>
      </c>
      <c r="N29" s="94">
        <f t="shared" si="2"/>
        <v>0</v>
      </c>
      <c r="O29" s="489">
        <v>0</v>
      </c>
      <c r="P29" s="94">
        <f t="shared" si="3"/>
        <v>0</v>
      </c>
    </row>
    <row r="30" spans="1:16" ht="28.2">
      <c r="A30" s="91"/>
      <c r="B30" s="92">
        <v>25</v>
      </c>
      <c r="C30" s="481" t="s">
        <v>681</v>
      </c>
      <c r="D30" s="483" t="s">
        <v>728</v>
      </c>
      <c r="E30" s="92" t="s">
        <v>726</v>
      </c>
      <c r="F30" s="482">
        <v>0</v>
      </c>
      <c r="G30" s="91" t="s">
        <v>786</v>
      </c>
      <c r="H30" s="91"/>
      <c r="I30" s="91" t="s">
        <v>788</v>
      </c>
      <c r="J30" s="92">
        <v>1</v>
      </c>
      <c r="K30" s="482">
        <v>0</v>
      </c>
      <c r="L30" s="92">
        <f t="shared" si="0"/>
        <v>0</v>
      </c>
      <c r="M30" s="92">
        <f t="shared" si="1"/>
        <v>0</v>
      </c>
      <c r="N30" s="94">
        <f t="shared" si="2"/>
        <v>0</v>
      </c>
      <c r="O30" s="489">
        <v>0</v>
      </c>
      <c r="P30" s="94">
        <f t="shared" si="3"/>
        <v>0</v>
      </c>
    </row>
    <row r="31" spans="1:16">
      <c r="A31" s="91"/>
      <c r="B31" s="92">
        <v>26</v>
      </c>
      <c r="C31" s="481" t="s">
        <v>729</v>
      </c>
      <c r="D31" s="483" t="s">
        <v>730</v>
      </c>
      <c r="E31" s="92" t="s">
        <v>720</v>
      </c>
      <c r="F31" s="482">
        <v>1E-3</v>
      </c>
      <c r="G31" s="91" t="s">
        <v>786</v>
      </c>
      <c r="H31" s="91"/>
      <c r="I31" s="91" t="s">
        <v>788</v>
      </c>
      <c r="J31" s="92">
        <v>1</v>
      </c>
      <c r="K31" s="482">
        <v>0</v>
      </c>
      <c r="L31" s="92">
        <f t="shared" si="0"/>
        <v>0</v>
      </c>
      <c r="M31" s="92">
        <f t="shared" si="1"/>
        <v>0</v>
      </c>
      <c r="N31" s="94">
        <f t="shared" si="2"/>
        <v>0</v>
      </c>
      <c r="O31" s="489">
        <v>0</v>
      </c>
      <c r="P31" s="94">
        <f t="shared" si="3"/>
        <v>0</v>
      </c>
    </row>
    <row r="32" spans="1:16">
      <c r="A32" s="91"/>
      <c r="B32" s="92">
        <v>27</v>
      </c>
      <c r="C32" s="481" t="s">
        <v>619</v>
      </c>
      <c r="D32" s="483" t="s">
        <v>731</v>
      </c>
      <c r="E32" s="92" t="s">
        <v>720</v>
      </c>
      <c r="F32" s="482">
        <v>1E-3</v>
      </c>
      <c r="G32" s="91" t="s">
        <v>791</v>
      </c>
      <c r="H32" s="91"/>
      <c r="I32" s="91" t="s">
        <v>788</v>
      </c>
      <c r="J32" s="92">
        <v>1</v>
      </c>
      <c r="K32" s="482">
        <v>0</v>
      </c>
      <c r="L32" s="92">
        <f t="shared" si="0"/>
        <v>0</v>
      </c>
      <c r="M32" s="92">
        <f t="shared" si="1"/>
        <v>0</v>
      </c>
      <c r="N32" s="94">
        <f t="shared" si="2"/>
        <v>0</v>
      </c>
      <c r="O32" s="489">
        <v>0</v>
      </c>
      <c r="P32" s="94">
        <f t="shared" si="3"/>
        <v>0</v>
      </c>
    </row>
    <row r="33" spans="1:16">
      <c r="A33" s="91"/>
      <c r="B33" s="92">
        <v>28</v>
      </c>
      <c r="C33" s="481" t="s">
        <v>646</v>
      </c>
      <c r="D33" s="483" t="s">
        <v>732</v>
      </c>
      <c r="E33" s="92" t="s">
        <v>720</v>
      </c>
      <c r="F33" s="482">
        <v>1E-3</v>
      </c>
      <c r="G33" s="91" t="s">
        <v>792</v>
      </c>
      <c r="H33" s="91"/>
      <c r="I33" s="91" t="s">
        <v>788</v>
      </c>
      <c r="J33" s="92">
        <v>1</v>
      </c>
      <c r="K33" s="482">
        <v>0</v>
      </c>
      <c r="L33" s="92">
        <f t="shared" si="0"/>
        <v>0</v>
      </c>
      <c r="M33" s="92">
        <f t="shared" si="1"/>
        <v>0</v>
      </c>
      <c r="N33" s="94">
        <f t="shared" si="2"/>
        <v>0</v>
      </c>
      <c r="O33" s="489">
        <v>0</v>
      </c>
      <c r="P33" s="94">
        <f t="shared" si="3"/>
        <v>0</v>
      </c>
    </row>
    <row r="34" spans="1:16">
      <c r="A34" s="91"/>
      <c r="B34" s="92">
        <v>29</v>
      </c>
      <c r="C34" s="481" t="s">
        <v>617</v>
      </c>
      <c r="D34" s="483" t="s">
        <v>733</v>
      </c>
      <c r="E34" s="92" t="s">
        <v>734</v>
      </c>
      <c r="F34" s="482">
        <v>0</v>
      </c>
      <c r="G34" s="91" t="s">
        <v>786</v>
      </c>
      <c r="H34" s="91"/>
      <c r="I34" s="91" t="s">
        <v>788</v>
      </c>
      <c r="J34" s="92">
        <v>1</v>
      </c>
      <c r="K34" s="482">
        <v>0</v>
      </c>
      <c r="L34" s="92">
        <f t="shared" si="0"/>
        <v>0</v>
      </c>
      <c r="M34" s="92">
        <f t="shared" si="1"/>
        <v>0</v>
      </c>
      <c r="N34" s="94">
        <f t="shared" si="2"/>
        <v>0</v>
      </c>
      <c r="O34" s="489">
        <v>0</v>
      </c>
      <c r="P34" s="94">
        <f t="shared" si="3"/>
        <v>0</v>
      </c>
    </row>
    <row r="35" spans="1:16">
      <c r="A35" s="91"/>
      <c r="B35" s="92">
        <v>30</v>
      </c>
      <c r="C35" s="481" t="s">
        <v>735</v>
      </c>
      <c r="D35" s="483" t="s">
        <v>736</v>
      </c>
      <c r="E35" s="92" t="s">
        <v>414</v>
      </c>
      <c r="F35" s="482">
        <v>0</v>
      </c>
      <c r="G35" s="91" t="s">
        <v>791</v>
      </c>
      <c r="H35" s="91"/>
      <c r="I35" s="91" t="s">
        <v>788</v>
      </c>
      <c r="J35" s="92">
        <v>1</v>
      </c>
      <c r="K35" s="482">
        <v>0</v>
      </c>
      <c r="L35" s="92">
        <f t="shared" si="0"/>
        <v>0</v>
      </c>
      <c r="M35" s="92">
        <f t="shared" si="1"/>
        <v>0</v>
      </c>
      <c r="N35" s="94">
        <f t="shared" si="2"/>
        <v>0</v>
      </c>
      <c r="O35" s="489">
        <v>0</v>
      </c>
      <c r="P35" s="94">
        <f t="shared" si="3"/>
        <v>0</v>
      </c>
    </row>
    <row r="36" spans="1:16" ht="28.2">
      <c r="A36" s="91"/>
      <c r="B36" s="92">
        <v>31</v>
      </c>
      <c r="C36" s="481" t="s">
        <v>680</v>
      </c>
      <c r="D36" s="483" t="s">
        <v>737</v>
      </c>
      <c r="E36" s="92" t="s">
        <v>414</v>
      </c>
      <c r="F36" s="482">
        <v>0</v>
      </c>
      <c r="G36" s="91" t="s">
        <v>786</v>
      </c>
      <c r="H36" s="91"/>
      <c r="I36" s="91" t="s">
        <v>788</v>
      </c>
      <c r="J36" s="92">
        <v>1</v>
      </c>
      <c r="K36" s="482">
        <v>0</v>
      </c>
      <c r="L36" s="92">
        <f t="shared" si="0"/>
        <v>0</v>
      </c>
      <c r="M36" s="92">
        <f t="shared" si="1"/>
        <v>0</v>
      </c>
      <c r="N36" s="94">
        <f t="shared" si="2"/>
        <v>0</v>
      </c>
      <c r="O36" s="489">
        <v>0</v>
      </c>
      <c r="P36" s="94">
        <f t="shared" si="3"/>
        <v>0</v>
      </c>
    </row>
    <row r="37" spans="1:16">
      <c r="A37" s="91"/>
      <c r="B37" s="92">
        <v>32</v>
      </c>
      <c r="C37" s="481" t="s">
        <v>639</v>
      </c>
      <c r="D37" s="483" t="s">
        <v>738</v>
      </c>
      <c r="E37" s="92" t="s">
        <v>720</v>
      </c>
      <c r="F37" s="482">
        <v>1E-3</v>
      </c>
      <c r="G37" s="91" t="s">
        <v>786</v>
      </c>
      <c r="H37" s="91"/>
      <c r="I37" s="91" t="s">
        <v>788</v>
      </c>
      <c r="J37" s="92">
        <v>1</v>
      </c>
      <c r="K37" s="482">
        <v>0</v>
      </c>
      <c r="L37" s="92">
        <f t="shared" si="0"/>
        <v>0</v>
      </c>
      <c r="M37" s="92">
        <f t="shared" si="1"/>
        <v>0</v>
      </c>
      <c r="N37" s="94">
        <f t="shared" si="2"/>
        <v>0</v>
      </c>
      <c r="O37" s="489">
        <v>0</v>
      </c>
      <c r="P37" s="94">
        <f t="shared" si="3"/>
        <v>0</v>
      </c>
    </row>
    <row r="38" spans="1:16">
      <c r="A38" s="91"/>
      <c r="B38" s="92">
        <v>33</v>
      </c>
      <c r="C38" s="481" t="s">
        <v>628</v>
      </c>
      <c r="D38" s="483" t="s">
        <v>739</v>
      </c>
      <c r="E38" s="92" t="s">
        <v>720</v>
      </c>
      <c r="F38" s="482">
        <v>1E-3</v>
      </c>
      <c r="G38" s="91" t="s">
        <v>786</v>
      </c>
      <c r="H38" s="91"/>
      <c r="I38" s="91" t="s">
        <v>788</v>
      </c>
      <c r="J38" s="92">
        <v>1</v>
      </c>
      <c r="K38" s="482">
        <v>0</v>
      </c>
      <c r="L38" s="92">
        <f t="shared" si="0"/>
        <v>0</v>
      </c>
      <c r="M38" s="92">
        <f t="shared" si="1"/>
        <v>0</v>
      </c>
      <c r="N38" s="94">
        <f t="shared" si="2"/>
        <v>0</v>
      </c>
      <c r="O38" s="489">
        <v>0</v>
      </c>
      <c r="P38" s="94">
        <f t="shared" si="3"/>
        <v>0</v>
      </c>
    </row>
    <row r="39" spans="1:16">
      <c r="A39" s="91"/>
      <c r="B39" s="92">
        <v>34</v>
      </c>
      <c r="C39" s="481" t="s">
        <v>632</v>
      </c>
      <c r="D39" s="483" t="s">
        <v>740</v>
      </c>
      <c r="E39" s="92" t="s">
        <v>720</v>
      </c>
      <c r="F39" s="482">
        <v>1E-3</v>
      </c>
      <c r="G39" s="91" t="s">
        <v>789</v>
      </c>
      <c r="H39" s="91"/>
      <c r="I39" s="91" t="s">
        <v>788</v>
      </c>
      <c r="J39" s="92">
        <v>1</v>
      </c>
      <c r="K39" s="482">
        <v>0</v>
      </c>
      <c r="L39" s="92">
        <f t="shared" si="0"/>
        <v>0</v>
      </c>
      <c r="M39" s="92">
        <f t="shared" si="1"/>
        <v>0</v>
      </c>
      <c r="N39" s="94">
        <f t="shared" si="2"/>
        <v>0</v>
      </c>
      <c r="O39" s="489">
        <v>0</v>
      </c>
      <c r="P39" s="94">
        <f t="shared" si="3"/>
        <v>0</v>
      </c>
    </row>
    <row r="40" spans="1:16">
      <c r="A40" s="91"/>
      <c r="B40" s="92">
        <v>35</v>
      </c>
      <c r="C40" s="481" t="s">
        <v>664</v>
      </c>
      <c r="D40" s="483" t="s">
        <v>741</v>
      </c>
      <c r="E40" s="92" t="s">
        <v>720</v>
      </c>
      <c r="F40" s="482">
        <v>1E-3</v>
      </c>
      <c r="G40" s="91" t="s">
        <v>791</v>
      </c>
      <c r="H40" s="91"/>
      <c r="I40" s="91" t="s">
        <v>788</v>
      </c>
      <c r="J40" s="92">
        <v>1</v>
      </c>
      <c r="K40" s="482">
        <v>0</v>
      </c>
      <c r="L40" s="92">
        <f t="shared" si="0"/>
        <v>0</v>
      </c>
      <c r="M40" s="92">
        <f t="shared" si="1"/>
        <v>0</v>
      </c>
      <c r="N40" s="94">
        <f t="shared" si="2"/>
        <v>0</v>
      </c>
      <c r="O40" s="489">
        <v>0</v>
      </c>
      <c r="P40" s="94">
        <f t="shared" si="3"/>
        <v>0</v>
      </c>
    </row>
    <row r="41" spans="1:16">
      <c r="A41" s="91"/>
      <c r="B41" s="92">
        <v>36</v>
      </c>
      <c r="C41" s="481" t="s">
        <v>627</v>
      </c>
      <c r="D41" s="483" t="s">
        <v>742</v>
      </c>
      <c r="E41" s="92" t="s">
        <v>720</v>
      </c>
      <c r="F41" s="482">
        <v>1E-3</v>
      </c>
      <c r="G41" s="91" t="s">
        <v>791</v>
      </c>
      <c r="H41" s="91"/>
      <c r="I41" s="91" t="s">
        <v>788</v>
      </c>
      <c r="J41" s="92">
        <v>1</v>
      </c>
      <c r="K41" s="482">
        <v>0</v>
      </c>
      <c r="L41" s="92">
        <f t="shared" si="0"/>
        <v>0</v>
      </c>
      <c r="M41" s="92">
        <f t="shared" si="1"/>
        <v>0</v>
      </c>
      <c r="N41" s="94">
        <f t="shared" si="2"/>
        <v>0</v>
      </c>
      <c r="O41" s="489">
        <v>0</v>
      </c>
      <c r="P41" s="94">
        <f t="shared" si="3"/>
        <v>0</v>
      </c>
    </row>
    <row r="42" spans="1:16">
      <c r="A42" s="91"/>
      <c r="B42" s="92">
        <v>37</v>
      </c>
      <c r="C42" s="481" t="s">
        <v>663</v>
      </c>
      <c r="D42" s="483" t="s">
        <v>743</v>
      </c>
      <c r="E42" s="92" t="s">
        <v>720</v>
      </c>
      <c r="F42" s="482">
        <v>1E-3</v>
      </c>
      <c r="G42" s="91" t="s">
        <v>791</v>
      </c>
      <c r="H42" s="91"/>
      <c r="I42" s="91" t="s">
        <v>788</v>
      </c>
      <c r="J42" s="92">
        <v>1</v>
      </c>
      <c r="K42" s="482">
        <v>0</v>
      </c>
      <c r="L42" s="92">
        <f t="shared" si="0"/>
        <v>0</v>
      </c>
      <c r="M42" s="92">
        <f t="shared" si="1"/>
        <v>0</v>
      </c>
      <c r="N42" s="94">
        <f t="shared" si="2"/>
        <v>0</v>
      </c>
      <c r="O42" s="489">
        <v>0</v>
      </c>
      <c r="P42" s="94">
        <f t="shared" si="3"/>
        <v>0</v>
      </c>
    </row>
    <row r="43" spans="1:16">
      <c r="A43" s="91"/>
      <c r="B43" s="92">
        <v>38</v>
      </c>
      <c r="C43" s="481" t="s">
        <v>666</v>
      </c>
      <c r="D43" s="483" t="s">
        <v>744</v>
      </c>
      <c r="E43" s="92" t="s">
        <v>720</v>
      </c>
      <c r="F43" s="482">
        <v>1E-3</v>
      </c>
      <c r="G43" s="91" t="s">
        <v>789</v>
      </c>
      <c r="H43" s="91"/>
      <c r="I43" s="91" t="s">
        <v>788</v>
      </c>
      <c r="J43" s="92">
        <v>1</v>
      </c>
      <c r="K43" s="482">
        <v>0</v>
      </c>
      <c r="L43" s="92">
        <f t="shared" si="0"/>
        <v>0</v>
      </c>
      <c r="M43" s="92">
        <f t="shared" si="1"/>
        <v>0</v>
      </c>
      <c r="N43" s="94">
        <f t="shared" si="2"/>
        <v>0</v>
      </c>
      <c r="O43" s="489">
        <v>0</v>
      </c>
      <c r="P43" s="94">
        <f t="shared" si="3"/>
        <v>0</v>
      </c>
    </row>
    <row r="44" spans="1:16">
      <c r="A44" s="91"/>
      <c r="B44" s="92">
        <v>39</v>
      </c>
      <c r="C44" s="481" t="s">
        <v>661</v>
      </c>
      <c r="D44" s="483" t="s">
        <v>745</v>
      </c>
      <c r="E44" s="92" t="s">
        <v>720</v>
      </c>
      <c r="F44" s="482">
        <v>1E-3</v>
      </c>
      <c r="G44" s="91" t="s">
        <v>789</v>
      </c>
      <c r="H44" s="91"/>
      <c r="I44" s="91" t="s">
        <v>788</v>
      </c>
      <c r="J44" s="92">
        <v>1</v>
      </c>
      <c r="K44" s="482">
        <v>0</v>
      </c>
      <c r="L44" s="92">
        <f t="shared" si="0"/>
        <v>0</v>
      </c>
      <c r="M44" s="92">
        <f t="shared" si="1"/>
        <v>0</v>
      </c>
      <c r="N44" s="94">
        <f t="shared" si="2"/>
        <v>0</v>
      </c>
      <c r="O44" s="489">
        <v>0</v>
      </c>
      <c r="P44" s="94">
        <f t="shared" si="3"/>
        <v>0</v>
      </c>
    </row>
    <row r="45" spans="1:16">
      <c r="A45" s="91"/>
      <c r="B45" s="92">
        <v>40</v>
      </c>
      <c r="C45" s="481" t="s">
        <v>670</v>
      </c>
      <c r="D45" s="483" t="s">
        <v>746</v>
      </c>
      <c r="E45" s="92" t="s">
        <v>720</v>
      </c>
      <c r="F45" s="482">
        <v>1E-3</v>
      </c>
      <c r="G45" s="91" t="s">
        <v>789</v>
      </c>
      <c r="H45" s="91"/>
      <c r="I45" s="91" t="s">
        <v>788</v>
      </c>
      <c r="J45" s="92">
        <v>1</v>
      </c>
      <c r="K45" s="482">
        <v>0</v>
      </c>
      <c r="L45" s="92">
        <f t="shared" si="0"/>
        <v>0</v>
      </c>
      <c r="M45" s="92">
        <f t="shared" si="1"/>
        <v>0</v>
      </c>
      <c r="N45" s="94">
        <f t="shared" si="2"/>
        <v>0</v>
      </c>
      <c r="O45" s="489">
        <v>0</v>
      </c>
      <c r="P45" s="94">
        <f t="shared" si="3"/>
        <v>0</v>
      </c>
    </row>
    <row r="46" spans="1:16">
      <c r="A46" s="91"/>
      <c r="B46" s="92">
        <v>41</v>
      </c>
      <c r="C46" s="481" t="s">
        <v>614</v>
      </c>
      <c r="D46" s="483" t="s">
        <v>747</v>
      </c>
      <c r="E46" s="92" t="s">
        <v>720</v>
      </c>
      <c r="F46" s="482">
        <v>1E-3</v>
      </c>
      <c r="G46" s="91" t="s">
        <v>789</v>
      </c>
      <c r="H46" s="91"/>
      <c r="I46" s="91" t="s">
        <v>788</v>
      </c>
      <c r="J46" s="92">
        <v>1</v>
      </c>
      <c r="K46" s="482">
        <v>0</v>
      </c>
      <c r="L46" s="92">
        <f t="shared" si="0"/>
        <v>0</v>
      </c>
      <c r="M46" s="92">
        <f t="shared" si="1"/>
        <v>0</v>
      </c>
      <c r="N46" s="94">
        <f t="shared" si="2"/>
        <v>0</v>
      </c>
      <c r="O46" s="489">
        <v>0</v>
      </c>
      <c r="P46" s="94">
        <f t="shared" si="3"/>
        <v>0</v>
      </c>
    </row>
    <row r="47" spans="1:16">
      <c r="A47" s="91"/>
      <c r="B47" s="92">
        <v>42</v>
      </c>
      <c r="C47" s="481" t="s">
        <v>648</v>
      </c>
      <c r="D47" s="483" t="s">
        <v>748</v>
      </c>
      <c r="E47" s="92" t="s">
        <v>356</v>
      </c>
      <c r="F47" s="482">
        <v>0</v>
      </c>
      <c r="G47" s="91" t="s">
        <v>786</v>
      </c>
      <c r="H47" s="91"/>
      <c r="I47" s="91" t="s">
        <v>788</v>
      </c>
      <c r="J47" s="92">
        <v>1</v>
      </c>
      <c r="K47" s="482">
        <v>0</v>
      </c>
      <c r="L47" s="92">
        <f t="shared" si="0"/>
        <v>0</v>
      </c>
      <c r="M47" s="92">
        <f t="shared" si="1"/>
        <v>0</v>
      </c>
      <c r="N47" s="94">
        <f t="shared" si="2"/>
        <v>0</v>
      </c>
      <c r="O47" s="489">
        <v>0</v>
      </c>
      <c r="P47" s="94">
        <f t="shared" si="3"/>
        <v>0</v>
      </c>
    </row>
    <row r="48" spans="1:16">
      <c r="A48" s="91"/>
      <c r="B48" s="92">
        <v>43</v>
      </c>
      <c r="C48" s="481" t="s">
        <v>649</v>
      </c>
      <c r="D48" s="483" t="s">
        <v>749</v>
      </c>
      <c r="E48" s="92" t="s">
        <v>356</v>
      </c>
      <c r="F48" s="482">
        <v>0</v>
      </c>
      <c r="G48" s="91" t="s">
        <v>786</v>
      </c>
      <c r="H48" s="91"/>
      <c r="I48" s="91" t="s">
        <v>788</v>
      </c>
      <c r="J48" s="92">
        <v>1</v>
      </c>
      <c r="K48" s="482">
        <v>0</v>
      </c>
      <c r="L48" s="92">
        <f t="shared" si="0"/>
        <v>0</v>
      </c>
      <c r="M48" s="92">
        <f t="shared" si="1"/>
        <v>0</v>
      </c>
      <c r="N48" s="94">
        <f t="shared" si="2"/>
        <v>0</v>
      </c>
      <c r="O48" s="489">
        <v>0</v>
      </c>
      <c r="P48" s="94">
        <f t="shared" si="3"/>
        <v>0</v>
      </c>
    </row>
    <row r="49" spans="1:16">
      <c r="A49" s="91"/>
      <c r="B49" s="92">
        <v>44</v>
      </c>
      <c r="C49" s="481" t="s">
        <v>650</v>
      </c>
      <c r="D49" s="483" t="s">
        <v>750</v>
      </c>
      <c r="E49" s="92" t="s">
        <v>356</v>
      </c>
      <c r="F49" s="482">
        <v>0</v>
      </c>
      <c r="G49" s="91" t="s">
        <v>786</v>
      </c>
      <c r="H49" s="91"/>
      <c r="I49" s="91" t="s">
        <v>788</v>
      </c>
      <c r="J49" s="92">
        <v>1</v>
      </c>
      <c r="K49" s="482">
        <v>0</v>
      </c>
      <c r="L49" s="92">
        <f t="shared" si="0"/>
        <v>0</v>
      </c>
      <c r="M49" s="92">
        <f t="shared" si="1"/>
        <v>0</v>
      </c>
      <c r="N49" s="94">
        <f t="shared" si="2"/>
        <v>0</v>
      </c>
      <c r="O49" s="489">
        <v>0</v>
      </c>
      <c r="P49" s="94">
        <f t="shared" si="3"/>
        <v>0</v>
      </c>
    </row>
    <row r="50" spans="1:16" ht="28.2">
      <c r="A50" s="95"/>
      <c r="B50" s="96">
        <v>45</v>
      </c>
      <c r="C50" s="484" t="s">
        <v>655</v>
      </c>
      <c r="D50" s="485" t="s">
        <v>751</v>
      </c>
      <c r="E50" s="96" t="s">
        <v>752</v>
      </c>
      <c r="F50" s="486">
        <v>2.3E-3</v>
      </c>
      <c r="G50" s="95" t="s">
        <v>786</v>
      </c>
      <c r="H50" s="95"/>
      <c r="I50" s="95" t="s">
        <v>788</v>
      </c>
      <c r="J50" s="96">
        <v>1</v>
      </c>
      <c r="K50" s="486">
        <v>0</v>
      </c>
      <c r="L50" s="96">
        <f t="shared" si="0"/>
        <v>0</v>
      </c>
      <c r="M50" s="96">
        <f t="shared" si="1"/>
        <v>0</v>
      </c>
      <c r="N50" s="98">
        <f t="shared" si="2"/>
        <v>0</v>
      </c>
      <c r="O50" s="490">
        <v>0</v>
      </c>
      <c r="P50" s="98">
        <f t="shared" si="3"/>
        <v>0</v>
      </c>
    </row>
    <row r="51" spans="1:16">
      <c r="A51" s="219"/>
      <c r="B51" s="219"/>
      <c r="C51" s="220"/>
      <c r="D51" s="487"/>
      <c r="E51" s="219"/>
      <c r="F51" s="219"/>
      <c r="G51" s="219"/>
      <c r="H51" s="219"/>
      <c r="I51" s="219"/>
      <c r="J51" s="219"/>
      <c r="K51" s="219"/>
      <c r="L51" s="219"/>
      <c r="M51" s="219"/>
      <c r="N51" s="219"/>
      <c r="O51" s="219"/>
      <c r="P51" s="219"/>
    </row>
    <row r="52" spans="1:16">
      <c r="A52" s="219"/>
      <c r="B52" s="219"/>
      <c r="C52" s="220"/>
      <c r="D52" s="487"/>
      <c r="E52" s="219"/>
      <c r="F52" s="219"/>
      <c r="G52" s="219"/>
      <c r="H52" s="219"/>
      <c r="I52" s="219"/>
      <c r="J52" s="219"/>
      <c r="K52" s="219"/>
      <c r="L52" s="219"/>
      <c r="M52" s="219"/>
      <c r="N52" s="219"/>
      <c r="O52" s="219"/>
      <c r="P52" s="219"/>
    </row>
  </sheetData>
  <mergeCells count="16">
    <mergeCell ref="A1:P1"/>
    <mergeCell ref="A2:P2"/>
    <mergeCell ref="A3:P3"/>
    <mergeCell ref="I4:J4"/>
    <mergeCell ref="K4:M4"/>
    <mergeCell ref="A4:A5"/>
    <mergeCell ref="B4:B5"/>
    <mergeCell ref="C4:C5"/>
    <mergeCell ref="D4:D5"/>
    <mergeCell ref="E4:E5"/>
    <mergeCell ref="F4:F5"/>
    <mergeCell ref="G4:G5"/>
    <mergeCell ref="H4:H5"/>
    <mergeCell ref="N4:N5"/>
    <mergeCell ref="O4:O5"/>
    <mergeCell ref="P4:P5"/>
  </mergeCells>
  <conditionalFormatting sqref="J6:K50">
    <cfRule type="cellIs" dxfId="7" priority="1" stopIfTrue="1" operator="equal">
      <formula>0</formula>
    </cfRule>
  </conditionalFormatting>
  <pageMargins left="0.75" right="0.75" top="0.79" bottom="0.79" header="0.3" footer="0.3"/>
  <pageSetup paperSize="9" scale="90" orientation="landscape" useFirstPageNumber="1"/>
  <headerFooter>
    <oddFooter>&amp;CTrang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00"/>
  <sheetViews>
    <sheetView showZeros="0" topLeftCell="A6" workbookViewId="0">
      <selection activeCell="H9" sqref="H9:Q9"/>
    </sheetView>
  </sheetViews>
  <sheetFormatPr defaultColWidth="9.21875" defaultRowHeight="13.8"/>
  <cols>
    <col min="1" max="1" width="4.44140625" style="146" customWidth="1"/>
    <col min="2" max="2" width="9.44140625" style="146" customWidth="1"/>
    <col min="3" max="3" width="23.77734375" style="146" customWidth="1"/>
    <col min="4" max="4" width="5.44140625" style="146" customWidth="1"/>
    <col min="5" max="5" width="14" style="146" customWidth="1"/>
    <col min="6" max="6" width="8" style="146" customWidth="1"/>
    <col min="7" max="7" width="11" style="146" customWidth="1"/>
    <col min="8" max="12" width="5.44140625" style="146" customWidth="1"/>
    <col min="13" max="13" width="7.21875" style="146" customWidth="1"/>
    <col min="14" max="14" width="8.44140625" style="146" customWidth="1"/>
    <col min="15" max="15" width="6.44140625" style="146" customWidth="1"/>
    <col min="16" max="16" width="8.44140625" style="146" customWidth="1"/>
    <col min="17" max="17" width="11.44140625" style="146" customWidth="1"/>
    <col min="18" max="19" width="10" style="146" customWidth="1"/>
    <col min="20" max="16384" width="9.21875" style="146"/>
  </cols>
  <sheetData>
    <row r="1" spans="1:17" ht="14.1" hidden="1" customHeight="1">
      <c r="A1" s="453" t="s">
        <v>859</v>
      </c>
      <c r="B1" s="453" t="s">
        <v>860</v>
      </c>
      <c r="C1" s="453" t="s">
        <v>861</v>
      </c>
      <c r="D1" s="453" t="s">
        <v>862</v>
      </c>
      <c r="E1" s="453" t="s">
        <v>863</v>
      </c>
      <c r="F1" s="453" t="s">
        <v>864</v>
      </c>
      <c r="G1" s="453" t="s">
        <v>865</v>
      </c>
      <c r="H1" s="453" t="s">
        <v>866</v>
      </c>
      <c r="I1" s="453"/>
      <c r="J1" s="453"/>
      <c r="K1" s="453"/>
      <c r="L1" s="453"/>
      <c r="M1" s="453" t="s">
        <v>867</v>
      </c>
      <c r="N1" s="453"/>
      <c r="O1" s="453" t="s">
        <v>868</v>
      </c>
      <c r="P1" s="453" t="s">
        <v>869</v>
      </c>
      <c r="Q1" s="453"/>
    </row>
    <row r="2" spans="1:17" ht="14.1" hidden="1" customHeight="1">
      <c r="A2" s="454">
        <v>1</v>
      </c>
      <c r="B2" s="454">
        <v>1</v>
      </c>
      <c r="C2" s="454">
        <v>1</v>
      </c>
      <c r="D2" s="454">
        <v>1</v>
      </c>
      <c r="E2" s="454">
        <v>0</v>
      </c>
      <c r="F2" s="454">
        <v>1</v>
      </c>
      <c r="G2" s="454"/>
      <c r="H2" s="454">
        <v>1</v>
      </c>
      <c r="I2" s="454"/>
      <c r="J2" s="454"/>
      <c r="K2" s="454"/>
      <c r="L2" s="454"/>
      <c r="M2" s="454">
        <v>1</v>
      </c>
      <c r="N2" s="454"/>
      <c r="O2" s="454">
        <v>1</v>
      </c>
      <c r="P2" s="454">
        <v>0</v>
      </c>
      <c r="Q2" s="454"/>
    </row>
    <row r="3" spans="1:17" ht="14.1" hidden="1" customHeight="1">
      <c r="A3" s="454">
        <v>0</v>
      </c>
      <c r="B3" s="454">
        <v>0</v>
      </c>
      <c r="C3" s="454">
        <v>0</v>
      </c>
      <c r="D3" s="454">
        <v>0</v>
      </c>
      <c r="E3" s="454">
        <v>0</v>
      </c>
      <c r="F3" s="454">
        <v>0</v>
      </c>
      <c r="G3" s="454">
        <v>0</v>
      </c>
      <c r="H3" s="454">
        <v>0</v>
      </c>
      <c r="I3" s="454"/>
      <c r="J3" s="454"/>
      <c r="K3" s="454"/>
      <c r="L3" s="454"/>
      <c r="M3" s="454">
        <v>0</v>
      </c>
      <c r="N3" s="454"/>
      <c r="O3" s="454">
        <v>0</v>
      </c>
      <c r="P3" s="454">
        <v>0</v>
      </c>
      <c r="Q3" s="454"/>
    </row>
    <row r="4" spans="1:17" ht="14.1" hidden="1" customHeight="1">
      <c r="A4" s="454"/>
      <c r="B4" s="454"/>
      <c r="C4" s="454"/>
      <c r="D4" s="454"/>
      <c r="E4" s="454"/>
      <c r="F4" s="454"/>
      <c r="G4" s="454"/>
      <c r="H4" s="454"/>
      <c r="I4" s="454"/>
      <c r="J4" s="454"/>
      <c r="K4" s="454"/>
      <c r="L4" s="454"/>
      <c r="M4" s="454"/>
      <c r="N4" s="454"/>
      <c r="O4" s="454"/>
      <c r="P4" s="454"/>
      <c r="Q4" s="454"/>
    </row>
    <row r="5" spans="1:17" ht="14.1" hidden="1" customHeight="1">
      <c r="A5" s="454"/>
      <c r="B5" s="454"/>
      <c r="C5" s="454"/>
      <c r="D5" s="454"/>
      <c r="E5" s="454"/>
      <c r="F5" s="454"/>
      <c r="G5" s="454"/>
      <c r="H5" s="454"/>
      <c r="I5" s="454"/>
      <c r="J5" s="454"/>
      <c r="K5" s="454"/>
      <c r="L5" s="454"/>
      <c r="M5" s="454"/>
      <c r="N5" s="454"/>
      <c r="O5" s="454"/>
      <c r="P5" s="454"/>
      <c r="Q5" s="454"/>
    </row>
    <row r="6" spans="1:17" ht="21.75" customHeight="1">
      <c r="A6" s="895" t="s">
        <v>870</v>
      </c>
      <c r="B6" s="895"/>
      <c r="C6" s="895"/>
      <c r="D6" s="895"/>
      <c r="E6" s="895"/>
      <c r="F6" s="895"/>
      <c r="G6" s="895"/>
      <c r="H6" s="895"/>
      <c r="I6" s="895"/>
      <c r="J6" s="895"/>
      <c r="K6" s="895"/>
      <c r="L6" s="895"/>
      <c r="M6" s="895"/>
      <c r="N6" s="895"/>
      <c r="O6" s="895"/>
      <c r="P6" s="895"/>
      <c r="Q6" s="895"/>
    </row>
    <row r="7" spans="1:17" ht="18" customHeight="1">
      <c r="A7" s="896" t="s">
        <v>254</v>
      </c>
      <c r="B7" s="964"/>
      <c r="C7" s="964"/>
      <c r="D7" s="964"/>
      <c r="E7" s="964"/>
      <c r="F7" s="964"/>
      <c r="G7" s="964"/>
      <c r="H7" s="964"/>
      <c r="I7" s="964"/>
      <c r="J7" s="964"/>
      <c r="K7" s="964"/>
      <c r="L7" s="964"/>
      <c r="M7" s="964"/>
      <c r="N7" s="964"/>
      <c r="O7" s="964"/>
      <c r="P7" s="964"/>
      <c r="Q7" s="964"/>
    </row>
    <row r="8" spans="1:17" ht="16.5" customHeight="1">
      <c r="A8" s="964" t="s">
        <v>763</v>
      </c>
      <c r="B8" s="964"/>
      <c r="C8" s="964"/>
      <c r="D8" s="964"/>
      <c r="E8" s="964"/>
      <c r="F8" s="964"/>
      <c r="G8" s="964"/>
      <c r="H8" s="964"/>
      <c r="I8" s="964"/>
      <c r="J8" s="964"/>
      <c r="K8" s="964"/>
      <c r="L8" s="964"/>
      <c r="M8" s="964"/>
      <c r="N8" s="964"/>
      <c r="O8" s="964"/>
      <c r="P8" s="964"/>
      <c r="Q8" s="964"/>
    </row>
    <row r="9" spans="1:17" ht="23.25" customHeight="1">
      <c r="A9" s="965" t="s">
        <v>871</v>
      </c>
      <c r="B9" s="965"/>
      <c r="C9" s="965"/>
      <c r="D9" s="965"/>
      <c r="E9" s="965"/>
      <c r="F9" s="965"/>
      <c r="G9" s="965"/>
      <c r="H9" s="966">
        <v>0</v>
      </c>
      <c r="I9" s="966"/>
      <c r="J9" s="966"/>
      <c r="K9" s="966"/>
      <c r="L9" s="966"/>
      <c r="M9" s="966"/>
      <c r="N9" s="966"/>
      <c r="O9" s="966"/>
      <c r="P9" s="966"/>
      <c r="Q9" s="966"/>
    </row>
    <row r="10" spans="1:17" ht="17.25" customHeight="1">
      <c r="A10" s="962" t="s">
        <v>5</v>
      </c>
      <c r="B10" s="958" t="s">
        <v>794</v>
      </c>
      <c r="C10" s="962" t="s">
        <v>686</v>
      </c>
      <c r="D10" s="962" t="s">
        <v>594</v>
      </c>
      <c r="E10" s="962" t="s">
        <v>797</v>
      </c>
      <c r="F10" s="958" t="s">
        <v>872</v>
      </c>
      <c r="G10" s="962" t="s">
        <v>770</v>
      </c>
      <c r="H10" s="962" t="s">
        <v>873</v>
      </c>
      <c r="I10" s="958" t="s">
        <v>874</v>
      </c>
      <c r="J10" s="958" t="s">
        <v>875</v>
      </c>
      <c r="K10" s="958" t="s">
        <v>876</v>
      </c>
      <c r="L10" s="958" t="s">
        <v>877</v>
      </c>
      <c r="M10" s="960" t="s">
        <v>595</v>
      </c>
      <c r="N10" s="961"/>
      <c r="O10" s="961"/>
      <c r="P10" s="961"/>
      <c r="Q10" s="958" t="s">
        <v>696</v>
      </c>
    </row>
    <row r="11" spans="1:17" ht="24.75" customHeight="1">
      <c r="A11" s="963"/>
      <c r="B11" s="959"/>
      <c r="C11" s="963"/>
      <c r="D11" s="963"/>
      <c r="E11" s="963"/>
      <c r="F11" s="959"/>
      <c r="G11" s="963"/>
      <c r="H11" s="963"/>
      <c r="I11" s="959"/>
      <c r="J11" s="959"/>
      <c r="K11" s="959"/>
      <c r="L11" s="959"/>
      <c r="M11" s="455" t="s">
        <v>878</v>
      </c>
      <c r="N11" s="455" t="s">
        <v>879</v>
      </c>
      <c r="O11" s="455" t="s">
        <v>880</v>
      </c>
      <c r="P11" s="455" t="s">
        <v>881</v>
      </c>
      <c r="Q11" s="959"/>
    </row>
    <row r="12" spans="1:17" ht="14.1" customHeight="1">
      <c r="A12" s="456">
        <v>1</v>
      </c>
      <c r="B12" s="673" t="s">
        <v>667</v>
      </c>
      <c r="C12" s="457" t="s">
        <v>699</v>
      </c>
      <c r="D12" s="456" t="s">
        <v>700</v>
      </c>
      <c r="E12" s="458"/>
      <c r="F12" s="459">
        <v>0</v>
      </c>
      <c r="G12" s="456"/>
      <c r="H12" s="460"/>
      <c r="I12" s="458" t="s">
        <v>882</v>
      </c>
      <c r="J12" s="457">
        <v>1</v>
      </c>
      <c r="K12" s="458" t="s">
        <v>883</v>
      </c>
      <c r="L12" s="457">
        <v>1</v>
      </c>
      <c r="M12" s="458">
        <v>0</v>
      </c>
      <c r="N12" s="458">
        <v>0</v>
      </c>
      <c r="O12" s="471">
        <v>0</v>
      </c>
      <c r="P12" s="471">
        <v>0</v>
      </c>
      <c r="Q12" s="475">
        <f>H9*IF(H12&gt;0,((I12+J12+K12+IF(H12&gt;10,(H12-10)*L12/10,0))/F12),0)</f>
        <v>0</v>
      </c>
    </row>
    <row r="13" spans="1:17" ht="14.1" customHeight="1">
      <c r="A13" s="461">
        <v>2</v>
      </c>
      <c r="B13" s="672" t="s">
        <v>669</v>
      </c>
      <c r="C13" s="462" t="s">
        <v>701</v>
      </c>
      <c r="D13" s="461" t="s">
        <v>700</v>
      </c>
      <c r="E13" s="463"/>
      <c r="F13" s="464">
        <v>0</v>
      </c>
      <c r="G13" s="461"/>
      <c r="H13" s="465"/>
      <c r="I13" s="463" t="s">
        <v>882</v>
      </c>
      <c r="J13" s="462">
        <v>1</v>
      </c>
      <c r="K13" s="463" t="s">
        <v>883</v>
      </c>
      <c r="L13" s="462">
        <v>1</v>
      </c>
      <c r="M13" s="463">
        <v>0</v>
      </c>
      <c r="N13" s="463">
        <v>0</v>
      </c>
      <c r="O13" s="472">
        <v>0</v>
      </c>
      <c r="P13" s="472">
        <v>0</v>
      </c>
      <c r="Q13" s="476"/>
    </row>
    <row r="14" spans="1:17" ht="14.1" customHeight="1">
      <c r="A14" s="461">
        <v>3</v>
      </c>
      <c r="B14" s="672" t="s">
        <v>679</v>
      </c>
      <c r="C14" s="462" t="s">
        <v>702</v>
      </c>
      <c r="D14" s="461" t="s">
        <v>700</v>
      </c>
      <c r="E14" s="463"/>
      <c r="F14" s="464">
        <v>0</v>
      </c>
      <c r="G14" s="461"/>
      <c r="H14" s="465"/>
      <c r="I14" s="463" t="s">
        <v>882</v>
      </c>
      <c r="J14" s="462">
        <v>1</v>
      </c>
      <c r="K14" s="463" t="s">
        <v>883</v>
      </c>
      <c r="L14" s="462">
        <v>1</v>
      </c>
      <c r="M14" s="463">
        <v>0</v>
      </c>
      <c r="N14" s="463">
        <v>0</v>
      </c>
      <c r="O14" s="472">
        <v>0</v>
      </c>
      <c r="P14" s="472">
        <v>0</v>
      </c>
      <c r="Q14" s="476"/>
    </row>
    <row r="15" spans="1:17" ht="14.1" customHeight="1">
      <c r="A15" s="461">
        <v>4</v>
      </c>
      <c r="B15" s="672" t="s">
        <v>677</v>
      </c>
      <c r="C15" s="462" t="s">
        <v>704</v>
      </c>
      <c r="D15" s="461" t="s">
        <v>700</v>
      </c>
      <c r="E15" s="463"/>
      <c r="F15" s="464">
        <v>0</v>
      </c>
      <c r="G15" s="461"/>
      <c r="H15" s="465"/>
      <c r="I15" s="463" t="s">
        <v>882</v>
      </c>
      <c r="J15" s="462">
        <v>1</v>
      </c>
      <c r="K15" s="463" t="s">
        <v>883</v>
      </c>
      <c r="L15" s="462">
        <v>1</v>
      </c>
      <c r="M15" s="463">
        <v>0</v>
      </c>
      <c r="N15" s="463">
        <v>0</v>
      </c>
      <c r="O15" s="472">
        <v>0</v>
      </c>
      <c r="P15" s="472">
        <v>0</v>
      </c>
      <c r="Q15" s="476"/>
    </row>
    <row r="16" spans="1:17" ht="14.1" customHeight="1">
      <c r="A16" s="461">
        <v>5</v>
      </c>
      <c r="B16" s="672" t="s">
        <v>677</v>
      </c>
      <c r="C16" s="462" t="s">
        <v>703</v>
      </c>
      <c r="D16" s="461" t="s">
        <v>700</v>
      </c>
      <c r="E16" s="463"/>
      <c r="F16" s="464">
        <v>0</v>
      </c>
      <c r="G16" s="461"/>
      <c r="H16" s="465"/>
      <c r="I16" s="463" t="s">
        <v>882</v>
      </c>
      <c r="J16" s="462">
        <v>1</v>
      </c>
      <c r="K16" s="463" t="s">
        <v>883</v>
      </c>
      <c r="L16" s="462">
        <v>1</v>
      </c>
      <c r="M16" s="463">
        <v>0</v>
      </c>
      <c r="N16" s="463">
        <v>0</v>
      </c>
      <c r="O16" s="472">
        <v>0</v>
      </c>
      <c r="P16" s="472">
        <v>0</v>
      </c>
      <c r="Q16" s="476"/>
    </row>
    <row r="17" spans="1:17" ht="14.1" customHeight="1">
      <c r="A17" s="461">
        <v>6</v>
      </c>
      <c r="B17" s="672" t="s">
        <v>678</v>
      </c>
      <c r="C17" s="462" t="s">
        <v>706</v>
      </c>
      <c r="D17" s="461" t="s">
        <v>700</v>
      </c>
      <c r="E17" s="463"/>
      <c r="F17" s="464">
        <v>0</v>
      </c>
      <c r="G17" s="461"/>
      <c r="H17" s="465"/>
      <c r="I17" s="463" t="s">
        <v>882</v>
      </c>
      <c r="J17" s="462">
        <v>1</v>
      </c>
      <c r="K17" s="463" t="s">
        <v>883</v>
      </c>
      <c r="L17" s="462">
        <v>1</v>
      </c>
      <c r="M17" s="463">
        <v>0</v>
      </c>
      <c r="N17" s="463">
        <v>0</v>
      </c>
      <c r="O17" s="472">
        <v>0</v>
      </c>
      <c r="P17" s="472">
        <v>0</v>
      </c>
      <c r="Q17" s="476"/>
    </row>
    <row r="18" spans="1:17" ht="14.1" customHeight="1">
      <c r="A18" s="461">
        <v>7</v>
      </c>
      <c r="B18" s="672" t="s">
        <v>678</v>
      </c>
      <c r="C18" s="462" t="s">
        <v>705</v>
      </c>
      <c r="D18" s="461" t="s">
        <v>700</v>
      </c>
      <c r="E18" s="463"/>
      <c r="F18" s="464">
        <v>0</v>
      </c>
      <c r="G18" s="461"/>
      <c r="H18" s="465"/>
      <c r="I18" s="463" t="s">
        <v>882</v>
      </c>
      <c r="J18" s="462">
        <v>1</v>
      </c>
      <c r="K18" s="463" t="s">
        <v>883</v>
      </c>
      <c r="L18" s="462">
        <v>1</v>
      </c>
      <c r="M18" s="463">
        <v>0</v>
      </c>
      <c r="N18" s="463">
        <v>0</v>
      </c>
      <c r="O18" s="472">
        <v>0</v>
      </c>
      <c r="P18" s="472">
        <v>0</v>
      </c>
      <c r="Q18" s="476"/>
    </row>
    <row r="19" spans="1:17" ht="14.1" customHeight="1">
      <c r="A19" s="461">
        <v>8</v>
      </c>
      <c r="B19" s="672" t="s">
        <v>707</v>
      </c>
      <c r="C19" s="462" t="s">
        <v>708</v>
      </c>
      <c r="D19" s="461" t="s">
        <v>414</v>
      </c>
      <c r="E19" s="463"/>
      <c r="F19" s="464">
        <v>0</v>
      </c>
      <c r="G19" s="461"/>
      <c r="H19" s="465"/>
      <c r="I19" s="463" t="s">
        <v>882</v>
      </c>
      <c r="J19" s="462">
        <v>1</v>
      </c>
      <c r="K19" s="463" t="s">
        <v>883</v>
      </c>
      <c r="L19" s="462">
        <v>1</v>
      </c>
      <c r="M19" s="463">
        <v>0</v>
      </c>
      <c r="N19" s="463">
        <v>0</v>
      </c>
      <c r="O19" s="472">
        <v>0</v>
      </c>
      <c r="P19" s="472">
        <v>0</v>
      </c>
      <c r="Q19" s="476"/>
    </row>
    <row r="20" spans="1:17" ht="14.1" customHeight="1">
      <c r="A20" s="461">
        <v>9</v>
      </c>
      <c r="B20" s="672" t="s">
        <v>604</v>
      </c>
      <c r="C20" s="462" t="s">
        <v>709</v>
      </c>
      <c r="D20" s="461" t="s">
        <v>356</v>
      </c>
      <c r="E20" s="463" t="s">
        <v>884</v>
      </c>
      <c r="F20" s="464">
        <v>1</v>
      </c>
      <c r="G20" s="461"/>
      <c r="H20" s="465"/>
      <c r="I20" s="463" t="s">
        <v>882</v>
      </c>
      <c r="J20" s="462">
        <v>1</v>
      </c>
      <c r="K20" s="463" t="s">
        <v>883</v>
      </c>
      <c r="L20" s="462">
        <v>1</v>
      </c>
      <c r="M20" s="463">
        <v>0.24</v>
      </c>
      <c r="N20" s="463">
        <v>0</v>
      </c>
      <c r="O20" s="472">
        <v>7.4999999999999997E-2</v>
      </c>
      <c r="P20" s="472">
        <v>8.9999999999999993E-3</v>
      </c>
      <c r="Q20" s="476"/>
    </row>
    <row r="21" spans="1:17" ht="14.1" customHeight="1">
      <c r="A21" s="461">
        <v>10</v>
      </c>
      <c r="B21" s="672" t="s">
        <v>654</v>
      </c>
      <c r="C21" s="462" t="s">
        <v>710</v>
      </c>
      <c r="D21" s="461" t="s">
        <v>356</v>
      </c>
      <c r="E21" s="463" t="s">
        <v>885</v>
      </c>
      <c r="F21" s="464">
        <v>1</v>
      </c>
      <c r="G21" s="461"/>
      <c r="H21" s="465"/>
      <c r="I21" s="463" t="s">
        <v>882</v>
      </c>
      <c r="J21" s="462">
        <v>1</v>
      </c>
      <c r="K21" s="463" t="s">
        <v>883</v>
      </c>
      <c r="L21" s="462">
        <v>1</v>
      </c>
      <c r="M21" s="463">
        <v>0.14000000000000001</v>
      </c>
      <c r="N21" s="463">
        <v>0</v>
      </c>
      <c r="O21" s="472">
        <v>7.4999999999999997E-2</v>
      </c>
      <c r="P21" s="472">
        <v>8.0000000000000002E-3</v>
      </c>
      <c r="Q21" s="476"/>
    </row>
    <row r="22" spans="1:17" ht="14.1" customHeight="1">
      <c r="A22" s="461">
        <v>11</v>
      </c>
      <c r="B22" s="672" t="s">
        <v>658</v>
      </c>
      <c r="C22" s="462" t="s">
        <v>711</v>
      </c>
      <c r="D22" s="461" t="s">
        <v>356</v>
      </c>
      <c r="E22" s="463" t="s">
        <v>885</v>
      </c>
      <c r="F22" s="464">
        <v>1</v>
      </c>
      <c r="G22" s="461"/>
      <c r="H22" s="465"/>
      <c r="I22" s="463" t="s">
        <v>882</v>
      </c>
      <c r="J22" s="462">
        <v>1</v>
      </c>
      <c r="K22" s="463" t="s">
        <v>883</v>
      </c>
      <c r="L22" s="462">
        <v>1</v>
      </c>
      <c r="M22" s="463">
        <v>0.14000000000000001</v>
      </c>
      <c r="N22" s="463">
        <v>0</v>
      </c>
      <c r="O22" s="472">
        <v>7.4999999999999997E-2</v>
      </c>
      <c r="P22" s="472">
        <v>8.0000000000000002E-3</v>
      </c>
      <c r="Q22" s="476"/>
    </row>
    <row r="23" spans="1:17" ht="14.1" customHeight="1">
      <c r="A23" s="461">
        <v>12</v>
      </c>
      <c r="B23" s="672" t="s">
        <v>656</v>
      </c>
      <c r="C23" s="462" t="s">
        <v>712</v>
      </c>
      <c r="D23" s="461" t="s">
        <v>356</v>
      </c>
      <c r="E23" s="463" t="s">
        <v>885</v>
      </c>
      <c r="F23" s="464">
        <v>1</v>
      </c>
      <c r="G23" s="461"/>
      <c r="H23" s="465"/>
      <c r="I23" s="463" t="s">
        <v>882</v>
      </c>
      <c r="J23" s="462">
        <v>1</v>
      </c>
      <c r="K23" s="463" t="s">
        <v>883</v>
      </c>
      <c r="L23" s="462">
        <v>1</v>
      </c>
      <c r="M23" s="463">
        <v>0.14000000000000001</v>
      </c>
      <c r="N23" s="463">
        <v>0</v>
      </c>
      <c r="O23" s="472">
        <v>7.4999999999999997E-2</v>
      </c>
      <c r="P23" s="472">
        <v>8.0000000000000002E-3</v>
      </c>
      <c r="Q23" s="476"/>
    </row>
    <row r="24" spans="1:17" ht="14.1" customHeight="1">
      <c r="A24" s="461">
        <v>13</v>
      </c>
      <c r="B24" s="672" t="s">
        <v>615</v>
      </c>
      <c r="C24" s="462" t="s">
        <v>713</v>
      </c>
      <c r="D24" s="461" t="s">
        <v>356</v>
      </c>
      <c r="E24" s="463" t="s">
        <v>885</v>
      </c>
      <c r="F24" s="464">
        <v>1</v>
      </c>
      <c r="G24" s="461"/>
      <c r="H24" s="465"/>
      <c r="I24" s="463" t="s">
        <v>882</v>
      </c>
      <c r="J24" s="462">
        <v>1</v>
      </c>
      <c r="K24" s="463" t="s">
        <v>883</v>
      </c>
      <c r="L24" s="462">
        <v>1</v>
      </c>
      <c r="M24" s="463">
        <v>0.14000000000000001</v>
      </c>
      <c r="N24" s="463">
        <v>0</v>
      </c>
      <c r="O24" s="472">
        <v>7.4999999999999997E-2</v>
      </c>
      <c r="P24" s="472">
        <v>8.0000000000000002E-3</v>
      </c>
      <c r="Q24" s="476"/>
    </row>
    <row r="25" spans="1:17" ht="14.1" customHeight="1">
      <c r="A25" s="461">
        <v>14</v>
      </c>
      <c r="B25" s="672" t="s">
        <v>659</v>
      </c>
      <c r="C25" s="462" t="s">
        <v>714</v>
      </c>
      <c r="D25" s="461" t="s">
        <v>356</v>
      </c>
      <c r="E25" s="463" t="s">
        <v>886</v>
      </c>
      <c r="F25" s="464">
        <v>1</v>
      </c>
      <c r="G25" s="461"/>
      <c r="H25" s="465"/>
      <c r="I25" s="463" t="s">
        <v>882</v>
      </c>
      <c r="J25" s="462">
        <v>1</v>
      </c>
      <c r="K25" s="463" t="s">
        <v>883</v>
      </c>
      <c r="L25" s="462">
        <v>1</v>
      </c>
      <c r="M25" s="463">
        <v>0.33</v>
      </c>
      <c r="N25" s="463">
        <v>0</v>
      </c>
      <c r="O25" s="472">
        <v>8.7999999999999995E-2</v>
      </c>
      <c r="P25" s="472">
        <v>0.01</v>
      </c>
      <c r="Q25" s="476"/>
    </row>
    <row r="26" spans="1:17" ht="14.1" customHeight="1">
      <c r="A26" s="461">
        <v>15</v>
      </c>
      <c r="B26" s="672" t="s">
        <v>616</v>
      </c>
      <c r="C26" s="462" t="s">
        <v>715</v>
      </c>
      <c r="D26" s="461" t="s">
        <v>356</v>
      </c>
      <c r="E26" s="463" t="s">
        <v>886</v>
      </c>
      <c r="F26" s="464">
        <v>1</v>
      </c>
      <c r="G26" s="461"/>
      <c r="H26" s="465"/>
      <c r="I26" s="463" t="s">
        <v>882</v>
      </c>
      <c r="J26" s="462">
        <v>1</v>
      </c>
      <c r="K26" s="463" t="s">
        <v>883</v>
      </c>
      <c r="L26" s="462">
        <v>1</v>
      </c>
      <c r="M26" s="463">
        <v>0.33</v>
      </c>
      <c r="N26" s="463">
        <v>0</v>
      </c>
      <c r="O26" s="472">
        <v>8.7999999999999995E-2</v>
      </c>
      <c r="P26" s="472">
        <v>0.01</v>
      </c>
      <c r="Q26" s="476"/>
    </row>
    <row r="27" spans="1:17" ht="14.1" customHeight="1">
      <c r="A27" s="461">
        <v>16</v>
      </c>
      <c r="B27" s="672" t="s">
        <v>653</v>
      </c>
      <c r="C27" s="462" t="s">
        <v>716</v>
      </c>
      <c r="D27" s="461" t="s">
        <v>356</v>
      </c>
      <c r="E27" s="463" t="s">
        <v>886</v>
      </c>
      <c r="F27" s="464">
        <v>1</v>
      </c>
      <c r="G27" s="461"/>
      <c r="H27" s="465"/>
      <c r="I27" s="463" t="s">
        <v>882</v>
      </c>
      <c r="J27" s="462">
        <v>1</v>
      </c>
      <c r="K27" s="463" t="s">
        <v>883</v>
      </c>
      <c r="L27" s="462">
        <v>1</v>
      </c>
      <c r="M27" s="463">
        <v>0.33</v>
      </c>
      <c r="N27" s="463">
        <v>0</v>
      </c>
      <c r="O27" s="472">
        <v>8.7999999999999995E-2</v>
      </c>
      <c r="P27" s="472">
        <v>0.01</v>
      </c>
      <c r="Q27" s="476"/>
    </row>
    <row r="28" spans="1:17" ht="14.1" customHeight="1">
      <c r="A28" s="461">
        <v>17</v>
      </c>
      <c r="B28" s="672" t="s">
        <v>672</v>
      </c>
      <c r="C28" s="462" t="s">
        <v>717</v>
      </c>
      <c r="D28" s="461" t="s">
        <v>356</v>
      </c>
      <c r="E28" s="463" t="s">
        <v>884</v>
      </c>
      <c r="F28" s="464">
        <v>1</v>
      </c>
      <c r="G28" s="461"/>
      <c r="H28" s="465"/>
      <c r="I28" s="463" t="s">
        <v>882</v>
      </c>
      <c r="J28" s="462">
        <v>1</v>
      </c>
      <c r="K28" s="463" t="s">
        <v>883</v>
      </c>
      <c r="L28" s="462">
        <v>1</v>
      </c>
      <c r="M28" s="463">
        <v>0.24</v>
      </c>
      <c r="N28" s="463">
        <v>0</v>
      </c>
      <c r="O28" s="472">
        <v>7.4999999999999997E-2</v>
      </c>
      <c r="P28" s="472">
        <v>8.9999999999999993E-3</v>
      </c>
      <c r="Q28" s="476"/>
    </row>
    <row r="29" spans="1:17" ht="14.1" customHeight="1">
      <c r="A29" s="461">
        <v>18</v>
      </c>
      <c r="B29" s="672" t="s">
        <v>671</v>
      </c>
      <c r="C29" s="462" t="s">
        <v>718</v>
      </c>
      <c r="D29" s="461" t="s">
        <v>356</v>
      </c>
      <c r="E29" s="463" t="s">
        <v>886</v>
      </c>
      <c r="F29" s="464">
        <v>1</v>
      </c>
      <c r="G29" s="461"/>
      <c r="H29" s="465"/>
      <c r="I29" s="463" t="s">
        <v>882</v>
      </c>
      <c r="J29" s="462">
        <v>1</v>
      </c>
      <c r="K29" s="463" t="s">
        <v>883</v>
      </c>
      <c r="L29" s="462">
        <v>1</v>
      </c>
      <c r="M29" s="463">
        <v>0.33</v>
      </c>
      <c r="N29" s="463">
        <v>0</v>
      </c>
      <c r="O29" s="472">
        <v>8.7999999999999995E-2</v>
      </c>
      <c r="P29" s="472">
        <v>0.01</v>
      </c>
      <c r="Q29" s="476"/>
    </row>
    <row r="30" spans="1:17" ht="14.1" customHeight="1">
      <c r="A30" s="461">
        <v>19</v>
      </c>
      <c r="B30" s="672" t="s">
        <v>662</v>
      </c>
      <c r="C30" s="462" t="s">
        <v>719</v>
      </c>
      <c r="D30" s="461" t="s">
        <v>720</v>
      </c>
      <c r="E30" s="463" t="s">
        <v>887</v>
      </c>
      <c r="F30" s="464">
        <v>1000</v>
      </c>
      <c r="G30" s="461"/>
      <c r="H30" s="465"/>
      <c r="I30" s="463" t="s">
        <v>882</v>
      </c>
      <c r="J30" s="462">
        <v>1</v>
      </c>
      <c r="K30" s="463" t="s">
        <v>883</v>
      </c>
      <c r="L30" s="462">
        <v>1</v>
      </c>
      <c r="M30" s="463">
        <v>0.87</v>
      </c>
      <c r="N30" s="463">
        <v>0.56000000000000005</v>
      </c>
      <c r="O30" s="472">
        <v>5.3999999999999999E-2</v>
      </c>
      <c r="P30" s="472">
        <v>6.0000000000000001E-3</v>
      </c>
      <c r="Q30" s="476"/>
    </row>
    <row r="31" spans="1:17" ht="14.1" customHeight="1">
      <c r="A31" s="461">
        <v>20</v>
      </c>
      <c r="B31" s="672" t="s">
        <v>626</v>
      </c>
      <c r="C31" s="462" t="s">
        <v>790</v>
      </c>
      <c r="D31" s="461" t="s">
        <v>468</v>
      </c>
      <c r="E31" s="463"/>
      <c r="F31" s="464">
        <v>0</v>
      </c>
      <c r="G31" s="461"/>
      <c r="H31" s="465"/>
      <c r="I31" s="463" t="s">
        <v>882</v>
      </c>
      <c r="J31" s="462">
        <v>1</v>
      </c>
      <c r="K31" s="463" t="s">
        <v>883</v>
      </c>
      <c r="L31" s="462">
        <v>1</v>
      </c>
      <c r="M31" s="463">
        <v>0</v>
      </c>
      <c r="N31" s="463">
        <v>0</v>
      </c>
      <c r="O31" s="472">
        <v>0</v>
      </c>
      <c r="P31" s="472">
        <v>0</v>
      </c>
      <c r="Q31" s="476"/>
    </row>
    <row r="32" spans="1:17" ht="14.1" customHeight="1">
      <c r="A32" s="461">
        <v>21</v>
      </c>
      <c r="B32" s="672" t="s">
        <v>618</v>
      </c>
      <c r="C32" s="462" t="s">
        <v>722</v>
      </c>
      <c r="D32" s="461" t="s">
        <v>356</v>
      </c>
      <c r="E32" s="463" t="s">
        <v>888</v>
      </c>
      <c r="F32" s="464">
        <v>1</v>
      </c>
      <c r="G32" s="461"/>
      <c r="H32" s="465"/>
      <c r="I32" s="463" t="s">
        <v>882</v>
      </c>
      <c r="J32" s="462">
        <v>1</v>
      </c>
      <c r="K32" s="463" t="s">
        <v>883</v>
      </c>
      <c r="L32" s="462">
        <v>1</v>
      </c>
      <c r="M32" s="463">
        <v>0.75</v>
      </c>
      <c r="N32" s="463">
        <v>0.47</v>
      </c>
      <c r="O32" s="472">
        <v>6.3E-2</v>
      </c>
      <c r="P32" s="472">
        <v>7.0000000000000001E-3</v>
      </c>
      <c r="Q32" s="476"/>
    </row>
    <row r="33" spans="1:17" ht="14.1" customHeight="1">
      <c r="A33" s="461">
        <v>22</v>
      </c>
      <c r="B33" s="672" t="s">
        <v>682</v>
      </c>
      <c r="C33" s="462" t="s">
        <v>723</v>
      </c>
      <c r="D33" s="461" t="s">
        <v>356</v>
      </c>
      <c r="E33" s="463" t="s">
        <v>888</v>
      </c>
      <c r="F33" s="464">
        <v>1</v>
      </c>
      <c r="G33" s="461"/>
      <c r="H33" s="465"/>
      <c r="I33" s="463" t="s">
        <v>882</v>
      </c>
      <c r="J33" s="462">
        <v>1</v>
      </c>
      <c r="K33" s="463" t="s">
        <v>883</v>
      </c>
      <c r="L33" s="462">
        <v>1</v>
      </c>
      <c r="M33" s="463">
        <v>0.75</v>
      </c>
      <c r="N33" s="463">
        <v>0.47</v>
      </c>
      <c r="O33" s="472">
        <v>6.3E-2</v>
      </c>
      <c r="P33" s="472">
        <v>7.0000000000000001E-3</v>
      </c>
      <c r="Q33" s="476"/>
    </row>
    <row r="34" spans="1:17" ht="14.1" customHeight="1">
      <c r="A34" s="461">
        <v>23</v>
      </c>
      <c r="B34" s="672" t="s">
        <v>636</v>
      </c>
      <c r="C34" s="462" t="s">
        <v>725</v>
      </c>
      <c r="D34" s="461" t="s">
        <v>726</v>
      </c>
      <c r="E34" s="463"/>
      <c r="F34" s="464">
        <v>0</v>
      </c>
      <c r="G34" s="461"/>
      <c r="H34" s="465"/>
      <c r="I34" s="463" t="s">
        <v>882</v>
      </c>
      <c r="J34" s="462">
        <v>1</v>
      </c>
      <c r="K34" s="463" t="s">
        <v>883</v>
      </c>
      <c r="L34" s="462">
        <v>1</v>
      </c>
      <c r="M34" s="463">
        <v>0</v>
      </c>
      <c r="N34" s="463">
        <v>0</v>
      </c>
      <c r="O34" s="472">
        <v>0</v>
      </c>
      <c r="P34" s="472">
        <v>0</v>
      </c>
      <c r="Q34" s="476"/>
    </row>
    <row r="35" spans="1:17" ht="14.1" customHeight="1">
      <c r="A35" s="461">
        <v>24</v>
      </c>
      <c r="B35" s="672" t="s">
        <v>631</v>
      </c>
      <c r="C35" s="462" t="s">
        <v>727</v>
      </c>
      <c r="D35" s="461" t="s">
        <v>720</v>
      </c>
      <c r="E35" s="463"/>
      <c r="F35" s="464">
        <v>0</v>
      </c>
      <c r="G35" s="461"/>
      <c r="H35" s="465"/>
      <c r="I35" s="463" t="s">
        <v>882</v>
      </c>
      <c r="J35" s="462">
        <v>1</v>
      </c>
      <c r="K35" s="463" t="s">
        <v>883</v>
      </c>
      <c r="L35" s="462">
        <v>1</v>
      </c>
      <c r="M35" s="463">
        <v>0</v>
      </c>
      <c r="N35" s="463">
        <v>0</v>
      </c>
      <c r="O35" s="472">
        <v>0</v>
      </c>
      <c r="P35" s="472">
        <v>0</v>
      </c>
      <c r="Q35" s="476"/>
    </row>
    <row r="36" spans="1:17" ht="14.1" customHeight="1">
      <c r="A36" s="461">
        <v>25</v>
      </c>
      <c r="B36" s="672" t="s">
        <v>681</v>
      </c>
      <c r="C36" s="462" t="s">
        <v>728</v>
      </c>
      <c r="D36" s="461" t="s">
        <v>726</v>
      </c>
      <c r="E36" s="463" t="s">
        <v>887</v>
      </c>
      <c r="F36" s="464">
        <v>1000</v>
      </c>
      <c r="G36" s="461"/>
      <c r="H36" s="465"/>
      <c r="I36" s="463" t="s">
        <v>882</v>
      </c>
      <c r="J36" s="462">
        <v>1</v>
      </c>
      <c r="K36" s="463" t="s">
        <v>883</v>
      </c>
      <c r="L36" s="462">
        <v>1</v>
      </c>
      <c r="M36" s="463">
        <v>0.87</v>
      </c>
      <c r="N36" s="463">
        <v>0.56000000000000005</v>
      </c>
      <c r="O36" s="472">
        <v>5.3999999999999999E-2</v>
      </c>
      <c r="P36" s="472">
        <v>6.0000000000000001E-3</v>
      </c>
      <c r="Q36" s="476"/>
    </row>
    <row r="37" spans="1:17" ht="14.1" customHeight="1">
      <c r="A37" s="461">
        <v>26</v>
      </c>
      <c r="B37" s="672" t="s">
        <v>729</v>
      </c>
      <c r="C37" s="462" t="s">
        <v>730</v>
      </c>
      <c r="D37" s="461" t="s">
        <v>720</v>
      </c>
      <c r="E37" s="463"/>
      <c r="F37" s="464">
        <v>0</v>
      </c>
      <c r="G37" s="461"/>
      <c r="H37" s="465"/>
      <c r="I37" s="463" t="s">
        <v>882</v>
      </c>
      <c r="J37" s="462">
        <v>1</v>
      </c>
      <c r="K37" s="463" t="s">
        <v>883</v>
      </c>
      <c r="L37" s="462">
        <v>1</v>
      </c>
      <c r="M37" s="463">
        <v>0</v>
      </c>
      <c r="N37" s="463">
        <v>0</v>
      </c>
      <c r="O37" s="472">
        <v>0</v>
      </c>
      <c r="P37" s="472">
        <v>0</v>
      </c>
      <c r="Q37" s="476"/>
    </row>
    <row r="38" spans="1:17" ht="14.1" customHeight="1">
      <c r="A38" s="461">
        <v>27</v>
      </c>
      <c r="B38" s="672" t="s">
        <v>619</v>
      </c>
      <c r="C38" s="462" t="s">
        <v>731</v>
      </c>
      <c r="D38" s="461" t="s">
        <v>720</v>
      </c>
      <c r="E38" s="463"/>
      <c r="F38" s="464">
        <v>0</v>
      </c>
      <c r="G38" s="461"/>
      <c r="H38" s="465"/>
      <c r="I38" s="463" t="s">
        <v>882</v>
      </c>
      <c r="J38" s="462">
        <v>1</v>
      </c>
      <c r="K38" s="463" t="s">
        <v>883</v>
      </c>
      <c r="L38" s="462">
        <v>1</v>
      </c>
      <c r="M38" s="463">
        <v>0</v>
      </c>
      <c r="N38" s="463">
        <v>0</v>
      </c>
      <c r="O38" s="472">
        <v>0</v>
      </c>
      <c r="P38" s="472">
        <v>0</v>
      </c>
      <c r="Q38" s="476"/>
    </row>
    <row r="39" spans="1:17" ht="14.1" customHeight="1">
      <c r="A39" s="461">
        <v>28</v>
      </c>
      <c r="B39" s="672" t="s">
        <v>646</v>
      </c>
      <c r="C39" s="462" t="s">
        <v>732</v>
      </c>
      <c r="D39" s="461" t="s">
        <v>720</v>
      </c>
      <c r="E39" s="463"/>
      <c r="F39" s="464">
        <v>0</v>
      </c>
      <c r="G39" s="461"/>
      <c r="H39" s="465"/>
      <c r="I39" s="463" t="s">
        <v>882</v>
      </c>
      <c r="J39" s="462">
        <v>1</v>
      </c>
      <c r="K39" s="463" t="s">
        <v>883</v>
      </c>
      <c r="L39" s="462">
        <v>1</v>
      </c>
      <c r="M39" s="463">
        <v>0</v>
      </c>
      <c r="N39" s="463">
        <v>0</v>
      </c>
      <c r="O39" s="472">
        <v>0</v>
      </c>
      <c r="P39" s="472">
        <v>0</v>
      </c>
      <c r="Q39" s="476"/>
    </row>
    <row r="40" spans="1:17" ht="14.1" customHeight="1">
      <c r="A40" s="461">
        <v>29</v>
      </c>
      <c r="B40" s="672" t="s">
        <v>617</v>
      </c>
      <c r="C40" s="462" t="s">
        <v>733</v>
      </c>
      <c r="D40" s="461" t="s">
        <v>734</v>
      </c>
      <c r="E40" s="463"/>
      <c r="F40" s="464">
        <v>0</v>
      </c>
      <c r="G40" s="461"/>
      <c r="H40" s="465"/>
      <c r="I40" s="463" t="s">
        <v>882</v>
      </c>
      <c r="J40" s="462">
        <v>1</v>
      </c>
      <c r="K40" s="463" t="s">
        <v>883</v>
      </c>
      <c r="L40" s="462">
        <v>1</v>
      </c>
      <c r="M40" s="463">
        <v>0</v>
      </c>
      <c r="N40" s="463">
        <v>0</v>
      </c>
      <c r="O40" s="472">
        <v>0</v>
      </c>
      <c r="P40" s="472">
        <v>0</v>
      </c>
      <c r="Q40" s="476"/>
    </row>
    <row r="41" spans="1:17" ht="14.1" customHeight="1">
      <c r="A41" s="461">
        <v>30</v>
      </c>
      <c r="B41" s="672" t="s">
        <v>735</v>
      </c>
      <c r="C41" s="462" t="s">
        <v>736</v>
      </c>
      <c r="D41" s="461" t="s">
        <v>414</v>
      </c>
      <c r="E41" s="463"/>
      <c r="F41" s="464">
        <v>0</v>
      </c>
      <c r="G41" s="461"/>
      <c r="H41" s="465"/>
      <c r="I41" s="463" t="s">
        <v>882</v>
      </c>
      <c r="J41" s="462">
        <v>1</v>
      </c>
      <c r="K41" s="463" t="s">
        <v>883</v>
      </c>
      <c r="L41" s="462">
        <v>1</v>
      </c>
      <c r="M41" s="463">
        <v>0</v>
      </c>
      <c r="N41" s="463">
        <v>0</v>
      </c>
      <c r="O41" s="472">
        <v>0</v>
      </c>
      <c r="P41" s="472">
        <v>0</v>
      </c>
      <c r="Q41" s="476"/>
    </row>
    <row r="42" spans="1:17" ht="14.1" customHeight="1">
      <c r="A42" s="461">
        <v>31</v>
      </c>
      <c r="B42" s="672" t="s">
        <v>680</v>
      </c>
      <c r="C42" s="462" t="s">
        <v>737</v>
      </c>
      <c r="D42" s="461" t="s">
        <v>414</v>
      </c>
      <c r="E42" s="463" t="s">
        <v>887</v>
      </c>
      <c r="F42" s="464">
        <v>1000</v>
      </c>
      <c r="G42" s="461"/>
      <c r="H42" s="465"/>
      <c r="I42" s="463" t="s">
        <v>882</v>
      </c>
      <c r="J42" s="462">
        <v>1</v>
      </c>
      <c r="K42" s="463" t="s">
        <v>883</v>
      </c>
      <c r="L42" s="462">
        <v>1</v>
      </c>
      <c r="M42" s="463">
        <v>0.87</v>
      </c>
      <c r="N42" s="463">
        <v>0.56000000000000005</v>
      </c>
      <c r="O42" s="472">
        <v>5.3999999999999999E-2</v>
      </c>
      <c r="P42" s="472">
        <v>6.0000000000000001E-3</v>
      </c>
      <c r="Q42" s="476"/>
    </row>
    <row r="43" spans="1:17" ht="14.1" customHeight="1">
      <c r="A43" s="461">
        <v>32</v>
      </c>
      <c r="B43" s="672" t="s">
        <v>639</v>
      </c>
      <c r="C43" s="462" t="s">
        <v>738</v>
      </c>
      <c r="D43" s="461" t="s">
        <v>720</v>
      </c>
      <c r="E43" s="463" t="s">
        <v>889</v>
      </c>
      <c r="F43" s="464">
        <v>1</v>
      </c>
      <c r="G43" s="461"/>
      <c r="H43" s="465"/>
      <c r="I43" s="463" t="s">
        <v>882</v>
      </c>
      <c r="J43" s="462">
        <v>1</v>
      </c>
      <c r="K43" s="463" t="s">
        <v>883</v>
      </c>
      <c r="L43" s="462">
        <v>1</v>
      </c>
      <c r="M43" s="463">
        <v>0.17</v>
      </c>
      <c r="N43" s="463">
        <v>0</v>
      </c>
      <c r="O43" s="472">
        <v>8.7999999999999995E-2</v>
      </c>
      <c r="P43" s="472">
        <v>0.01</v>
      </c>
      <c r="Q43" s="476"/>
    </row>
    <row r="44" spans="1:17" ht="14.1" customHeight="1">
      <c r="A44" s="461">
        <v>33</v>
      </c>
      <c r="B44" s="672" t="s">
        <v>628</v>
      </c>
      <c r="C44" s="462" t="s">
        <v>739</v>
      </c>
      <c r="D44" s="461" t="s">
        <v>720</v>
      </c>
      <c r="E44" s="463"/>
      <c r="F44" s="464">
        <v>0</v>
      </c>
      <c r="G44" s="461"/>
      <c r="H44" s="465"/>
      <c r="I44" s="463" t="s">
        <v>882</v>
      </c>
      <c r="J44" s="462">
        <v>1</v>
      </c>
      <c r="K44" s="463" t="s">
        <v>883</v>
      </c>
      <c r="L44" s="462">
        <v>1</v>
      </c>
      <c r="M44" s="463">
        <v>0</v>
      </c>
      <c r="N44" s="463">
        <v>0</v>
      </c>
      <c r="O44" s="472">
        <v>0</v>
      </c>
      <c r="P44" s="472">
        <v>0</v>
      </c>
      <c r="Q44" s="476"/>
    </row>
    <row r="45" spans="1:17" ht="14.1" customHeight="1">
      <c r="A45" s="461">
        <v>34</v>
      </c>
      <c r="B45" s="672" t="s">
        <v>632</v>
      </c>
      <c r="C45" s="462" t="s">
        <v>740</v>
      </c>
      <c r="D45" s="461" t="s">
        <v>720</v>
      </c>
      <c r="E45" s="463" t="s">
        <v>887</v>
      </c>
      <c r="F45" s="464">
        <v>1000</v>
      </c>
      <c r="G45" s="461"/>
      <c r="H45" s="465"/>
      <c r="I45" s="463" t="s">
        <v>882</v>
      </c>
      <c r="J45" s="462">
        <v>1</v>
      </c>
      <c r="K45" s="463" t="s">
        <v>883</v>
      </c>
      <c r="L45" s="462">
        <v>1</v>
      </c>
      <c r="M45" s="463">
        <v>0.87</v>
      </c>
      <c r="N45" s="463">
        <v>0.56000000000000005</v>
      </c>
      <c r="O45" s="472">
        <v>5.3999999999999999E-2</v>
      </c>
      <c r="P45" s="472">
        <v>6.0000000000000001E-3</v>
      </c>
      <c r="Q45" s="476"/>
    </row>
    <row r="46" spans="1:17" ht="14.1" customHeight="1">
      <c r="A46" s="461">
        <v>35</v>
      </c>
      <c r="B46" s="672" t="s">
        <v>664</v>
      </c>
      <c r="C46" s="462" t="s">
        <v>741</v>
      </c>
      <c r="D46" s="461" t="s">
        <v>720</v>
      </c>
      <c r="E46" s="463" t="s">
        <v>887</v>
      </c>
      <c r="F46" s="464">
        <v>1000</v>
      </c>
      <c r="G46" s="461"/>
      <c r="H46" s="465"/>
      <c r="I46" s="463" t="s">
        <v>882</v>
      </c>
      <c r="J46" s="462">
        <v>1</v>
      </c>
      <c r="K46" s="463" t="s">
        <v>883</v>
      </c>
      <c r="L46" s="462">
        <v>1</v>
      </c>
      <c r="M46" s="463">
        <v>0.87</v>
      </c>
      <c r="N46" s="463">
        <v>0.56000000000000005</v>
      </c>
      <c r="O46" s="472">
        <v>5.3999999999999999E-2</v>
      </c>
      <c r="P46" s="472">
        <v>6.0000000000000001E-3</v>
      </c>
      <c r="Q46" s="476"/>
    </row>
    <row r="47" spans="1:17" ht="14.1" customHeight="1">
      <c r="A47" s="461">
        <v>36</v>
      </c>
      <c r="B47" s="672" t="s">
        <v>627</v>
      </c>
      <c r="C47" s="462" t="s">
        <v>742</v>
      </c>
      <c r="D47" s="461" t="s">
        <v>720</v>
      </c>
      <c r="E47" s="463" t="s">
        <v>887</v>
      </c>
      <c r="F47" s="464">
        <v>1000</v>
      </c>
      <c r="G47" s="461"/>
      <c r="H47" s="465"/>
      <c r="I47" s="463" t="s">
        <v>882</v>
      </c>
      <c r="J47" s="462">
        <v>1</v>
      </c>
      <c r="K47" s="463" t="s">
        <v>883</v>
      </c>
      <c r="L47" s="462">
        <v>1</v>
      </c>
      <c r="M47" s="463">
        <v>0.87</v>
      </c>
      <c r="N47" s="463">
        <v>0.56000000000000005</v>
      </c>
      <c r="O47" s="472">
        <v>5.3999999999999999E-2</v>
      </c>
      <c r="P47" s="472">
        <v>6.0000000000000001E-3</v>
      </c>
      <c r="Q47" s="476"/>
    </row>
    <row r="48" spans="1:17" ht="14.1" customHeight="1">
      <c r="A48" s="461">
        <v>37</v>
      </c>
      <c r="B48" s="672" t="s">
        <v>663</v>
      </c>
      <c r="C48" s="462" t="s">
        <v>743</v>
      </c>
      <c r="D48" s="461" t="s">
        <v>720</v>
      </c>
      <c r="E48" s="463" t="s">
        <v>887</v>
      </c>
      <c r="F48" s="464">
        <v>1000</v>
      </c>
      <c r="G48" s="461"/>
      <c r="H48" s="465"/>
      <c r="I48" s="463" t="s">
        <v>882</v>
      </c>
      <c r="J48" s="462">
        <v>1</v>
      </c>
      <c r="K48" s="463" t="s">
        <v>883</v>
      </c>
      <c r="L48" s="462">
        <v>1</v>
      </c>
      <c r="M48" s="463">
        <v>0.87</v>
      </c>
      <c r="N48" s="463">
        <v>0.56000000000000005</v>
      </c>
      <c r="O48" s="472">
        <v>5.3999999999999999E-2</v>
      </c>
      <c r="P48" s="472">
        <v>6.0000000000000001E-3</v>
      </c>
      <c r="Q48" s="476"/>
    </row>
    <row r="49" spans="1:17" ht="14.1" customHeight="1">
      <c r="A49" s="461">
        <v>38</v>
      </c>
      <c r="B49" s="672" t="s">
        <v>666</v>
      </c>
      <c r="C49" s="462" t="s">
        <v>744</v>
      </c>
      <c r="D49" s="461" t="s">
        <v>720</v>
      </c>
      <c r="E49" s="463" t="s">
        <v>887</v>
      </c>
      <c r="F49" s="464">
        <v>1000</v>
      </c>
      <c r="G49" s="461"/>
      <c r="H49" s="465"/>
      <c r="I49" s="463" t="s">
        <v>882</v>
      </c>
      <c r="J49" s="462">
        <v>1</v>
      </c>
      <c r="K49" s="463" t="s">
        <v>883</v>
      </c>
      <c r="L49" s="462">
        <v>1</v>
      </c>
      <c r="M49" s="463">
        <v>0.87</v>
      </c>
      <c r="N49" s="463">
        <v>0.56000000000000005</v>
      </c>
      <c r="O49" s="472">
        <v>5.3999999999999999E-2</v>
      </c>
      <c r="P49" s="472">
        <v>6.0000000000000001E-3</v>
      </c>
      <c r="Q49" s="476"/>
    </row>
    <row r="50" spans="1:17" ht="14.1" customHeight="1">
      <c r="A50" s="461">
        <v>39</v>
      </c>
      <c r="B50" s="672" t="s">
        <v>661</v>
      </c>
      <c r="C50" s="462" t="s">
        <v>745</v>
      </c>
      <c r="D50" s="461" t="s">
        <v>720</v>
      </c>
      <c r="E50" s="463" t="s">
        <v>887</v>
      </c>
      <c r="F50" s="464">
        <v>1000</v>
      </c>
      <c r="G50" s="461"/>
      <c r="H50" s="465"/>
      <c r="I50" s="463" t="s">
        <v>882</v>
      </c>
      <c r="J50" s="462">
        <v>1</v>
      </c>
      <c r="K50" s="463" t="s">
        <v>883</v>
      </c>
      <c r="L50" s="462">
        <v>1</v>
      </c>
      <c r="M50" s="463">
        <v>0.87</v>
      </c>
      <c r="N50" s="463">
        <v>0.56000000000000005</v>
      </c>
      <c r="O50" s="472">
        <v>5.3999999999999999E-2</v>
      </c>
      <c r="P50" s="472">
        <v>6.0000000000000001E-3</v>
      </c>
      <c r="Q50" s="476"/>
    </row>
    <row r="51" spans="1:17" ht="14.1" customHeight="1">
      <c r="A51" s="461">
        <v>40</v>
      </c>
      <c r="B51" s="672" t="s">
        <v>670</v>
      </c>
      <c r="C51" s="462" t="s">
        <v>746</v>
      </c>
      <c r="D51" s="461" t="s">
        <v>720</v>
      </c>
      <c r="E51" s="463" t="s">
        <v>890</v>
      </c>
      <c r="F51" s="464">
        <v>1000</v>
      </c>
      <c r="G51" s="461"/>
      <c r="H51" s="465"/>
      <c r="I51" s="463" t="s">
        <v>882</v>
      </c>
      <c r="J51" s="462">
        <v>1</v>
      </c>
      <c r="K51" s="463" t="s">
        <v>883</v>
      </c>
      <c r="L51" s="462">
        <v>1</v>
      </c>
      <c r="M51" s="463">
        <v>0.34</v>
      </c>
      <c r="N51" s="463">
        <v>0.31</v>
      </c>
      <c r="O51" s="472">
        <v>7.4999999999999997E-2</v>
      </c>
      <c r="P51" s="472">
        <v>8.0000000000000002E-3</v>
      </c>
      <c r="Q51" s="476"/>
    </row>
    <row r="52" spans="1:17" ht="14.1" customHeight="1">
      <c r="A52" s="461">
        <v>41</v>
      </c>
      <c r="B52" s="672" t="s">
        <v>614</v>
      </c>
      <c r="C52" s="462" t="s">
        <v>747</v>
      </c>
      <c r="D52" s="461" t="s">
        <v>720</v>
      </c>
      <c r="E52" s="463" t="s">
        <v>890</v>
      </c>
      <c r="F52" s="464">
        <v>1000</v>
      </c>
      <c r="G52" s="461"/>
      <c r="H52" s="465"/>
      <c r="I52" s="463" t="s">
        <v>882</v>
      </c>
      <c r="J52" s="462">
        <v>1</v>
      </c>
      <c r="K52" s="463" t="s">
        <v>883</v>
      </c>
      <c r="L52" s="462">
        <v>1</v>
      </c>
      <c r="M52" s="463">
        <v>0.34</v>
      </c>
      <c r="N52" s="463">
        <v>0.31</v>
      </c>
      <c r="O52" s="472">
        <v>7.4999999999999997E-2</v>
      </c>
      <c r="P52" s="472">
        <v>8.0000000000000002E-3</v>
      </c>
      <c r="Q52" s="476"/>
    </row>
    <row r="53" spans="1:17" ht="14.1" customHeight="1">
      <c r="A53" s="461">
        <v>42</v>
      </c>
      <c r="B53" s="672" t="s">
        <v>648</v>
      </c>
      <c r="C53" s="462" t="s">
        <v>748</v>
      </c>
      <c r="D53" s="461" t="s">
        <v>356</v>
      </c>
      <c r="E53" s="463" t="s">
        <v>886</v>
      </c>
      <c r="F53" s="464">
        <v>1</v>
      </c>
      <c r="G53" s="461"/>
      <c r="H53" s="465"/>
      <c r="I53" s="463" t="s">
        <v>882</v>
      </c>
      <c r="J53" s="462">
        <v>1</v>
      </c>
      <c r="K53" s="463" t="s">
        <v>883</v>
      </c>
      <c r="L53" s="462">
        <v>1</v>
      </c>
      <c r="M53" s="463">
        <v>0.33</v>
      </c>
      <c r="N53" s="463">
        <v>0</v>
      </c>
      <c r="O53" s="472">
        <v>8.7999999999999995E-2</v>
      </c>
      <c r="P53" s="472">
        <v>0.01</v>
      </c>
      <c r="Q53" s="476"/>
    </row>
    <row r="54" spans="1:17" ht="14.1" customHeight="1">
      <c r="A54" s="461">
        <v>43</v>
      </c>
      <c r="B54" s="672" t="s">
        <v>649</v>
      </c>
      <c r="C54" s="462" t="s">
        <v>749</v>
      </c>
      <c r="D54" s="461" t="s">
        <v>356</v>
      </c>
      <c r="E54" s="463" t="s">
        <v>886</v>
      </c>
      <c r="F54" s="464">
        <v>1</v>
      </c>
      <c r="G54" s="461"/>
      <c r="H54" s="465"/>
      <c r="I54" s="463" t="s">
        <v>882</v>
      </c>
      <c r="J54" s="462">
        <v>1</v>
      </c>
      <c r="K54" s="463" t="s">
        <v>883</v>
      </c>
      <c r="L54" s="462">
        <v>1</v>
      </c>
      <c r="M54" s="463">
        <v>0.33</v>
      </c>
      <c r="N54" s="463">
        <v>0</v>
      </c>
      <c r="O54" s="472">
        <v>8.7999999999999995E-2</v>
      </c>
      <c r="P54" s="472">
        <v>0.01</v>
      </c>
      <c r="Q54" s="476"/>
    </row>
    <row r="55" spans="1:17" ht="14.1" customHeight="1">
      <c r="A55" s="461">
        <v>44</v>
      </c>
      <c r="B55" s="672" t="s">
        <v>650</v>
      </c>
      <c r="C55" s="462" t="s">
        <v>750</v>
      </c>
      <c r="D55" s="461" t="s">
        <v>356</v>
      </c>
      <c r="E55" s="463" t="s">
        <v>886</v>
      </c>
      <c r="F55" s="464">
        <v>1</v>
      </c>
      <c r="G55" s="461"/>
      <c r="H55" s="465"/>
      <c r="I55" s="463" t="s">
        <v>882</v>
      </c>
      <c r="J55" s="462">
        <v>1</v>
      </c>
      <c r="K55" s="463" t="s">
        <v>883</v>
      </c>
      <c r="L55" s="462">
        <v>1</v>
      </c>
      <c r="M55" s="463">
        <v>0.33</v>
      </c>
      <c r="N55" s="463">
        <v>0</v>
      </c>
      <c r="O55" s="472">
        <v>8.7999999999999995E-2</v>
      </c>
      <c r="P55" s="472">
        <v>0.01</v>
      </c>
      <c r="Q55" s="476"/>
    </row>
    <row r="56" spans="1:17" ht="14.1" customHeight="1">
      <c r="A56" s="466">
        <v>45</v>
      </c>
      <c r="B56" s="674" t="s">
        <v>655</v>
      </c>
      <c r="C56" s="467" t="s">
        <v>751</v>
      </c>
      <c r="D56" s="466" t="s">
        <v>752</v>
      </c>
      <c r="E56" s="468" t="s">
        <v>889</v>
      </c>
      <c r="F56" s="469">
        <v>1</v>
      </c>
      <c r="G56" s="466"/>
      <c r="H56" s="470"/>
      <c r="I56" s="468" t="s">
        <v>882</v>
      </c>
      <c r="J56" s="467">
        <v>1</v>
      </c>
      <c r="K56" s="468" t="s">
        <v>883</v>
      </c>
      <c r="L56" s="467">
        <v>1</v>
      </c>
      <c r="M56" s="468">
        <v>0.17</v>
      </c>
      <c r="N56" s="473">
        <v>0</v>
      </c>
      <c r="O56" s="474">
        <v>8.7999999999999995E-2</v>
      </c>
      <c r="P56" s="474">
        <v>0.01</v>
      </c>
      <c r="Q56" s="477"/>
    </row>
    <row r="57" spans="1:17" ht="15" customHeight="1">
      <c r="A57" s="72"/>
      <c r="B57" s="72"/>
      <c r="C57" s="72"/>
      <c r="D57" s="72"/>
      <c r="E57" s="72"/>
      <c r="F57" s="72"/>
      <c r="G57" s="72"/>
      <c r="H57" s="72"/>
      <c r="I57" s="72"/>
      <c r="J57" s="72"/>
      <c r="K57" s="72"/>
      <c r="L57" s="72"/>
      <c r="M57" s="72"/>
      <c r="N57" s="72"/>
      <c r="O57" s="72"/>
      <c r="P57" s="72"/>
      <c r="Q57" s="72"/>
    </row>
    <row r="58" spans="1:17">
      <c r="A58" s="72"/>
      <c r="B58" s="72"/>
      <c r="C58" s="72"/>
      <c r="D58" s="72"/>
      <c r="E58" s="72"/>
      <c r="F58" s="72"/>
      <c r="G58" s="72"/>
      <c r="H58" s="72"/>
      <c r="I58" s="72"/>
      <c r="J58" s="72"/>
      <c r="K58" s="72"/>
      <c r="L58" s="72"/>
      <c r="M58" s="72"/>
      <c r="N58" s="72"/>
      <c r="O58" s="72"/>
      <c r="P58" s="72"/>
      <c r="Q58" s="72"/>
    </row>
    <row r="59" spans="1:17">
      <c r="A59" s="72"/>
      <c r="B59" s="72"/>
      <c r="C59" s="72"/>
      <c r="D59" s="72"/>
      <c r="E59" s="72"/>
      <c r="F59" s="72"/>
      <c r="G59" s="72"/>
      <c r="H59" s="72"/>
      <c r="I59" s="72"/>
      <c r="J59" s="72"/>
      <c r="K59" s="72"/>
      <c r="L59" s="72"/>
      <c r="M59" s="72"/>
      <c r="N59" s="72"/>
      <c r="O59" s="72"/>
      <c r="P59" s="72"/>
      <c r="Q59" s="72"/>
    </row>
    <row r="60" spans="1:17">
      <c r="A60" s="72"/>
      <c r="B60" s="72"/>
      <c r="C60" s="72"/>
      <c r="D60" s="72"/>
      <c r="E60" s="72"/>
      <c r="F60" s="72"/>
      <c r="G60" s="72"/>
      <c r="H60" s="72"/>
      <c r="I60" s="72"/>
      <c r="J60" s="72"/>
      <c r="K60" s="72"/>
      <c r="L60" s="72"/>
      <c r="M60" s="72"/>
      <c r="N60" s="72"/>
      <c r="O60" s="72"/>
      <c r="P60" s="72"/>
      <c r="Q60" s="72"/>
    </row>
    <row r="61" spans="1:17">
      <c r="A61" s="72"/>
      <c r="B61" s="72"/>
      <c r="C61" s="72"/>
      <c r="D61" s="72"/>
      <c r="E61" s="72"/>
      <c r="F61" s="72"/>
      <c r="G61" s="72"/>
      <c r="H61" s="72"/>
      <c r="I61" s="72"/>
      <c r="J61" s="72"/>
      <c r="K61" s="72"/>
      <c r="L61" s="72"/>
      <c r="M61" s="72"/>
      <c r="N61" s="72"/>
      <c r="O61" s="72"/>
      <c r="P61" s="72"/>
      <c r="Q61" s="72"/>
    </row>
    <row r="62" spans="1:17">
      <c r="A62" s="72"/>
      <c r="B62" s="72"/>
      <c r="C62" s="72"/>
      <c r="D62" s="72"/>
      <c r="E62" s="72"/>
      <c r="F62" s="72"/>
      <c r="G62" s="72"/>
      <c r="H62" s="72"/>
      <c r="I62" s="72"/>
      <c r="J62" s="72"/>
      <c r="K62" s="72"/>
      <c r="L62" s="72"/>
      <c r="M62" s="72"/>
      <c r="N62" s="72"/>
      <c r="O62" s="72"/>
      <c r="P62" s="72"/>
      <c r="Q62" s="72"/>
    </row>
    <row r="63" spans="1:17">
      <c r="A63" s="72"/>
      <c r="B63" s="72"/>
      <c r="C63" s="72"/>
      <c r="D63" s="72"/>
      <c r="E63" s="72"/>
      <c r="F63" s="72"/>
      <c r="G63" s="72"/>
      <c r="H63" s="72"/>
      <c r="I63" s="72"/>
      <c r="J63" s="72"/>
      <c r="K63" s="72"/>
      <c r="L63" s="72"/>
      <c r="M63" s="72"/>
      <c r="N63" s="72"/>
      <c r="O63" s="72"/>
      <c r="P63" s="72"/>
      <c r="Q63" s="72"/>
    </row>
    <row r="64" spans="1:17">
      <c r="A64" s="72"/>
      <c r="B64" s="72"/>
      <c r="C64" s="72"/>
      <c r="D64" s="72"/>
      <c r="E64" s="72"/>
      <c r="F64" s="72"/>
      <c r="G64" s="72"/>
      <c r="H64" s="72"/>
      <c r="I64" s="72"/>
      <c r="J64" s="72"/>
      <c r="K64" s="72"/>
      <c r="L64" s="72"/>
      <c r="M64" s="72"/>
      <c r="N64" s="72"/>
      <c r="O64" s="72"/>
      <c r="P64" s="72"/>
      <c r="Q64" s="72"/>
    </row>
    <row r="65" spans="1:17">
      <c r="A65" s="72"/>
      <c r="B65" s="72"/>
      <c r="C65" s="72"/>
      <c r="D65" s="72"/>
      <c r="E65" s="72"/>
      <c r="F65" s="72"/>
      <c r="G65" s="72"/>
      <c r="H65" s="72"/>
      <c r="I65" s="72"/>
      <c r="J65" s="72"/>
      <c r="K65" s="72"/>
      <c r="L65" s="72"/>
      <c r="M65" s="72"/>
      <c r="N65" s="72"/>
      <c r="O65" s="72"/>
      <c r="P65" s="72"/>
      <c r="Q65" s="72"/>
    </row>
    <row r="66" spans="1:17">
      <c r="A66" s="72"/>
      <c r="B66" s="72"/>
      <c r="C66" s="72"/>
      <c r="D66" s="72"/>
      <c r="E66" s="72"/>
      <c r="F66" s="72"/>
      <c r="G66" s="72"/>
      <c r="H66" s="72"/>
      <c r="I66" s="72"/>
      <c r="J66" s="72"/>
      <c r="K66" s="72"/>
      <c r="L66" s="72"/>
      <c r="M66" s="72"/>
      <c r="N66" s="72"/>
      <c r="O66" s="72"/>
      <c r="P66" s="72"/>
      <c r="Q66" s="72"/>
    </row>
    <row r="67" spans="1:17">
      <c r="A67" s="72"/>
      <c r="B67" s="72"/>
      <c r="C67" s="72"/>
      <c r="D67" s="72"/>
      <c r="E67" s="72"/>
      <c r="F67" s="72"/>
      <c r="G67" s="72"/>
      <c r="H67" s="72"/>
      <c r="I67" s="72"/>
      <c r="J67" s="72"/>
      <c r="K67" s="72"/>
      <c r="L67" s="72"/>
      <c r="M67" s="72"/>
      <c r="N67" s="72"/>
      <c r="O67" s="72"/>
      <c r="P67" s="72"/>
      <c r="Q67" s="72"/>
    </row>
    <row r="68" spans="1:17">
      <c r="A68" s="72"/>
      <c r="B68" s="72"/>
      <c r="C68" s="72"/>
      <c r="D68" s="72"/>
      <c r="E68" s="72"/>
      <c r="F68" s="72"/>
      <c r="G68" s="72"/>
      <c r="H68" s="72"/>
      <c r="I68" s="72"/>
      <c r="J68" s="72"/>
      <c r="K68" s="72"/>
      <c r="L68" s="72"/>
      <c r="M68" s="72"/>
      <c r="N68" s="72"/>
      <c r="O68" s="72"/>
      <c r="P68" s="72"/>
      <c r="Q68" s="72"/>
    </row>
    <row r="69" spans="1:17">
      <c r="A69" s="72"/>
      <c r="B69" s="72"/>
      <c r="C69" s="72"/>
      <c r="D69" s="72"/>
      <c r="E69" s="72"/>
      <c r="F69" s="72"/>
      <c r="G69" s="72"/>
      <c r="H69" s="72"/>
      <c r="I69" s="72"/>
      <c r="J69" s="72"/>
      <c r="K69" s="72"/>
      <c r="L69" s="72"/>
      <c r="M69" s="72"/>
      <c r="N69" s="72"/>
      <c r="O69" s="72"/>
      <c r="P69" s="72"/>
      <c r="Q69" s="72"/>
    </row>
    <row r="70" spans="1:17">
      <c r="A70" s="72"/>
      <c r="B70" s="72"/>
      <c r="C70" s="72"/>
      <c r="D70" s="72"/>
      <c r="E70" s="72"/>
      <c r="F70" s="72"/>
      <c r="G70" s="72"/>
      <c r="H70" s="72"/>
      <c r="I70" s="72"/>
      <c r="J70" s="72"/>
      <c r="K70" s="72"/>
      <c r="L70" s="72"/>
      <c r="M70" s="72"/>
      <c r="N70" s="72"/>
      <c r="O70" s="72"/>
      <c r="P70" s="72"/>
      <c r="Q70" s="72"/>
    </row>
    <row r="71" spans="1:17">
      <c r="A71" s="72"/>
      <c r="B71" s="72"/>
      <c r="C71" s="72"/>
      <c r="D71" s="72"/>
      <c r="E71" s="72"/>
      <c r="F71" s="72"/>
      <c r="G71" s="72"/>
      <c r="H71" s="72"/>
      <c r="I71" s="72"/>
      <c r="J71" s="72"/>
      <c r="K71" s="72"/>
      <c r="L71" s="72"/>
      <c r="M71" s="72"/>
      <c r="N71" s="72"/>
      <c r="O71" s="72"/>
      <c r="P71" s="72"/>
      <c r="Q71" s="72"/>
    </row>
    <row r="72" spans="1:17">
      <c r="A72" s="72"/>
      <c r="B72" s="72"/>
      <c r="C72" s="72"/>
      <c r="D72" s="72"/>
      <c r="E72" s="72"/>
      <c r="F72" s="72"/>
      <c r="G72" s="72"/>
      <c r="H72" s="72"/>
      <c r="I72" s="72"/>
      <c r="J72" s="72"/>
      <c r="K72" s="72"/>
      <c r="L72" s="72"/>
      <c r="M72" s="72"/>
      <c r="N72" s="72"/>
      <c r="O72" s="72"/>
      <c r="P72" s="72"/>
      <c r="Q72" s="72"/>
    </row>
    <row r="73" spans="1:17">
      <c r="A73" s="72"/>
      <c r="B73" s="72"/>
      <c r="C73" s="72"/>
      <c r="D73" s="72"/>
      <c r="E73" s="72"/>
      <c r="F73" s="72"/>
      <c r="G73" s="72"/>
      <c r="H73" s="72"/>
      <c r="I73" s="72"/>
      <c r="J73" s="72"/>
      <c r="K73" s="72"/>
      <c r="L73" s="72"/>
      <c r="M73" s="72"/>
      <c r="N73" s="72"/>
      <c r="O73" s="72"/>
      <c r="P73" s="72"/>
      <c r="Q73" s="72"/>
    </row>
    <row r="74" spans="1:17">
      <c r="A74" s="72"/>
      <c r="B74" s="72"/>
      <c r="C74" s="72"/>
      <c r="D74" s="72"/>
      <c r="E74" s="72"/>
      <c r="F74" s="72"/>
      <c r="G74" s="72"/>
      <c r="H74" s="72"/>
      <c r="I74" s="72"/>
      <c r="J74" s="72"/>
      <c r="K74" s="72"/>
      <c r="L74" s="72"/>
      <c r="M74" s="72"/>
      <c r="N74" s="72"/>
      <c r="O74" s="72"/>
      <c r="P74" s="72"/>
      <c r="Q74" s="72"/>
    </row>
    <row r="75" spans="1:17">
      <c r="A75" s="72"/>
      <c r="B75" s="72"/>
      <c r="C75" s="72"/>
      <c r="D75" s="72"/>
      <c r="E75" s="72"/>
      <c r="F75" s="72"/>
      <c r="G75" s="72"/>
      <c r="H75" s="72"/>
      <c r="I75" s="72"/>
      <c r="J75" s="72"/>
      <c r="K75" s="72"/>
      <c r="L75" s="72"/>
      <c r="M75" s="72"/>
      <c r="N75" s="72"/>
      <c r="O75" s="72"/>
      <c r="P75" s="72"/>
      <c r="Q75" s="72"/>
    </row>
    <row r="76" spans="1:17">
      <c r="A76" s="72"/>
      <c r="B76" s="72"/>
      <c r="C76" s="72"/>
      <c r="D76" s="72"/>
      <c r="E76" s="72"/>
      <c r="F76" s="72"/>
      <c r="G76" s="72"/>
      <c r="H76" s="72"/>
      <c r="I76" s="72"/>
      <c r="J76" s="72"/>
      <c r="K76" s="72"/>
      <c r="L76" s="72"/>
      <c r="M76" s="72"/>
      <c r="N76" s="72"/>
      <c r="O76" s="72"/>
      <c r="P76" s="72"/>
      <c r="Q76" s="72"/>
    </row>
    <row r="77" spans="1:17">
      <c r="A77" s="72"/>
      <c r="B77" s="72"/>
      <c r="C77" s="72"/>
      <c r="D77" s="72"/>
      <c r="E77" s="72"/>
      <c r="F77" s="72"/>
      <c r="G77" s="72"/>
      <c r="H77" s="72"/>
      <c r="I77" s="72"/>
      <c r="J77" s="72"/>
      <c r="K77" s="72"/>
      <c r="L77" s="72"/>
      <c r="M77" s="72"/>
      <c r="N77" s="72"/>
      <c r="O77" s="72"/>
      <c r="P77" s="72"/>
      <c r="Q77" s="72"/>
    </row>
    <row r="78" spans="1:17">
      <c r="A78" s="72"/>
      <c r="B78" s="72"/>
      <c r="C78" s="72"/>
      <c r="D78" s="72"/>
      <c r="E78" s="72"/>
      <c r="F78" s="72"/>
      <c r="G78" s="72"/>
      <c r="H78" s="72"/>
      <c r="I78" s="72"/>
      <c r="J78" s="72"/>
      <c r="K78" s="72"/>
      <c r="L78" s="72"/>
      <c r="M78" s="72"/>
      <c r="N78" s="72"/>
      <c r="O78" s="72"/>
      <c r="P78" s="72"/>
      <c r="Q78" s="72"/>
    </row>
    <row r="79" spans="1:17">
      <c r="A79" s="72"/>
      <c r="B79" s="72"/>
      <c r="C79" s="72"/>
      <c r="D79" s="72"/>
      <c r="E79" s="72"/>
      <c r="F79" s="72"/>
      <c r="G79" s="72"/>
      <c r="H79" s="72"/>
      <c r="I79" s="72"/>
      <c r="J79" s="72"/>
      <c r="K79" s="72"/>
      <c r="L79" s="72"/>
      <c r="M79" s="72"/>
      <c r="N79" s="72"/>
      <c r="O79" s="72"/>
      <c r="P79" s="72"/>
      <c r="Q79" s="72"/>
    </row>
    <row r="80" spans="1:17">
      <c r="A80" s="72"/>
      <c r="B80" s="72"/>
      <c r="C80" s="72"/>
      <c r="D80" s="72"/>
      <c r="E80" s="72"/>
      <c r="F80" s="72"/>
      <c r="G80" s="72"/>
      <c r="H80" s="72"/>
      <c r="I80" s="72"/>
      <c r="J80" s="72"/>
      <c r="K80" s="72"/>
      <c r="L80" s="72"/>
      <c r="M80" s="72"/>
      <c r="N80" s="72"/>
      <c r="O80" s="72"/>
      <c r="P80" s="72"/>
      <c r="Q80" s="72"/>
    </row>
    <row r="81" spans="1:17">
      <c r="A81" s="72"/>
      <c r="B81" s="72"/>
      <c r="C81" s="72"/>
      <c r="D81" s="72"/>
      <c r="E81" s="72"/>
      <c r="F81" s="72"/>
      <c r="G81" s="72"/>
      <c r="H81" s="72"/>
      <c r="I81" s="72"/>
      <c r="J81" s="72"/>
      <c r="K81" s="72"/>
      <c r="L81" s="72"/>
      <c r="M81" s="72"/>
      <c r="N81" s="72"/>
      <c r="O81" s="72"/>
      <c r="P81" s="72"/>
      <c r="Q81" s="72"/>
    </row>
    <row r="82" spans="1:17">
      <c r="A82" s="72"/>
      <c r="B82" s="72"/>
      <c r="C82" s="72"/>
      <c r="D82" s="72"/>
      <c r="E82" s="72"/>
      <c r="F82" s="72"/>
      <c r="G82" s="72"/>
      <c r="H82" s="72"/>
      <c r="I82" s="72"/>
      <c r="J82" s="72"/>
      <c r="K82" s="72"/>
      <c r="L82" s="72"/>
      <c r="M82" s="72"/>
      <c r="N82" s="72"/>
      <c r="O82" s="72"/>
      <c r="P82" s="72"/>
      <c r="Q82" s="72"/>
    </row>
    <row r="83" spans="1:17">
      <c r="A83" s="72"/>
      <c r="B83" s="72"/>
      <c r="C83" s="72"/>
      <c r="D83" s="72"/>
      <c r="E83" s="72"/>
      <c r="F83" s="72"/>
      <c r="G83" s="72"/>
      <c r="H83" s="72"/>
      <c r="I83" s="72"/>
      <c r="J83" s="72"/>
      <c r="K83" s="72"/>
      <c r="L83" s="72"/>
      <c r="M83" s="72"/>
      <c r="N83" s="72"/>
      <c r="O83" s="72"/>
      <c r="P83" s="72"/>
      <c r="Q83" s="72"/>
    </row>
    <row r="84" spans="1:17" ht="15.6">
      <c r="A84" s="72"/>
      <c r="B84" s="72"/>
      <c r="C84" s="72"/>
      <c r="D84" s="72"/>
      <c r="E84" s="72"/>
      <c r="F84" s="72"/>
      <c r="G84" s="72"/>
      <c r="H84" s="72"/>
      <c r="I84" s="72"/>
      <c r="J84" s="72"/>
      <c r="K84" s="72"/>
      <c r="L84" s="72"/>
      <c r="M84" s="72"/>
      <c r="N84" s="478"/>
      <c r="O84" s="478"/>
      <c r="P84" s="478"/>
      <c r="Q84" s="478"/>
    </row>
    <row r="85" spans="1:17" ht="15.6">
      <c r="A85" s="478"/>
      <c r="B85" s="478"/>
      <c r="C85" s="478"/>
      <c r="D85" s="478"/>
      <c r="E85" s="478"/>
      <c r="F85" s="478"/>
      <c r="G85" s="478"/>
      <c r="H85" s="478"/>
      <c r="I85" s="478"/>
      <c r="J85" s="478"/>
      <c r="K85" s="478"/>
      <c r="L85" s="478"/>
      <c r="M85" s="478"/>
      <c r="N85" s="478"/>
      <c r="O85" s="478"/>
      <c r="P85" s="478"/>
      <c r="Q85" s="478"/>
    </row>
    <row r="86" spans="1:17" ht="15.6">
      <c r="A86" s="478"/>
      <c r="B86" s="478"/>
      <c r="C86" s="478"/>
      <c r="D86" s="478"/>
      <c r="E86" s="478"/>
      <c r="F86" s="478"/>
      <c r="G86" s="478"/>
      <c r="H86" s="478"/>
      <c r="I86" s="478"/>
      <c r="J86" s="478"/>
      <c r="K86" s="478"/>
      <c r="L86" s="478"/>
      <c r="M86" s="478"/>
      <c r="N86" s="478"/>
      <c r="O86" s="478"/>
      <c r="P86" s="478"/>
      <c r="Q86" s="478"/>
    </row>
    <row r="87" spans="1:17" ht="15.6">
      <c r="A87" s="478"/>
      <c r="B87" s="478"/>
      <c r="C87" s="478"/>
      <c r="D87" s="478"/>
      <c r="E87" s="478"/>
      <c r="F87" s="478"/>
      <c r="G87" s="478"/>
      <c r="H87" s="478"/>
      <c r="I87" s="478"/>
      <c r="J87" s="478"/>
      <c r="K87" s="478"/>
      <c r="L87" s="478"/>
      <c r="M87" s="478"/>
      <c r="N87" s="478"/>
      <c r="O87" s="478"/>
      <c r="P87" s="478"/>
      <c r="Q87" s="478"/>
    </row>
    <row r="88" spans="1:17" ht="15.6">
      <c r="A88" s="478"/>
      <c r="B88" s="478"/>
      <c r="C88" s="478"/>
      <c r="D88" s="478"/>
      <c r="E88" s="478"/>
      <c r="F88" s="478"/>
      <c r="G88" s="478"/>
      <c r="H88" s="478"/>
      <c r="I88" s="478"/>
      <c r="J88" s="478"/>
      <c r="K88" s="478"/>
      <c r="L88" s="478"/>
      <c r="M88" s="478"/>
      <c r="N88" s="478"/>
      <c r="O88" s="478"/>
      <c r="P88" s="478"/>
      <c r="Q88" s="478"/>
    </row>
    <row r="89" spans="1:17" ht="15.6">
      <c r="A89" s="478"/>
      <c r="B89" s="478"/>
      <c r="C89" s="478"/>
      <c r="D89" s="478"/>
      <c r="E89" s="478"/>
      <c r="F89" s="478"/>
      <c r="G89" s="478"/>
      <c r="H89" s="478"/>
      <c r="I89" s="478"/>
      <c r="J89" s="478"/>
      <c r="K89" s="478"/>
      <c r="L89" s="478"/>
      <c r="M89" s="478"/>
      <c r="N89" s="478"/>
      <c r="O89" s="478"/>
      <c r="P89" s="478"/>
      <c r="Q89" s="478"/>
    </row>
    <row r="90" spans="1:17" ht="15.6">
      <c r="A90" s="478"/>
      <c r="B90" s="478"/>
      <c r="C90" s="478"/>
      <c r="D90" s="478"/>
      <c r="E90" s="478"/>
      <c r="F90" s="478"/>
      <c r="G90" s="478"/>
      <c r="H90" s="478"/>
      <c r="I90" s="478"/>
      <c r="J90" s="478"/>
      <c r="K90" s="478"/>
      <c r="L90" s="478"/>
      <c r="M90" s="478"/>
      <c r="N90" s="478"/>
      <c r="O90" s="478"/>
      <c r="P90" s="478"/>
      <c r="Q90" s="478"/>
    </row>
    <row r="91" spans="1:17" ht="15.6">
      <c r="A91" s="478"/>
      <c r="B91" s="478"/>
      <c r="C91" s="478"/>
      <c r="D91" s="478"/>
      <c r="E91" s="478"/>
      <c r="F91" s="478"/>
      <c r="G91" s="478"/>
      <c r="H91" s="478"/>
      <c r="I91" s="478"/>
      <c r="J91" s="478"/>
      <c r="K91" s="478"/>
      <c r="L91" s="478"/>
      <c r="M91" s="478"/>
      <c r="N91" s="478"/>
      <c r="O91" s="478"/>
      <c r="P91" s="478"/>
      <c r="Q91" s="478"/>
    </row>
    <row r="92" spans="1:17" ht="15.6">
      <c r="A92" s="478"/>
      <c r="B92" s="478"/>
      <c r="C92" s="478"/>
      <c r="D92" s="478"/>
      <c r="E92" s="478"/>
      <c r="F92" s="478"/>
      <c r="G92" s="478"/>
      <c r="H92" s="478"/>
      <c r="I92" s="478"/>
      <c r="J92" s="478"/>
      <c r="K92" s="478"/>
      <c r="L92" s="478"/>
      <c r="M92" s="478"/>
      <c r="N92" s="478"/>
      <c r="O92" s="478"/>
      <c r="P92" s="478"/>
      <c r="Q92" s="478"/>
    </row>
    <row r="93" spans="1:17" ht="15.6">
      <c r="A93" s="478"/>
      <c r="B93" s="478"/>
      <c r="C93" s="478"/>
      <c r="D93" s="478"/>
      <c r="E93" s="478"/>
      <c r="F93" s="478"/>
      <c r="G93" s="478"/>
      <c r="H93" s="478"/>
      <c r="I93" s="478"/>
      <c r="J93" s="478"/>
      <c r="K93" s="478"/>
      <c r="L93" s="478"/>
      <c r="M93" s="478"/>
      <c r="N93" s="478"/>
      <c r="O93" s="478"/>
      <c r="P93" s="478"/>
      <c r="Q93" s="478"/>
    </row>
    <row r="94" spans="1:17" ht="15.6">
      <c r="A94" s="478"/>
      <c r="B94" s="478"/>
      <c r="C94" s="478"/>
      <c r="D94" s="478"/>
      <c r="E94" s="478"/>
      <c r="F94" s="478"/>
      <c r="G94" s="478"/>
      <c r="H94" s="478"/>
      <c r="I94" s="478"/>
      <c r="J94" s="478"/>
      <c r="K94" s="478"/>
      <c r="L94" s="478"/>
      <c r="M94" s="478"/>
      <c r="N94" s="478"/>
      <c r="O94" s="478"/>
      <c r="P94" s="478"/>
      <c r="Q94" s="478"/>
    </row>
    <row r="95" spans="1:17" ht="15.6">
      <c r="A95" s="478"/>
      <c r="B95" s="478"/>
      <c r="C95" s="478"/>
      <c r="D95" s="478"/>
      <c r="E95" s="478"/>
      <c r="F95" s="478"/>
      <c r="G95" s="478"/>
      <c r="H95" s="478"/>
      <c r="I95" s="478"/>
      <c r="J95" s="478"/>
      <c r="K95" s="478"/>
      <c r="L95" s="478"/>
      <c r="M95" s="478"/>
      <c r="N95" s="478"/>
      <c r="O95" s="478"/>
      <c r="P95" s="478"/>
      <c r="Q95" s="478"/>
    </row>
    <row r="96" spans="1:17" ht="15.6">
      <c r="A96" s="478"/>
      <c r="B96" s="478"/>
      <c r="C96" s="478"/>
      <c r="D96" s="478"/>
      <c r="E96" s="478"/>
      <c r="F96" s="478"/>
      <c r="G96" s="478"/>
      <c r="H96" s="478"/>
      <c r="I96" s="478"/>
      <c r="J96" s="478"/>
      <c r="K96" s="478"/>
      <c r="L96" s="478"/>
      <c r="M96" s="478"/>
      <c r="N96" s="478"/>
      <c r="O96" s="478"/>
      <c r="P96" s="478"/>
      <c r="Q96" s="478"/>
    </row>
    <row r="97" spans="1:17" ht="15.6">
      <c r="A97" s="478"/>
      <c r="B97" s="478"/>
      <c r="C97" s="478"/>
      <c r="D97" s="478"/>
      <c r="E97" s="478"/>
      <c r="F97" s="478"/>
      <c r="G97" s="478"/>
      <c r="H97" s="478"/>
      <c r="I97" s="478"/>
      <c r="J97" s="478"/>
      <c r="K97" s="478"/>
      <c r="L97" s="478"/>
      <c r="M97" s="478"/>
      <c r="N97" s="478"/>
      <c r="O97" s="478"/>
      <c r="P97" s="478"/>
      <c r="Q97" s="478"/>
    </row>
    <row r="98" spans="1:17" ht="15.6">
      <c r="A98" s="478"/>
      <c r="B98" s="478"/>
      <c r="C98" s="478"/>
      <c r="D98" s="478"/>
      <c r="E98" s="478"/>
      <c r="F98" s="478"/>
      <c r="G98" s="478"/>
      <c r="H98" s="478"/>
      <c r="I98" s="478"/>
      <c r="J98" s="478"/>
      <c r="K98" s="478"/>
      <c r="L98" s="478"/>
      <c r="M98" s="478"/>
      <c r="N98" s="478"/>
      <c r="O98" s="478"/>
      <c r="P98" s="478"/>
      <c r="Q98" s="478"/>
    </row>
    <row r="99" spans="1:17" ht="15.6">
      <c r="A99" s="478"/>
      <c r="B99" s="478"/>
      <c r="C99" s="478"/>
      <c r="D99" s="478"/>
      <c r="E99" s="478"/>
      <c r="F99" s="478"/>
      <c r="G99" s="478"/>
      <c r="H99" s="478"/>
      <c r="I99" s="478"/>
      <c r="J99" s="478"/>
      <c r="K99" s="478"/>
      <c r="L99" s="478"/>
      <c r="M99" s="478"/>
      <c r="N99" s="478"/>
      <c r="O99" s="478"/>
      <c r="P99" s="478"/>
      <c r="Q99" s="478"/>
    </row>
    <row r="100" spans="1:17" ht="15.6">
      <c r="A100" s="478"/>
      <c r="B100" s="478"/>
      <c r="C100" s="478"/>
      <c r="D100" s="478"/>
      <c r="E100" s="478"/>
      <c r="F100" s="478"/>
      <c r="G100" s="478"/>
      <c r="H100" s="478"/>
      <c r="I100" s="478"/>
      <c r="J100" s="478"/>
      <c r="K100" s="478"/>
      <c r="L100" s="478"/>
      <c r="M100" s="478"/>
      <c r="N100" s="478"/>
      <c r="O100" s="478"/>
      <c r="P100" s="478"/>
      <c r="Q100" s="478"/>
    </row>
    <row r="101" spans="1:17" ht="15.6">
      <c r="A101" s="478"/>
      <c r="B101" s="478"/>
      <c r="C101" s="478"/>
      <c r="D101" s="478"/>
      <c r="E101" s="478"/>
      <c r="F101" s="478"/>
      <c r="G101" s="478"/>
      <c r="H101" s="478"/>
      <c r="I101" s="478"/>
      <c r="J101" s="478"/>
      <c r="K101" s="478"/>
      <c r="L101" s="478"/>
      <c r="M101" s="478"/>
      <c r="N101" s="478"/>
      <c r="O101" s="478"/>
      <c r="P101" s="478"/>
      <c r="Q101" s="478"/>
    </row>
    <row r="102" spans="1:17" ht="15.6">
      <c r="A102" s="478"/>
      <c r="B102" s="478"/>
      <c r="C102" s="478"/>
      <c r="D102" s="478"/>
      <c r="E102" s="478"/>
      <c r="F102" s="478"/>
      <c r="G102" s="478"/>
      <c r="H102" s="478"/>
      <c r="I102" s="478"/>
      <c r="J102" s="478"/>
      <c r="K102" s="478"/>
      <c r="L102" s="478"/>
      <c r="M102" s="478"/>
      <c r="N102" s="478"/>
      <c r="O102" s="478"/>
      <c r="P102" s="478"/>
      <c r="Q102" s="478"/>
    </row>
    <row r="103" spans="1:17" ht="15.6">
      <c r="A103" s="478"/>
      <c r="B103" s="478"/>
      <c r="C103" s="478"/>
      <c r="D103" s="478"/>
      <c r="E103" s="478"/>
      <c r="F103" s="478"/>
      <c r="G103" s="478"/>
      <c r="H103" s="478"/>
      <c r="I103" s="478"/>
      <c r="J103" s="478"/>
      <c r="K103" s="478"/>
      <c r="L103" s="478"/>
      <c r="M103" s="478"/>
      <c r="N103" s="478"/>
      <c r="O103" s="478"/>
      <c r="P103" s="478"/>
      <c r="Q103" s="478"/>
    </row>
    <row r="104" spans="1:17" ht="15.6">
      <c r="A104" s="478"/>
      <c r="B104" s="478"/>
      <c r="C104" s="478"/>
      <c r="D104" s="478"/>
      <c r="E104" s="478"/>
      <c r="F104" s="478"/>
      <c r="G104" s="478"/>
      <c r="H104" s="478"/>
      <c r="I104" s="478"/>
      <c r="J104" s="478"/>
      <c r="K104" s="478"/>
      <c r="L104" s="478"/>
      <c r="M104" s="478"/>
      <c r="N104" s="478"/>
      <c r="O104" s="478"/>
      <c r="P104" s="478"/>
      <c r="Q104" s="478"/>
    </row>
    <row r="105" spans="1:17" ht="15.6">
      <c r="A105" s="478"/>
      <c r="B105" s="478"/>
      <c r="C105" s="478"/>
      <c r="D105" s="478"/>
      <c r="E105" s="478"/>
      <c r="F105" s="478"/>
      <c r="G105" s="478"/>
      <c r="H105" s="478"/>
      <c r="I105" s="478"/>
      <c r="J105" s="478"/>
      <c r="K105" s="478"/>
      <c r="L105" s="478"/>
      <c r="M105" s="478"/>
      <c r="N105" s="478"/>
      <c r="O105" s="478"/>
      <c r="P105" s="478"/>
      <c r="Q105" s="478"/>
    </row>
    <row r="106" spans="1:17" ht="15.6">
      <c r="A106" s="478"/>
      <c r="B106" s="478"/>
      <c r="C106" s="478"/>
      <c r="D106" s="478"/>
      <c r="E106" s="478"/>
      <c r="F106" s="478"/>
      <c r="G106" s="478"/>
      <c r="H106" s="478"/>
      <c r="I106" s="478"/>
      <c r="J106" s="478"/>
      <c r="K106" s="478"/>
      <c r="L106" s="478"/>
      <c r="M106" s="478"/>
      <c r="N106" s="478"/>
      <c r="O106" s="478"/>
      <c r="P106" s="478"/>
      <c r="Q106" s="478"/>
    </row>
    <row r="107" spans="1:17" ht="15.6">
      <c r="A107" s="478"/>
      <c r="B107" s="478"/>
      <c r="C107" s="478"/>
      <c r="D107" s="478"/>
      <c r="E107" s="478"/>
      <c r="F107" s="478"/>
      <c r="G107" s="478"/>
      <c r="H107" s="478"/>
      <c r="I107" s="478"/>
      <c r="J107" s="478"/>
      <c r="K107" s="478"/>
      <c r="L107" s="478"/>
      <c r="M107" s="478"/>
      <c r="N107" s="478"/>
      <c r="O107" s="478"/>
      <c r="P107" s="478"/>
      <c r="Q107" s="478"/>
    </row>
    <row r="108" spans="1:17" ht="15.6">
      <c r="A108" s="478"/>
      <c r="B108" s="478"/>
      <c r="C108" s="478"/>
      <c r="D108" s="478"/>
      <c r="E108" s="478"/>
      <c r="F108" s="478"/>
      <c r="G108" s="478"/>
      <c r="H108" s="478"/>
      <c r="I108" s="478"/>
      <c r="J108" s="478"/>
      <c r="K108" s="478"/>
      <c r="L108" s="478"/>
      <c r="M108" s="478"/>
      <c r="N108" s="478"/>
      <c r="O108" s="478"/>
      <c r="P108" s="478"/>
      <c r="Q108" s="478"/>
    </row>
    <row r="109" spans="1:17" ht="15.6">
      <c r="A109" s="478"/>
      <c r="B109" s="478"/>
      <c r="C109" s="478"/>
      <c r="D109" s="478"/>
      <c r="E109" s="478"/>
      <c r="F109" s="478"/>
      <c r="G109" s="478"/>
      <c r="H109" s="478"/>
      <c r="I109" s="478"/>
      <c r="J109" s="478"/>
      <c r="K109" s="478"/>
      <c r="L109" s="478"/>
      <c r="M109" s="478"/>
      <c r="N109" s="478"/>
      <c r="O109" s="478"/>
      <c r="P109" s="478"/>
      <c r="Q109" s="478"/>
    </row>
    <row r="110" spans="1:17" ht="15.6">
      <c r="A110" s="478"/>
      <c r="B110" s="478"/>
      <c r="C110" s="478"/>
      <c r="D110" s="478"/>
      <c r="E110" s="478"/>
      <c r="F110" s="478"/>
      <c r="G110" s="478"/>
      <c r="H110" s="478"/>
      <c r="I110" s="478"/>
      <c r="J110" s="478"/>
      <c r="K110" s="478"/>
      <c r="L110" s="478"/>
      <c r="M110" s="478"/>
      <c r="N110" s="478"/>
      <c r="O110" s="478"/>
      <c r="P110" s="478"/>
      <c r="Q110" s="478"/>
    </row>
    <row r="111" spans="1:17" ht="15.6">
      <c r="A111" s="478"/>
      <c r="B111" s="478"/>
      <c r="C111" s="478"/>
      <c r="D111" s="478"/>
      <c r="E111" s="478"/>
      <c r="F111" s="478"/>
      <c r="G111" s="478"/>
      <c r="H111" s="478"/>
      <c r="I111" s="478"/>
      <c r="J111" s="478"/>
      <c r="K111" s="478"/>
      <c r="L111" s="478"/>
      <c r="M111" s="478"/>
      <c r="N111" s="478"/>
      <c r="O111" s="478"/>
      <c r="P111" s="478"/>
      <c r="Q111" s="478"/>
    </row>
    <row r="112" spans="1:17" ht="15.6">
      <c r="A112" s="478"/>
      <c r="B112" s="478"/>
      <c r="C112" s="478"/>
      <c r="D112" s="478"/>
      <c r="E112" s="478"/>
      <c r="F112" s="478"/>
      <c r="G112" s="478"/>
      <c r="H112" s="478"/>
      <c r="I112" s="478"/>
      <c r="J112" s="478"/>
      <c r="K112" s="478"/>
      <c r="L112" s="478"/>
      <c r="M112" s="478"/>
      <c r="N112" s="478"/>
      <c r="O112" s="478"/>
      <c r="P112" s="478"/>
      <c r="Q112" s="478"/>
    </row>
    <row r="113" spans="1:17" ht="15.6">
      <c r="A113" s="478"/>
      <c r="B113" s="478"/>
      <c r="C113" s="478"/>
      <c r="D113" s="478"/>
      <c r="E113" s="478"/>
      <c r="F113" s="478"/>
      <c r="G113" s="478"/>
      <c r="H113" s="478"/>
      <c r="I113" s="478"/>
      <c r="J113" s="478"/>
      <c r="K113" s="478"/>
      <c r="L113" s="478"/>
      <c r="M113" s="478"/>
      <c r="N113" s="478"/>
      <c r="O113" s="478"/>
      <c r="P113" s="478"/>
      <c r="Q113" s="478"/>
    </row>
    <row r="114" spans="1:17" ht="15.6">
      <c r="A114" s="478"/>
      <c r="B114" s="478"/>
      <c r="C114" s="478"/>
      <c r="D114" s="478"/>
      <c r="E114" s="478"/>
      <c r="F114" s="478"/>
      <c r="G114" s="478"/>
      <c r="H114" s="478"/>
      <c r="I114" s="478"/>
      <c r="J114" s="478"/>
      <c r="K114" s="478"/>
      <c r="L114" s="478"/>
      <c r="M114" s="478"/>
      <c r="N114" s="478"/>
      <c r="O114" s="478"/>
      <c r="P114" s="478"/>
      <c r="Q114" s="478"/>
    </row>
    <row r="115" spans="1:17" ht="15.6">
      <c r="A115" s="478"/>
      <c r="B115" s="478"/>
      <c r="C115" s="478"/>
      <c r="D115" s="478"/>
      <c r="E115" s="478"/>
      <c r="F115" s="478"/>
      <c r="G115" s="478"/>
      <c r="H115" s="478"/>
      <c r="I115" s="478"/>
      <c r="J115" s="478"/>
      <c r="K115" s="478"/>
      <c r="L115" s="478"/>
      <c r="M115" s="478"/>
      <c r="N115" s="478"/>
      <c r="O115" s="478"/>
      <c r="P115" s="478"/>
      <c r="Q115" s="478"/>
    </row>
    <row r="116" spans="1:17" ht="15.6">
      <c r="A116" s="478"/>
      <c r="B116" s="478"/>
      <c r="C116" s="478"/>
      <c r="D116" s="478"/>
      <c r="E116" s="478"/>
      <c r="F116" s="478"/>
      <c r="G116" s="478"/>
      <c r="H116" s="478"/>
      <c r="I116" s="478"/>
      <c r="J116" s="478"/>
      <c r="K116" s="478"/>
      <c r="L116" s="478"/>
      <c r="M116" s="478"/>
      <c r="N116" s="478"/>
      <c r="O116" s="478"/>
      <c r="P116" s="478"/>
      <c r="Q116" s="478"/>
    </row>
    <row r="117" spans="1:17" ht="15.6">
      <c r="A117" s="478"/>
      <c r="B117" s="478"/>
      <c r="C117" s="478"/>
      <c r="D117" s="478"/>
      <c r="E117" s="478"/>
      <c r="F117" s="478"/>
      <c r="G117" s="478"/>
      <c r="H117" s="478"/>
      <c r="I117" s="478"/>
      <c r="J117" s="478"/>
      <c r="K117" s="478"/>
      <c r="L117" s="478"/>
      <c r="M117" s="478"/>
      <c r="N117" s="478"/>
      <c r="O117" s="478"/>
      <c r="P117" s="478"/>
      <c r="Q117" s="478"/>
    </row>
    <row r="118" spans="1:17" ht="15.6">
      <c r="A118" s="478"/>
      <c r="B118" s="478"/>
      <c r="C118" s="478"/>
      <c r="D118" s="478"/>
      <c r="E118" s="478"/>
      <c r="F118" s="478"/>
      <c r="G118" s="478"/>
      <c r="H118" s="478"/>
      <c r="I118" s="478"/>
      <c r="J118" s="478"/>
      <c r="K118" s="478"/>
      <c r="L118" s="478"/>
      <c r="M118" s="478"/>
      <c r="N118" s="478"/>
      <c r="O118" s="478"/>
      <c r="P118" s="478"/>
      <c r="Q118" s="478"/>
    </row>
    <row r="119" spans="1:17" ht="15.6">
      <c r="A119" s="478"/>
      <c r="B119" s="478"/>
      <c r="C119" s="478"/>
      <c r="D119" s="478"/>
      <c r="E119" s="478"/>
      <c r="F119" s="478"/>
      <c r="G119" s="478"/>
      <c r="H119" s="478"/>
      <c r="I119" s="478"/>
      <c r="J119" s="478"/>
      <c r="K119" s="478"/>
      <c r="L119" s="478"/>
      <c r="M119" s="478"/>
      <c r="N119" s="478"/>
      <c r="O119" s="478"/>
      <c r="P119" s="478"/>
      <c r="Q119" s="478"/>
    </row>
    <row r="120" spans="1:17" ht="15.6">
      <c r="A120" s="478"/>
      <c r="B120" s="478"/>
      <c r="C120" s="478"/>
      <c r="D120" s="478"/>
      <c r="E120" s="478"/>
      <c r="F120" s="478"/>
      <c r="G120" s="478"/>
      <c r="H120" s="478"/>
      <c r="I120" s="478"/>
      <c r="J120" s="478"/>
      <c r="K120" s="478"/>
      <c r="L120" s="478"/>
      <c r="M120" s="478"/>
      <c r="N120" s="478"/>
      <c r="O120" s="478"/>
      <c r="P120" s="478"/>
      <c r="Q120" s="478"/>
    </row>
    <row r="121" spans="1:17" ht="15.6">
      <c r="A121" s="478"/>
      <c r="B121" s="478"/>
      <c r="C121" s="478"/>
      <c r="D121" s="478"/>
      <c r="E121" s="478"/>
      <c r="F121" s="478"/>
      <c r="G121" s="478"/>
      <c r="H121" s="478"/>
      <c r="I121" s="478"/>
      <c r="J121" s="478"/>
      <c r="K121" s="478"/>
      <c r="L121" s="478"/>
      <c r="M121" s="478"/>
      <c r="N121" s="478"/>
      <c r="O121" s="478"/>
      <c r="P121" s="478"/>
      <c r="Q121" s="478"/>
    </row>
    <row r="122" spans="1:17" ht="15.6">
      <c r="A122" s="478"/>
      <c r="B122" s="478"/>
      <c r="C122" s="478"/>
      <c r="D122" s="478"/>
      <c r="E122" s="478"/>
      <c r="F122" s="478"/>
      <c r="G122" s="478"/>
      <c r="H122" s="478"/>
      <c r="I122" s="478"/>
      <c r="J122" s="478"/>
      <c r="K122" s="478"/>
      <c r="L122" s="478"/>
      <c r="M122" s="478"/>
      <c r="N122" s="478"/>
      <c r="O122" s="478"/>
      <c r="P122" s="478"/>
      <c r="Q122" s="478"/>
    </row>
    <row r="123" spans="1:17" ht="15.6">
      <c r="A123" s="478"/>
      <c r="B123" s="478"/>
      <c r="C123" s="478"/>
      <c r="D123" s="478"/>
      <c r="E123" s="478"/>
      <c r="F123" s="478"/>
      <c r="G123" s="478"/>
      <c r="H123" s="478"/>
      <c r="I123" s="478"/>
      <c r="J123" s="478"/>
      <c r="K123" s="478"/>
      <c r="L123" s="478"/>
      <c r="M123" s="478"/>
      <c r="N123" s="478"/>
      <c r="O123" s="478"/>
      <c r="P123" s="478"/>
      <c r="Q123" s="478"/>
    </row>
    <row r="124" spans="1:17" ht="15.6">
      <c r="A124" s="478"/>
      <c r="B124" s="478"/>
      <c r="C124" s="478"/>
      <c r="D124" s="478"/>
      <c r="E124" s="478"/>
      <c r="F124" s="478"/>
      <c r="G124" s="478"/>
      <c r="H124" s="478"/>
      <c r="I124" s="478"/>
      <c r="J124" s="478"/>
      <c r="K124" s="478"/>
      <c r="L124" s="478"/>
      <c r="M124" s="478"/>
      <c r="N124" s="478"/>
      <c r="O124" s="478"/>
      <c r="P124" s="478"/>
      <c r="Q124" s="478"/>
    </row>
    <row r="125" spans="1:17" ht="15.6">
      <c r="A125" s="478"/>
      <c r="B125" s="478"/>
      <c r="C125" s="478"/>
      <c r="D125" s="478"/>
      <c r="E125" s="478"/>
      <c r="F125" s="478"/>
      <c r="G125" s="478"/>
      <c r="H125" s="478"/>
      <c r="I125" s="478"/>
      <c r="J125" s="478"/>
      <c r="K125" s="478"/>
      <c r="L125" s="478"/>
      <c r="M125" s="478"/>
      <c r="N125" s="478"/>
      <c r="O125" s="478"/>
      <c r="P125" s="478"/>
      <c r="Q125" s="478"/>
    </row>
    <row r="126" spans="1:17" ht="15.6">
      <c r="A126" s="478"/>
      <c r="B126" s="478"/>
      <c r="C126" s="478"/>
      <c r="D126" s="478"/>
      <c r="E126" s="478"/>
      <c r="F126" s="478"/>
      <c r="G126" s="478"/>
      <c r="H126" s="478"/>
      <c r="I126" s="478"/>
      <c r="J126" s="478"/>
      <c r="K126" s="478"/>
      <c r="L126" s="478"/>
      <c r="M126" s="478"/>
      <c r="N126" s="478"/>
      <c r="O126" s="478"/>
      <c r="P126" s="478"/>
      <c r="Q126" s="478"/>
    </row>
    <row r="127" spans="1:17" ht="15.6">
      <c r="A127" s="478"/>
      <c r="B127" s="478"/>
      <c r="C127" s="478"/>
      <c r="D127" s="478"/>
      <c r="E127" s="478"/>
      <c r="F127" s="478"/>
      <c r="G127" s="478"/>
      <c r="H127" s="478"/>
      <c r="I127" s="478"/>
      <c r="J127" s="478"/>
      <c r="K127" s="478"/>
      <c r="L127" s="478"/>
      <c r="M127" s="478"/>
      <c r="N127" s="478"/>
      <c r="O127" s="478"/>
      <c r="P127" s="478"/>
      <c r="Q127" s="478"/>
    </row>
    <row r="128" spans="1:17" ht="15.6">
      <c r="A128" s="478"/>
      <c r="B128" s="478"/>
      <c r="C128" s="478"/>
      <c r="D128" s="478"/>
      <c r="E128" s="478"/>
      <c r="F128" s="478"/>
      <c r="G128" s="478"/>
      <c r="H128" s="478"/>
      <c r="I128" s="478"/>
      <c r="J128" s="478"/>
      <c r="K128" s="478"/>
      <c r="L128" s="478"/>
      <c r="M128" s="478"/>
      <c r="N128" s="478"/>
      <c r="O128" s="478"/>
      <c r="P128" s="478"/>
      <c r="Q128" s="478"/>
    </row>
    <row r="129" spans="1:17" ht="15.6">
      <c r="A129" s="478"/>
      <c r="B129" s="478"/>
      <c r="C129" s="478"/>
      <c r="D129" s="478"/>
      <c r="E129" s="478"/>
      <c r="F129" s="478"/>
      <c r="G129" s="478"/>
      <c r="H129" s="478"/>
      <c r="I129" s="478"/>
      <c r="J129" s="478"/>
      <c r="K129" s="478"/>
      <c r="L129" s="478"/>
      <c r="M129" s="478"/>
      <c r="N129" s="478"/>
      <c r="O129" s="478"/>
      <c r="P129" s="478"/>
      <c r="Q129" s="478"/>
    </row>
    <row r="130" spans="1:17" ht="15.6">
      <c r="A130" s="478"/>
      <c r="B130" s="478"/>
      <c r="C130" s="478"/>
      <c r="D130" s="478"/>
      <c r="E130" s="478"/>
      <c r="F130" s="478"/>
      <c r="G130" s="478"/>
      <c r="H130" s="478"/>
      <c r="I130" s="478"/>
      <c r="J130" s="478"/>
      <c r="K130" s="478"/>
      <c r="L130" s="478"/>
      <c r="M130" s="478"/>
      <c r="N130" s="478"/>
      <c r="O130" s="478"/>
      <c r="P130" s="478"/>
      <c r="Q130" s="478"/>
    </row>
    <row r="131" spans="1:17" ht="15.6">
      <c r="A131" s="478"/>
      <c r="B131" s="478"/>
      <c r="C131" s="478"/>
      <c r="D131" s="478"/>
      <c r="E131" s="478"/>
      <c r="F131" s="478"/>
      <c r="G131" s="478"/>
      <c r="H131" s="478"/>
      <c r="I131" s="478"/>
      <c r="J131" s="478"/>
      <c r="K131" s="478"/>
      <c r="L131" s="478"/>
      <c r="M131" s="478"/>
      <c r="N131" s="478"/>
      <c r="O131" s="478"/>
      <c r="P131" s="478"/>
      <c r="Q131" s="478"/>
    </row>
    <row r="132" spans="1:17" ht="15.6">
      <c r="A132" s="478"/>
      <c r="B132" s="478"/>
      <c r="C132" s="478"/>
      <c r="D132" s="478"/>
      <c r="E132" s="478"/>
      <c r="F132" s="478"/>
      <c r="G132" s="478"/>
      <c r="H132" s="478"/>
      <c r="I132" s="478"/>
      <c r="J132" s="478"/>
      <c r="K132" s="478"/>
      <c r="L132" s="478"/>
      <c r="M132" s="478"/>
      <c r="N132" s="478"/>
      <c r="O132" s="478"/>
      <c r="P132" s="478"/>
      <c r="Q132" s="478"/>
    </row>
    <row r="133" spans="1:17" ht="15.6">
      <c r="A133" s="478"/>
      <c r="B133" s="478"/>
      <c r="C133" s="478"/>
      <c r="D133" s="478"/>
      <c r="E133" s="478"/>
      <c r="F133" s="478"/>
      <c r="G133" s="478"/>
      <c r="H133" s="478"/>
      <c r="I133" s="478"/>
      <c r="J133" s="478"/>
      <c r="K133" s="478"/>
      <c r="L133" s="478"/>
      <c r="M133" s="478"/>
      <c r="N133" s="478"/>
      <c r="O133" s="478"/>
      <c r="P133" s="478"/>
      <c r="Q133" s="478"/>
    </row>
    <row r="134" spans="1:17" ht="15.6">
      <c r="A134" s="478"/>
      <c r="B134" s="478"/>
      <c r="C134" s="478"/>
      <c r="D134" s="478"/>
      <c r="E134" s="478"/>
      <c r="F134" s="478"/>
      <c r="G134" s="478"/>
      <c r="H134" s="478"/>
      <c r="I134" s="478"/>
      <c r="J134" s="478"/>
      <c r="K134" s="478"/>
      <c r="L134" s="478"/>
      <c r="M134" s="478"/>
      <c r="N134" s="478"/>
      <c r="O134" s="478"/>
      <c r="P134" s="478"/>
      <c r="Q134" s="478"/>
    </row>
    <row r="135" spans="1:17" ht="15.6">
      <c r="A135" s="478"/>
      <c r="B135" s="478"/>
      <c r="C135" s="478"/>
      <c r="D135" s="478"/>
      <c r="E135" s="478"/>
      <c r="F135" s="478"/>
      <c r="G135" s="478"/>
      <c r="H135" s="478"/>
      <c r="I135" s="478"/>
      <c r="J135" s="478"/>
      <c r="K135" s="478"/>
      <c r="L135" s="478"/>
      <c r="M135" s="478"/>
      <c r="N135" s="478"/>
      <c r="O135" s="478"/>
      <c r="P135" s="478"/>
      <c r="Q135" s="478"/>
    </row>
    <row r="136" spans="1:17" ht="15.6">
      <c r="A136" s="478"/>
      <c r="B136" s="478"/>
      <c r="C136" s="478"/>
      <c r="D136" s="478"/>
      <c r="E136" s="478"/>
      <c r="F136" s="478"/>
      <c r="G136" s="478"/>
      <c r="H136" s="478"/>
      <c r="I136" s="478"/>
      <c r="J136" s="478"/>
      <c r="K136" s="478"/>
      <c r="L136" s="478"/>
      <c r="M136" s="478"/>
      <c r="N136" s="478"/>
      <c r="O136" s="478"/>
      <c r="P136" s="478"/>
      <c r="Q136" s="478"/>
    </row>
    <row r="137" spans="1:17" ht="15.6">
      <c r="A137" s="478"/>
      <c r="B137" s="478"/>
      <c r="C137" s="478"/>
      <c r="D137" s="478"/>
      <c r="E137" s="478"/>
      <c r="F137" s="478"/>
      <c r="G137" s="478"/>
      <c r="H137" s="478"/>
      <c r="I137" s="478"/>
      <c r="J137" s="478"/>
      <c r="K137" s="478"/>
      <c r="L137" s="478"/>
      <c r="M137" s="478"/>
      <c r="N137" s="478"/>
      <c r="O137" s="478"/>
      <c r="P137" s="478"/>
      <c r="Q137" s="478"/>
    </row>
    <row r="138" spans="1:17" ht="15.6">
      <c r="A138" s="478"/>
      <c r="B138" s="478"/>
      <c r="C138" s="478"/>
      <c r="D138" s="478"/>
      <c r="E138" s="478"/>
      <c r="F138" s="478"/>
      <c r="G138" s="478"/>
      <c r="H138" s="478"/>
      <c r="I138" s="478"/>
      <c r="J138" s="478"/>
      <c r="K138" s="478"/>
      <c r="L138" s="478"/>
      <c r="M138" s="478"/>
      <c r="N138" s="478"/>
      <c r="O138" s="478"/>
      <c r="P138" s="478"/>
      <c r="Q138" s="478"/>
    </row>
    <row r="139" spans="1:17" ht="15.6">
      <c r="A139" s="478"/>
      <c r="B139" s="478"/>
      <c r="C139" s="478"/>
      <c r="D139" s="478"/>
      <c r="E139" s="478"/>
      <c r="F139" s="478"/>
      <c r="G139" s="478"/>
      <c r="H139" s="478"/>
      <c r="I139" s="478"/>
      <c r="J139" s="478"/>
      <c r="K139" s="478"/>
      <c r="L139" s="478"/>
      <c r="M139" s="478"/>
      <c r="N139" s="478"/>
      <c r="O139" s="478"/>
      <c r="P139" s="478"/>
      <c r="Q139" s="478"/>
    </row>
    <row r="140" spans="1:17" ht="15.6">
      <c r="A140" s="478"/>
      <c r="B140" s="478"/>
      <c r="C140" s="478"/>
      <c r="D140" s="478"/>
      <c r="E140" s="478"/>
      <c r="F140" s="478"/>
      <c r="G140" s="478"/>
      <c r="H140" s="478"/>
      <c r="I140" s="478"/>
      <c r="J140" s="478"/>
      <c r="K140" s="478"/>
      <c r="L140" s="478"/>
      <c r="M140" s="478"/>
      <c r="N140" s="478"/>
      <c r="O140" s="478"/>
      <c r="P140" s="478"/>
      <c r="Q140" s="478"/>
    </row>
    <row r="141" spans="1:17" ht="15.6">
      <c r="A141" s="478"/>
      <c r="B141" s="478"/>
      <c r="C141" s="478"/>
      <c r="D141" s="478"/>
      <c r="E141" s="478"/>
      <c r="F141" s="478"/>
      <c r="G141" s="478"/>
      <c r="H141" s="478"/>
      <c r="I141" s="478"/>
      <c r="J141" s="478"/>
      <c r="K141" s="478"/>
      <c r="L141" s="478"/>
      <c r="M141" s="478"/>
      <c r="N141" s="478"/>
      <c r="O141" s="478"/>
      <c r="P141" s="478"/>
      <c r="Q141" s="478"/>
    </row>
    <row r="142" spans="1:17" ht="15.6">
      <c r="A142" s="478"/>
      <c r="B142" s="478"/>
      <c r="C142" s="478"/>
      <c r="D142" s="478"/>
      <c r="E142" s="478"/>
      <c r="F142" s="478"/>
      <c r="G142" s="478"/>
      <c r="H142" s="478"/>
      <c r="I142" s="478"/>
      <c r="J142" s="478"/>
      <c r="K142" s="478"/>
      <c r="L142" s="478"/>
      <c r="M142" s="478"/>
      <c r="N142" s="478"/>
      <c r="O142" s="478"/>
      <c r="P142" s="478"/>
      <c r="Q142" s="478"/>
    </row>
    <row r="143" spans="1:17" ht="15.6">
      <c r="A143" s="478"/>
      <c r="B143" s="478"/>
      <c r="C143" s="478"/>
      <c r="D143" s="478"/>
      <c r="E143" s="478"/>
      <c r="F143" s="478"/>
      <c r="G143" s="478"/>
      <c r="H143" s="478"/>
      <c r="I143" s="478"/>
      <c r="J143" s="478"/>
      <c r="K143" s="478"/>
      <c r="L143" s="478"/>
      <c r="M143" s="478"/>
      <c r="N143" s="478"/>
      <c r="O143" s="478"/>
      <c r="P143" s="478"/>
      <c r="Q143" s="478"/>
    </row>
    <row r="144" spans="1:17" ht="15.6">
      <c r="A144" s="478"/>
      <c r="B144" s="478"/>
      <c r="C144" s="478"/>
      <c r="D144" s="478"/>
      <c r="E144" s="478"/>
      <c r="F144" s="478"/>
      <c r="G144" s="478"/>
      <c r="H144" s="478"/>
      <c r="I144" s="478"/>
      <c r="J144" s="478"/>
      <c r="K144" s="478"/>
      <c r="L144" s="478"/>
      <c r="M144" s="478"/>
      <c r="N144" s="478"/>
      <c r="O144" s="478"/>
      <c r="P144" s="478"/>
      <c r="Q144" s="478"/>
    </row>
    <row r="145" spans="1:17" ht="15.6">
      <c r="A145" s="478"/>
      <c r="B145" s="478"/>
      <c r="C145" s="478"/>
      <c r="D145" s="478"/>
      <c r="E145" s="478"/>
      <c r="F145" s="478"/>
      <c r="G145" s="478"/>
      <c r="H145" s="478"/>
      <c r="I145" s="478"/>
      <c r="J145" s="478"/>
      <c r="K145" s="478"/>
      <c r="L145" s="478"/>
      <c r="M145" s="478"/>
      <c r="N145" s="478"/>
      <c r="O145" s="478"/>
      <c r="P145" s="478"/>
      <c r="Q145" s="478"/>
    </row>
    <row r="146" spans="1:17" ht="15.6">
      <c r="A146" s="478"/>
      <c r="B146" s="478"/>
      <c r="C146" s="478"/>
      <c r="D146" s="478"/>
      <c r="E146" s="478"/>
      <c r="F146" s="478"/>
      <c r="G146" s="478"/>
      <c r="H146" s="478"/>
      <c r="I146" s="478"/>
      <c r="J146" s="478"/>
      <c r="K146" s="478"/>
      <c r="L146" s="478"/>
      <c r="M146" s="478"/>
      <c r="N146" s="478"/>
      <c r="O146" s="478"/>
      <c r="P146" s="478"/>
      <c r="Q146" s="478"/>
    </row>
    <row r="147" spans="1:17" ht="15.6">
      <c r="A147" s="478"/>
      <c r="B147" s="478"/>
      <c r="C147" s="478"/>
      <c r="D147" s="478"/>
      <c r="E147" s="478"/>
      <c r="F147" s="478"/>
      <c r="G147" s="478"/>
      <c r="H147" s="478"/>
      <c r="I147" s="478"/>
      <c r="J147" s="478"/>
      <c r="K147" s="478"/>
      <c r="L147" s="478"/>
      <c r="M147" s="478"/>
      <c r="N147" s="478"/>
      <c r="O147" s="478"/>
      <c r="P147" s="478"/>
      <c r="Q147" s="478"/>
    </row>
    <row r="148" spans="1:17" ht="15.6">
      <c r="A148" s="478"/>
      <c r="B148" s="478"/>
      <c r="C148" s="478"/>
      <c r="D148" s="478"/>
      <c r="E148" s="478"/>
      <c r="F148" s="478"/>
      <c r="G148" s="478"/>
      <c r="H148" s="478"/>
      <c r="I148" s="478"/>
      <c r="J148" s="478"/>
      <c r="K148" s="478"/>
      <c r="L148" s="478"/>
      <c r="M148" s="478"/>
      <c r="N148" s="478"/>
      <c r="O148" s="478"/>
      <c r="P148" s="478"/>
      <c r="Q148" s="478"/>
    </row>
    <row r="149" spans="1:17" ht="15.6">
      <c r="A149" s="478"/>
      <c r="B149" s="478"/>
      <c r="C149" s="478"/>
      <c r="D149" s="478"/>
      <c r="E149" s="478"/>
      <c r="F149" s="478"/>
      <c r="G149" s="478"/>
      <c r="H149" s="478"/>
      <c r="I149" s="478"/>
      <c r="J149" s="478"/>
      <c r="K149" s="478"/>
      <c r="L149" s="478"/>
      <c r="M149" s="478"/>
      <c r="N149" s="478"/>
      <c r="O149" s="478"/>
      <c r="P149" s="478"/>
      <c r="Q149" s="478"/>
    </row>
    <row r="150" spans="1:17" ht="15.6">
      <c r="A150" s="478"/>
      <c r="B150" s="478"/>
      <c r="C150" s="478"/>
      <c r="D150" s="478"/>
      <c r="E150" s="478"/>
      <c r="F150" s="478"/>
      <c r="G150" s="478"/>
      <c r="H150" s="478"/>
      <c r="I150" s="478"/>
      <c r="J150" s="478"/>
      <c r="K150" s="478"/>
      <c r="L150" s="478"/>
      <c r="M150" s="478"/>
      <c r="N150" s="478"/>
      <c r="O150" s="478"/>
      <c r="P150" s="478"/>
      <c r="Q150" s="478"/>
    </row>
    <row r="151" spans="1:17" ht="15.6">
      <c r="A151" s="478"/>
      <c r="B151" s="478"/>
      <c r="C151" s="478"/>
      <c r="D151" s="478"/>
      <c r="E151" s="478"/>
      <c r="F151" s="478"/>
      <c r="G151" s="478"/>
      <c r="H151" s="478"/>
      <c r="I151" s="478"/>
      <c r="J151" s="478"/>
      <c r="K151" s="478"/>
      <c r="L151" s="478"/>
      <c r="M151" s="478"/>
      <c r="N151" s="478"/>
      <c r="O151" s="478"/>
      <c r="P151" s="478"/>
      <c r="Q151" s="478"/>
    </row>
    <row r="152" spans="1:17" ht="15.6">
      <c r="A152" s="478"/>
      <c r="B152" s="478"/>
      <c r="C152" s="478"/>
      <c r="D152" s="478"/>
      <c r="E152" s="478"/>
      <c r="F152" s="478"/>
      <c r="G152" s="478"/>
      <c r="H152" s="478"/>
      <c r="I152" s="478"/>
      <c r="J152" s="478"/>
      <c r="K152" s="478"/>
      <c r="L152" s="478"/>
      <c r="M152" s="478"/>
      <c r="N152" s="478"/>
      <c r="O152" s="478"/>
      <c r="P152" s="478"/>
      <c r="Q152" s="478"/>
    </row>
    <row r="153" spans="1:17" ht="15.6">
      <c r="A153" s="478"/>
      <c r="B153" s="478"/>
      <c r="C153" s="478"/>
      <c r="D153" s="478"/>
      <c r="E153" s="478"/>
      <c r="F153" s="478"/>
      <c r="G153" s="478"/>
      <c r="H153" s="478"/>
      <c r="I153" s="478"/>
      <c r="J153" s="478"/>
      <c r="K153" s="478"/>
      <c r="L153" s="478"/>
      <c r="M153" s="478"/>
      <c r="N153" s="478"/>
      <c r="O153" s="478"/>
      <c r="P153" s="478"/>
      <c r="Q153" s="478"/>
    </row>
    <row r="154" spans="1:17" ht="15.6">
      <c r="A154" s="478"/>
      <c r="B154" s="478"/>
      <c r="C154" s="478"/>
      <c r="D154" s="478"/>
      <c r="E154" s="478"/>
      <c r="F154" s="478"/>
      <c r="G154" s="478"/>
      <c r="H154" s="478"/>
      <c r="I154" s="478"/>
      <c r="J154" s="478"/>
      <c r="K154" s="478"/>
      <c r="L154" s="478"/>
      <c r="M154" s="478"/>
      <c r="N154" s="478"/>
      <c r="O154" s="478"/>
      <c r="P154" s="478"/>
      <c r="Q154" s="478"/>
    </row>
    <row r="155" spans="1:17" ht="15.6">
      <c r="A155" s="478"/>
      <c r="B155" s="478"/>
      <c r="C155" s="478"/>
      <c r="D155" s="478"/>
      <c r="E155" s="478"/>
      <c r="F155" s="478"/>
      <c r="G155" s="478"/>
      <c r="H155" s="478"/>
      <c r="I155" s="478"/>
      <c r="J155" s="478"/>
      <c r="K155" s="478"/>
      <c r="L155" s="478"/>
      <c r="M155" s="478"/>
      <c r="N155" s="478"/>
      <c r="O155" s="478"/>
      <c r="P155" s="478"/>
      <c r="Q155" s="478"/>
    </row>
    <row r="156" spans="1:17" ht="15.6">
      <c r="A156" s="478"/>
      <c r="B156" s="478"/>
      <c r="C156" s="478"/>
      <c r="D156" s="478"/>
      <c r="E156" s="478"/>
      <c r="F156" s="478"/>
      <c r="G156" s="478"/>
      <c r="H156" s="478"/>
      <c r="I156" s="478"/>
      <c r="J156" s="478"/>
      <c r="K156" s="478"/>
      <c r="L156" s="478"/>
      <c r="M156" s="478"/>
      <c r="N156" s="478"/>
      <c r="O156" s="478"/>
      <c r="P156" s="478"/>
      <c r="Q156" s="478"/>
    </row>
    <row r="157" spans="1:17" ht="15.6">
      <c r="A157" s="478"/>
      <c r="B157" s="478"/>
      <c r="C157" s="478"/>
      <c r="D157" s="478"/>
      <c r="E157" s="478"/>
      <c r="F157" s="478"/>
      <c r="G157" s="478"/>
      <c r="H157" s="478"/>
      <c r="I157" s="478"/>
      <c r="J157" s="478"/>
      <c r="K157" s="478"/>
      <c r="L157" s="478"/>
      <c r="M157" s="478"/>
      <c r="N157" s="478"/>
      <c r="O157" s="478"/>
      <c r="P157" s="478"/>
      <c r="Q157" s="478"/>
    </row>
    <row r="158" spans="1:17" ht="15.6">
      <c r="A158" s="478"/>
      <c r="B158" s="478"/>
      <c r="C158" s="478"/>
      <c r="D158" s="478"/>
      <c r="E158" s="478"/>
      <c r="F158" s="478"/>
      <c r="G158" s="478"/>
      <c r="H158" s="478"/>
      <c r="I158" s="478"/>
      <c r="J158" s="478"/>
      <c r="K158" s="478"/>
      <c r="L158" s="478"/>
      <c r="M158" s="478"/>
      <c r="N158" s="478"/>
      <c r="O158" s="478"/>
      <c r="P158" s="478"/>
      <c r="Q158" s="478"/>
    </row>
    <row r="159" spans="1:17" ht="15.6">
      <c r="A159" s="478"/>
      <c r="B159" s="478"/>
      <c r="C159" s="478"/>
      <c r="D159" s="478"/>
      <c r="E159" s="478"/>
      <c r="F159" s="478"/>
      <c r="G159" s="478"/>
      <c r="H159" s="478"/>
      <c r="I159" s="478"/>
      <c r="J159" s="478"/>
      <c r="K159" s="478"/>
      <c r="L159" s="478"/>
      <c r="M159" s="478"/>
      <c r="N159" s="478"/>
      <c r="O159" s="478"/>
      <c r="P159" s="478"/>
      <c r="Q159" s="478"/>
    </row>
    <row r="160" spans="1:17" ht="15.6">
      <c r="A160" s="478"/>
      <c r="B160" s="478"/>
      <c r="C160" s="478"/>
      <c r="D160" s="478"/>
      <c r="E160" s="478"/>
      <c r="F160" s="478"/>
      <c r="G160" s="478"/>
      <c r="H160" s="478"/>
      <c r="I160" s="478"/>
      <c r="J160" s="478"/>
      <c r="K160" s="478"/>
      <c r="L160" s="478"/>
      <c r="M160" s="478"/>
      <c r="N160" s="478"/>
      <c r="O160" s="478"/>
      <c r="P160" s="478"/>
      <c r="Q160" s="478"/>
    </row>
    <row r="161" spans="1:17" ht="15.6">
      <c r="A161" s="478"/>
      <c r="B161" s="478"/>
      <c r="C161" s="478"/>
      <c r="D161" s="478"/>
      <c r="E161" s="478"/>
      <c r="F161" s="478"/>
      <c r="G161" s="478"/>
      <c r="H161" s="478"/>
      <c r="I161" s="478"/>
      <c r="J161" s="478"/>
      <c r="K161" s="478"/>
      <c r="L161" s="478"/>
      <c r="M161" s="478"/>
      <c r="N161" s="478"/>
      <c r="O161" s="478"/>
      <c r="P161" s="478"/>
      <c r="Q161" s="478"/>
    </row>
    <row r="162" spans="1:17" ht="15.6">
      <c r="A162" s="478"/>
      <c r="B162" s="478"/>
      <c r="C162" s="478"/>
      <c r="D162" s="478"/>
      <c r="E162" s="478"/>
      <c r="F162" s="478"/>
      <c r="G162" s="478"/>
      <c r="H162" s="478"/>
      <c r="I162" s="478"/>
      <c r="J162" s="478"/>
      <c r="K162" s="478"/>
      <c r="L162" s="478"/>
      <c r="M162" s="478"/>
      <c r="N162" s="478"/>
      <c r="O162" s="478"/>
      <c r="P162" s="478"/>
      <c r="Q162" s="478"/>
    </row>
    <row r="163" spans="1:17" ht="15.6">
      <c r="A163" s="478"/>
      <c r="B163" s="478"/>
      <c r="C163" s="478"/>
      <c r="D163" s="478"/>
      <c r="E163" s="478"/>
      <c r="F163" s="478"/>
      <c r="G163" s="478"/>
      <c r="H163" s="478"/>
      <c r="I163" s="478"/>
      <c r="J163" s="478"/>
      <c r="K163" s="478"/>
      <c r="L163" s="478"/>
      <c r="M163" s="478"/>
      <c r="N163" s="478"/>
      <c r="O163" s="478"/>
      <c r="P163" s="478"/>
      <c r="Q163" s="478"/>
    </row>
    <row r="164" spans="1:17" ht="15.6">
      <c r="A164" s="478"/>
      <c r="B164" s="478"/>
      <c r="C164" s="478"/>
      <c r="D164" s="478"/>
      <c r="E164" s="478"/>
      <c r="F164" s="478"/>
      <c r="G164" s="478"/>
      <c r="H164" s="478"/>
      <c r="I164" s="478"/>
      <c r="J164" s="478"/>
      <c r="K164" s="478"/>
      <c r="L164" s="478"/>
      <c r="M164" s="478"/>
      <c r="N164" s="478"/>
      <c r="O164" s="478"/>
      <c r="P164" s="478"/>
      <c r="Q164" s="478"/>
    </row>
    <row r="165" spans="1:17" ht="15.6">
      <c r="A165" s="478"/>
      <c r="B165" s="478"/>
      <c r="C165" s="478"/>
      <c r="D165" s="478"/>
      <c r="E165" s="478"/>
      <c r="F165" s="478"/>
      <c r="G165" s="478"/>
      <c r="H165" s="478"/>
      <c r="I165" s="478"/>
      <c r="J165" s="478"/>
      <c r="K165" s="478"/>
      <c r="L165" s="478"/>
      <c r="M165" s="478"/>
      <c r="N165" s="478"/>
      <c r="O165" s="478"/>
      <c r="P165" s="478"/>
      <c r="Q165" s="478"/>
    </row>
    <row r="166" spans="1:17" ht="15.6">
      <c r="A166" s="478"/>
      <c r="B166" s="478"/>
      <c r="C166" s="478"/>
      <c r="D166" s="478"/>
      <c r="E166" s="478"/>
      <c r="F166" s="478"/>
      <c r="G166" s="478"/>
      <c r="H166" s="478"/>
      <c r="I166" s="478"/>
      <c r="J166" s="478"/>
      <c r="K166" s="478"/>
      <c r="L166" s="478"/>
      <c r="M166" s="478"/>
      <c r="N166" s="478"/>
      <c r="O166" s="478"/>
      <c r="P166" s="478"/>
      <c r="Q166" s="478"/>
    </row>
    <row r="167" spans="1:17" ht="15.6">
      <c r="A167" s="478"/>
      <c r="B167" s="478"/>
      <c r="C167" s="478"/>
      <c r="D167" s="478"/>
      <c r="E167" s="478"/>
      <c r="F167" s="478"/>
      <c r="G167" s="478"/>
      <c r="H167" s="478"/>
      <c r="I167" s="478"/>
      <c r="J167" s="478"/>
      <c r="K167" s="478"/>
      <c r="L167" s="478"/>
      <c r="M167" s="478"/>
      <c r="N167" s="478"/>
      <c r="O167" s="478"/>
      <c r="P167" s="478"/>
      <c r="Q167" s="478"/>
    </row>
    <row r="168" spans="1:17" ht="15.6">
      <c r="A168" s="478"/>
      <c r="B168" s="478"/>
      <c r="C168" s="478"/>
      <c r="D168" s="478"/>
      <c r="E168" s="478"/>
      <c r="F168" s="478"/>
      <c r="G168" s="478"/>
      <c r="H168" s="478"/>
      <c r="I168" s="478"/>
      <c r="J168" s="478"/>
      <c r="K168" s="478"/>
      <c r="L168" s="478"/>
      <c r="M168" s="478"/>
      <c r="N168" s="478"/>
      <c r="O168" s="478"/>
      <c r="P168" s="478"/>
      <c r="Q168" s="478"/>
    </row>
    <row r="169" spans="1:17" ht="15.6">
      <c r="A169" s="478"/>
      <c r="B169" s="478"/>
      <c r="C169" s="478"/>
      <c r="D169" s="478"/>
      <c r="E169" s="478"/>
      <c r="F169" s="478"/>
      <c r="G169" s="478"/>
      <c r="H169" s="478"/>
      <c r="I169" s="478"/>
      <c r="J169" s="478"/>
      <c r="K169" s="478"/>
      <c r="L169" s="478"/>
      <c r="M169" s="478"/>
      <c r="N169" s="478"/>
      <c r="O169" s="478"/>
      <c r="P169" s="478"/>
      <c r="Q169" s="478"/>
    </row>
    <row r="170" spans="1:17" ht="15.6">
      <c r="A170" s="478"/>
      <c r="B170" s="478"/>
      <c r="C170" s="478"/>
      <c r="D170" s="478"/>
      <c r="E170" s="478"/>
      <c r="F170" s="478"/>
      <c r="G170" s="478"/>
      <c r="H170" s="478"/>
      <c r="I170" s="478"/>
      <c r="J170" s="478"/>
      <c r="K170" s="478"/>
      <c r="L170" s="478"/>
      <c r="M170" s="478"/>
      <c r="N170" s="478"/>
      <c r="O170" s="478"/>
      <c r="P170" s="478"/>
      <c r="Q170" s="478"/>
    </row>
    <row r="171" spans="1:17" ht="15.6">
      <c r="A171" s="478"/>
      <c r="B171" s="478"/>
      <c r="C171" s="478"/>
      <c r="D171" s="478"/>
      <c r="E171" s="478"/>
      <c r="F171" s="478"/>
      <c r="G171" s="478"/>
      <c r="H171" s="478"/>
      <c r="I171" s="478"/>
      <c r="J171" s="478"/>
      <c r="K171" s="478"/>
      <c r="L171" s="478"/>
      <c r="M171" s="478"/>
      <c r="N171" s="478"/>
      <c r="O171" s="478"/>
      <c r="P171" s="478"/>
      <c r="Q171" s="478"/>
    </row>
    <row r="172" spans="1:17" ht="15.6">
      <c r="A172" s="478"/>
      <c r="B172" s="478"/>
      <c r="C172" s="478"/>
      <c r="D172" s="478"/>
      <c r="E172" s="478"/>
      <c r="F172" s="478"/>
      <c r="G172" s="478"/>
      <c r="H172" s="478"/>
      <c r="I172" s="478"/>
      <c r="J172" s="478"/>
      <c r="K172" s="478"/>
      <c r="L172" s="478"/>
      <c r="M172" s="478"/>
      <c r="N172" s="478"/>
      <c r="O172" s="478"/>
      <c r="P172" s="478"/>
      <c r="Q172" s="478"/>
    </row>
    <row r="173" spans="1:17" ht="15.6">
      <c r="A173" s="478"/>
      <c r="B173" s="478"/>
      <c r="C173" s="478"/>
      <c r="D173" s="478"/>
      <c r="E173" s="478"/>
      <c r="F173" s="478"/>
      <c r="G173" s="478"/>
      <c r="H173" s="478"/>
      <c r="I173" s="478"/>
      <c r="J173" s="478"/>
      <c r="K173" s="478"/>
      <c r="L173" s="478"/>
      <c r="M173" s="478"/>
      <c r="N173" s="478"/>
      <c r="O173" s="478"/>
      <c r="P173" s="478"/>
      <c r="Q173" s="478"/>
    </row>
    <row r="174" spans="1:17" ht="15.6">
      <c r="A174" s="478"/>
      <c r="B174" s="478"/>
      <c r="C174" s="478"/>
      <c r="D174" s="478"/>
      <c r="E174" s="478"/>
      <c r="F174" s="478"/>
      <c r="G174" s="478"/>
      <c r="H174" s="478"/>
      <c r="I174" s="478"/>
      <c r="J174" s="478"/>
      <c r="K174" s="478"/>
      <c r="L174" s="478"/>
      <c r="M174" s="478"/>
      <c r="N174" s="478"/>
      <c r="O174" s="478"/>
      <c r="P174" s="478"/>
      <c r="Q174" s="478"/>
    </row>
    <row r="175" spans="1:17" ht="15.6">
      <c r="A175" s="478"/>
      <c r="B175" s="478"/>
      <c r="C175" s="478"/>
      <c r="D175" s="478"/>
      <c r="E175" s="478"/>
      <c r="F175" s="478"/>
      <c r="G175" s="478"/>
      <c r="H175" s="478"/>
      <c r="I175" s="478"/>
      <c r="J175" s="478"/>
      <c r="K175" s="478"/>
      <c r="L175" s="478"/>
      <c r="M175" s="478"/>
      <c r="N175" s="478"/>
      <c r="O175" s="478"/>
      <c r="P175" s="478"/>
      <c r="Q175" s="478"/>
    </row>
    <row r="176" spans="1:17" ht="15.6">
      <c r="A176" s="478"/>
      <c r="B176" s="478"/>
      <c r="C176" s="478"/>
      <c r="D176" s="478"/>
      <c r="E176" s="478"/>
      <c r="F176" s="478"/>
      <c r="G176" s="478"/>
      <c r="H176" s="478"/>
      <c r="I176" s="478"/>
      <c r="J176" s="478"/>
      <c r="K176" s="478"/>
      <c r="L176" s="478"/>
      <c r="M176" s="478"/>
      <c r="N176" s="478"/>
      <c r="O176" s="478"/>
      <c r="P176" s="478"/>
      <c r="Q176" s="478"/>
    </row>
    <row r="177" spans="1:17" ht="15.6">
      <c r="A177" s="478"/>
      <c r="B177" s="478"/>
      <c r="C177" s="478"/>
      <c r="D177" s="478"/>
      <c r="E177" s="478"/>
      <c r="F177" s="478"/>
      <c r="G177" s="478"/>
      <c r="H177" s="478"/>
      <c r="I177" s="478"/>
      <c r="J177" s="478"/>
      <c r="K177" s="478"/>
      <c r="L177" s="478"/>
      <c r="M177" s="478"/>
      <c r="N177" s="478"/>
      <c r="O177" s="478"/>
      <c r="P177" s="478"/>
      <c r="Q177" s="478"/>
    </row>
    <row r="178" spans="1:17" ht="15.6">
      <c r="A178" s="478"/>
      <c r="B178" s="478"/>
      <c r="C178" s="478"/>
      <c r="D178" s="478"/>
      <c r="E178" s="478"/>
      <c r="F178" s="478"/>
      <c r="G178" s="478"/>
      <c r="H178" s="478"/>
      <c r="I178" s="478"/>
      <c r="J178" s="478"/>
      <c r="K178" s="478"/>
      <c r="L178" s="478"/>
      <c r="M178" s="478"/>
      <c r="N178" s="478"/>
      <c r="O178" s="478"/>
      <c r="P178" s="478"/>
      <c r="Q178" s="478"/>
    </row>
    <row r="179" spans="1:17" ht="15.6">
      <c r="A179" s="478"/>
      <c r="B179" s="478"/>
      <c r="C179" s="478"/>
      <c r="D179" s="478"/>
      <c r="E179" s="478"/>
      <c r="F179" s="478"/>
      <c r="G179" s="478"/>
      <c r="H179" s="478"/>
      <c r="I179" s="478"/>
      <c r="J179" s="478"/>
      <c r="K179" s="478"/>
      <c r="L179" s="478"/>
      <c r="M179" s="478"/>
      <c r="N179" s="478"/>
      <c r="O179" s="478"/>
      <c r="P179" s="478"/>
      <c r="Q179" s="478"/>
    </row>
    <row r="180" spans="1:17" ht="15.6">
      <c r="A180" s="478"/>
      <c r="B180" s="478"/>
      <c r="C180" s="478"/>
      <c r="D180" s="478"/>
      <c r="E180" s="478"/>
      <c r="F180" s="478"/>
      <c r="G180" s="478"/>
      <c r="H180" s="478"/>
      <c r="I180" s="478"/>
      <c r="J180" s="478"/>
      <c r="K180" s="478"/>
      <c r="L180" s="478"/>
      <c r="M180" s="478"/>
      <c r="N180" s="478"/>
      <c r="O180" s="478"/>
      <c r="P180" s="478"/>
      <c r="Q180" s="478"/>
    </row>
    <row r="181" spans="1:17" ht="15.6">
      <c r="A181" s="478"/>
      <c r="B181" s="478"/>
      <c r="C181" s="478"/>
      <c r="D181" s="478"/>
      <c r="E181" s="478"/>
      <c r="F181" s="478"/>
      <c r="G181" s="478"/>
      <c r="H181" s="478"/>
      <c r="I181" s="478"/>
      <c r="J181" s="478"/>
      <c r="K181" s="478"/>
      <c r="L181" s="478"/>
      <c r="M181" s="478"/>
      <c r="N181" s="478"/>
      <c r="O181" s="478"/>
      <c r="P181" s="478"/>
      <c r="Q181" s="478"/>
    </row>
    <row r="182" spans="1:17" ht="15.6">
      <c r="A182" s="478"/>
      <c r="B182" s="478"/>
      <c r="C182" s="478"/>
      <c r="D182" s="478"/>
      <c r="E182" s="478"/>
      <c r="F182" s="478"/>
      <c r="G182" s="478"/>
      <c r="H182" s="478"/>
      <c r="I182" s="478"/>
      <c r="J182" s="478"/>
      <c r="K182" s="478"/>
      <c r="L182" s="478"/>
      <c r="M182" s="478"/>
      <c r="N182" s="478"/>
      <c r="O182" s="478"/>
      <c r="P182" s="478"/>
      <c r="Q182" s="478"/>
    </row>
    <row r="183" spans="1:17" ht="15.6">
      <c r="A183" s="478"/>
      <c r="B183" s="478"/>
      <c r="C183" s="478"/>
      <c r="D183" s="478"/>
      <c r="E183" s="478"/>
      <c r="F183" s="478"/>
      <c r="G183" s="478"/>
      <c r="H183" s="478"/>
      <c r="I183" s="478"/>
      <c r="J183" s="478"/>
      <c r="K183" s="478"/>
      <c r="L183" s="478"/>
      <c r="M183" s="478"/>
      <c r="N183" s="478"/>
      <c r="O183" s="478"/>
      <c r="P183" s="478"/>
      <c r="Q183" s="478"/>
    </row>
    <row r="184" spans="1:17" ht="15.6">
      <c r="A184" s="478"/>
      <c r="B184" s="478"/>
      <c r="C184" s="478"/>
      <c r="D184" s="478"/>
      <c r="E184" s="478"/>
      <c r="F184" s="478"/>
      <c r="G184" s="478"/>
      <c r="H184" s="478"/>
      <c r="I184" s="478"/>
      <c r="J184" s="478"/>
      <c r="K184" s="478"/>
      <c r="L184" s="478"/>
      <c r="M184" s="478"/>
      <c r="N184" s="478"/>
      <c r="O184" s="478"/>
      <c r="P184" s="478"/>
      <c r="Q184" s="478"/>
    </row>
    <row r="185" spans="1:17" ht="15.6">
      <c r="A185" s="478"/>
      <c r="B185" s="478"/>
      <c r="C185" s="478"/>
      <c r="D185" s="478"/>
      <c r="E185" s="478"/>
      <c r="F185" s="478"/>
      <c r="G185" s="478"/>
      <c r="H185" s="478"/>
      <c r="I185" s="478"/>
      <c r="J185" s="478"/>
      <c r="K185" s="478"/>
      <c r="L185" s="478"/>
      <c r="M185" s="478"/>
      <c r="N185" s="478"/>
      <c r="O185" s="478"/>
      <c r="P185" s="478"/>
      <c r="Q185" s="478"/>
    </row>
    <row r="186" spans="1:17" ht="15.6">
      <c r="A186" s="478"/>
      <c r="B186" s="478"/>
      <c r="C186" s="478"/>
      <c r="D186" s="478"/>
      <c r="E186" s="478"/>
      <c r="F186" s="478"/>
      <c r="G186" s="478"/>
      <c r="H186" s="478"/>
      <c r="I186" s="478"/>
      <c r="J186" s="478"/>
      <c r="K186" s="478"/>
      <c r="L186" s="478"/>
      <c r="M186" s="478"/>
      <c r="N186" s="478"/>
      <c r="O186" s="478"/>
      <c r="P186" s="478"/>
      <c r="Q186" s="478"/>
    </row>
    <row r="187" spans="1:17" ht="15.6">
      <c r="A187" s="478"/>
      <c r="B187" s="478"/>
      <c r="C187" s="478"/>
      <c r="D187" s="478"/>
      <c r="E187" s="478"/>
      <c r="F187" s="478"/>
      <c r="G187" s="478"/>
      <c r="H187" s="478"/>
      <c r="I187" s="478"/>
      <c r="J187" s="478"/>
      <c r="K187" s="478"/>
      <c r="L187" s="478"/>
      <c r="M187" s="478"/>
      <c r="N187" s="478"/>
      <c r="O187" s="478"/>
      <c r="P187" s="478"/>
      <c r="Q187" s="478"/>
    </row>
    <row r="188" spans="1:17" ht="15.6">
      <c r="A188" s="478"/>
      <c r="B188" s="478"/>
      <c r="C188" s="478"/>
      <c r="D188" s="478"/>
      <c r="E188" s="478"/>
      <c r="F188" s="478"/>
      <c r="G188" s="478"/>
      <c r="H188" s="478"/>
      <c r="I188" s="478"/>
      <c r="J188" s="478"/>
      <c r="K188" s="478"/>
      <c r="L188" s="478"/>
      <c r="M188" s="478"/>
      <c r="N188" s="478"/>
      <c r="O188" s="478"/>
      <c r="P188" s="478"/>
      <c r="Q188" s="478"/>
    </row>
    <row r="189" spans="1:17" ht="15.6">
      <c r="A189" s="478"/>
      <c r="B189" s="478"/>
      <c r="C189" s="478"/>
      <c r="D189" s="478"/>
      <c r="E189" s="478"/>
      <c r="F189" s="478"/>
      <c r="G189" s="478"/>
      <c r="H189" s="478"/>
      <c r="I189" s="478"/>
      <c r="J189" s="478"/>
      <c r="K189" s="478"/>
      <c r="L189" s="478"/>
      <c r="M189" s="478"/>
      <c r="N189" s="478"/>
      <c r="O189" s="478"/>
      <c r="P189" s="478"/>
      <c r="Q189" s="478"/>
    </row>
    <row r="190" spans="1:17" ht="15.6">
      <c r="A190" s="478"/>
      <c r="B190" s="478"/>
      <c r="C190" s="478"/>
      <c r="D190" s="478"/>
      <c r="E190" s="478"/>
      <c r="F190" s="478"/>
      <c r="G190" s="478"/>
      <c r="H190" s="478"/>
      <c r="I190" s="478"/>
      <c r="J190" s="478"/>
      <c r="K190" s="478"/>
      <c r="L190" s="478"/>
      <c r="M190" s="478"/>
      <c r="N190" s="478"/>
      <c r="O190" s="478"/>
      <c r="P190" s="478"/>
      <c r="Q190" s="478"/>
    </row>
    <row r="191" spans="1:17" ht="15.6">
      <c r="A191" s="478"/>
      <c r="B191" s="478"/>
      <c r="C191" s="478"/>
      <c r="D191" s="478"/>
      <c r="E191" s="478"/>
      <c r="F191" s="478"/>
      <c r="G191" s="478"/>
      <c r="H191" s="478"/>
      <c r="I191" s="478"/>
      <c r="J191" s="478"/>
      <c r="K191" s="478"/>
      <c r="L191" s="478"/>
      <c r="M191" s="478"/>
      <c r="N191" s="478"/>
      <c r="O191" s="478"/>
      <c r="P191" s="478"/>
      <c r="Q191" s="478"/>
    </row>
    <row r="192" spans="1:17" ht="15.6">
      <c r="A192" s="478"/>
      <c r="B192" s="478"/>
      <c r="C192" s="478"/>
      <c r="D192" s="478"/>
      <c r="E192" s="478"/>
      <c r="F192" s="478"/>
      <c r="G192" s="478"/>
      <c r="H192" s="478"/>
      <c r="I192" s="478"/>
      <c r="J192" s="478"/>
      <c r="K192" s="478"/>
      <c r="L192" s="478"/>
      <c r="M192" s="478"/>
      <c r="N192" s="478"/>
      <c r="O192" s="478"/>
      <c r="P192" s="478"/>
      <c r="Q192" s="478"/>
    </row>
    <row r="193" spans="1:17" ht="15.6">
      <c r="A193" s="478"/>
      <c r="B193" s="478"/>
      <c r="C193" s="478"/>
      <c r="D193" s="478"/>
      <c r="E193" s="478"/>
      <c r="F193" s="478"/>
      <c r="G193" s="478"/>
      <c r="H193" s="478"/>
      <c r="I193" s="478"/>
      <c r="J193" s="478"/>
      <c r="K193" s="478"/>
      <c r="L193" s="478"/>
      <c r="M193" s="478"/>
      <c r="N193" s="478"/>
      <c r="O193" s="478"/>
      <c r="P193" s="478"/>
      <c r="Q193" s="478"/>
    </row>
    <row r="194" spans="1:17" ht="15.6">
      <c r="A194" s="478"/>
      <c r="B194" s="478"/>
      <c r="C194" s="478"/>
      <c r="D194" s="478"/>
      <c r="E194" s="478"/>
      <c r="F194" s="478"/>
      <c r="G194" s="478"/>
      <c r="H194" s="478"/>
      <c r="I194" s="478"/>
      <c r="J194" s="478"/>
      <c r="K194" s="478"/>
      <c r="L194" s="478"/>
      <c r="M194" s="478"/>
      <c r="N194" s="478"/>
      <c r="O194" s="478"/>
      <c r="P194" s="478"/>
      <c r="Q194" s="478"/>
    </row>
    <row r="195" spans="1:17" ht="15.6">
      <c r="A195" s="478"/>
      <c r="B195" s="478"/>
      <c r="C195" s="478"/>
      <c r="D195" s="478"/>
      <c r="E195" s="478"/>
      <c r="F195" s="478"/>
      <c r="G195" s="478"/>
      <c r="H195" s="478"/>
      <c r="I195" s="478"/>
      <c r="J195" s="478"/>
      <c r="K195" s="478"/>
      <c r="L195" s="478"/>
      <c r="M195" s="478"/>
      <c r="N195" s="478"/>
      <c r="O195" s="478"/>
      <c r="P195" s="478"/>
      <c r="Q195" s="478"/>
    </row>
    <row r="196" spans="1:17" ht="15.6">
      <c r="A196" s="478"/>
      <c r="B196" s="478"/>
      <c r="C196" s="478"/>
      <c r="D196" s="478"/>
      <c r="E196" s="478"/>
      <c r="F196" s="478"/>
      <c r="G196" s="478"/>
      <c r="H196" s="478"/>
      <c r="I196" s="478"/>
      <c r="J196" s="478"/>
      <c r="K196" s="478"/>
      <c r="L196" s="478"/>
      <c r="M196" s="478"/>
      <c r="N196" s="478"/>
      <c r="O196" s="478"/>
      <c r="P196" s="478"/>
      <c r="Q196" s="478"/>
    </row>
    <row r="197" spans="1:17" ht="15.6">
      <c r="A197" s="478"/>
      <c r="B197" s="478"/>
      <c r="C197" s="478"/>
      <c r="D197" s="478"/>
      <c r="E197" s="478"/>
      <c r="F197" s="478"/>
      <c r="G197" s="478"/>
      <c r="H197" s="478"/>
      <c r="I197" s="478"/>
      <c r="J197" s="478"/>
      <c r="K197" s="478"/>
      <c r="L197" s="478"/>
      <c r="M197" s="478"/>
      <c r="N197" s="478"/>
      <c r="O197" s="478"/>
      <c r="P197" s="478"/>
      <c r="Q197" s="478"/>
    </row>
    <row r="198" spans="1:17" ht="15.6">
      <c r="A198" s="478"/>
      <c r="B198" s="478"/>
      <c r="C198" s="478"/>
      <c r="D198" s="478"/>
      <c r="E198" s="478"/>
      <c r="F198" s="478"/>
      <c r="G198" s="478"/>
      <c r="H198" s="478"/>
      <c r="I198" s="478"/>
      <c r="J198" s="478"/>
      <c r="K198" s="478"/>
      <c r="L198" s="478"/>
      <c r="M198" s="478"/>
      <c r="N198" s="478"/>
      <c r="O198" s="478"/>
      <c r="P198" s="478"/>
      <c r="Q198" s="478"/>
    </row>
    <row r="199" spans="1:17" ht="15.6">
      <c r="A199" s="478"/>
      <c r="B199" s="478"/>
      <c r="C199" s="478"/>
      <c r="D199" s="478"/>
      <c r="E199" s="478"/>
      <c r="F199" s="478"/>
      <c r="G199" s="478"/>
      <c r="H199" s="478"/>
      <c r="I199" s="478"/>
      <c r="J199" s="478"/>
      <c r="K199" s="478"/>
      <c r="L199" s="478"/>
      <c r="M199" s="478"/>
      <c r="N199" s="478"/>
      <c r="O199" s="478"/>
      <c r="P199" s="478"/>
      <c r="Q199" s="478"/>
    </row>
    <row r="200" spans="1:17" ht="15.6">
      <c r="A200" s="478"/>
      <c r="B200" s="478"/>
      <c r="C200" s="478"/>
      <c r="D200" s="478"/>
      <c r="E200" s="478"/>
      <c r="F200" s="478"/>
      <c r="G200" s="478"/>
      <c r="H200" s="478"/>
      <c r="I200" s="478"/>
      <c r="J200" s="478"/>
      <c r="K200" s="478"/>
      <c r="L200" s="478"/>
      <c r="M200" s="478"/>
      <c r="N200" s="478"/>
      <c r="O200" s="478"/>
      <c r="P200" s="478"/>
      <c r="Q200" s="478"/>
    </row>
  </sheetData>
  <mergeCells count="19">
    <mergeCell ref="A6:Q6"/>
    <mergeCell ref="A7:Q7"/>
    <mergeCell ref="A8:Q8"/>
    <mergeCell ref="A9:G9"/>
    <mergeCell ref="H9:Q9"/>
    <mergeCell ref="Q10:Q11"/>
    <mergeCell ref="M10:P10"/>
    <mergeCell ref="A10:A11"/>
    <mergeCell ref="B10:B11"/>
    <mergeCell ref="C10:C11"/>
    <mergeCell ref="D10:D11"/>
    <mergeCell ref="E10:E11"/>
    <mergeCell ref="F10:F11"/>
    <mergeCell ref="G10:G11"/>
    <mergeCell ref="H10:H11"/>
    <mergeCell ref="I10:I11"/>
    <mergeCell ref="J10:J11"/>
    <mergeCell ref="K10:K11"/>
    <mergeCell ref="L10:L11"/>
  </mergeCells>
  <dataValidations count="3">
    <dataValidation type="list" errorStyle="warning" allowBlank="1" showInputMessage="1" showErrorMessage="1" sqref="E12:E56" xr:uid="{00000000-0002-0000-0E00-000000000000}">
      <formula1>CuocTC588s</formula1>
    </dataValidation>
    <dataValidation type="list" errorStyle="warning" allowBlank="1" showInputMessage="1" showErrorMessage="1" sqref="I12:I56" xr:uid="{00000000-0002-0000-0E00-000001000000}">
      <formula1>DoDoc</formula1>
    </dataValidation>
    <dataValidation type="list" errorStyle="warning" allowBlank="1" showInputMessage="1" showErrorMessage="1" sqref="K12:K56" xr:uid="{00000000-0002-0000-0E00-000002000000}">
      <formula1>DiaHinh</formula1>
    </dataValidation>
  </dataValidations>
  <pageMargins left="0.75" right="0.75" top="0.79" bottom="0.79"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7"/>
  </sheetPr>
  <dimension ref="A1:K10"/>
  <sheetViews>
    <sheetView showZeros="0" topLeftCell="B1" workbookViewId="0">
      <selection activeCell="G7" sqref="G7"/>
    </sheetView>
  </sheetViews>
  <sheetFormatPr defaultColWidth="9.21875" defaultRowHeight="13.8"/>
  <cols>
    <col min="1" max="1" width="9.21875" style="146" hidden="1" customWidth="1"/>
    <col min="2" max="2" width="4.44140625" style="146" customWidth="1"/>
    <col min="3" max="3" width="6.44140625" style="146" customWidth="1"/>
    <col min="4" max="4" width="9.44140625" style="146" hidden="1" customWidth="1"/>
    <col min="5" max="5" width="38.77734375" style="146" customWidth="1"/>
    <col min="6" max="8" width="11" style="146" customWidth="1"/>
    <col min="9" max="9" width="9.21875" style="146" hidden="1" customWidth="1"/>
    <col min="10" max="10" width="12.77734375" style="146" hidden="1" customWidth="1"/>
    <col min="11" max="11" width="9.21875" style="146" hidden="1" customWidth="1"/>
    <col min="12" max="16384" width="9.21875" style="146"/>
  </cols>
  <sheetData>
    <row r="1" spans="1:11" ht="17.399999999999999">
      <c r="B1" s="935" t="s">
        <v>891</v>
      </c>
      <c r="C1" s="935"/>
      <c r="D1" s="935"/>
      <c r="E1" s="935"/>
      <c r="F1" s="935"/>
      <c r="G1" s="935"/>
      <c r="H1" s="935"/>
      <c r="I1" s="935"/>
      <c r="J1" s="935"/>
      <c r="K1" s="935"/>
    </row>
    <row r="2" spans="1:11">
      <c r="B2" s="967" t="s">
        <v>892</v>
      </c>
      <c r="C2" s="967"/>
      <c r="D2" s="967"/>
      <c r="E2" s="967"/>
      <c r="F2" s="967"/>
      <c r="G2" s="967"/>
      <c r="H2" s="967"/>
      <c r="I2" s="967"/>
      <c r="J2" s="967"/>
      <c r="K2" s="967"/>
    </row>
    <row r="3" spans="1:11">
      <c r="B3" s="968" t="s">
        <v>685</v>
      </c>
      <c r="C3" s="968"/>
      <c r="D3" s="968"/>
      <c r="E3" s="968"/>
      <c r="F3" s="968"/>
      <c r="G3" s="968"/>
      <c r="H3" s="968"/>
      <c r="I3" s="968"/>
      <c r="J3" s="968"/>
      <c r="K3" s="968"/>
    </row>
    <row r="4" spans="1:11" ht="21" customHeight="1">
      <c r="B4" s="205" t="s">
        <v>5</v>
      </c>
      <c r="C4" s="205" t="s">
        <v>893</v>
      </c>
      <c r="D4" s="205"/>
      <c r="E4" s="205" t="s">
        <v>894</v>
      </c>
      <c r="F4" s="205" t="s">
        <v>322</v>
      </c>
      <c r="G4" s="205" t="s">
        <v>687</v>
      </c>
      <c r="H4" s="205" t="s">
        <v>688</v>
      </c>
      <c r="I4" s="205" t="s">
        <v>596</v>
      </c>
      <c r="J4" s="205" t="s">
        <v>689</v>
      </c>
      <c r="K4" s="205" t="s">
        <v>697</v>
      </c>
    </row>
    <row r="5" spans="1:11" ht="15">
      <c r="A5" s="222"/>
      <c r="B5" s="223">
        <v>1</v>
      </c>
      <c r="C5" s="441" t="s">
        <v>598</v>
      </c>
      <c r="D5" s="222"/>
      <c r="E5" s="222" t="s">
        <v>793</v>
      </c>
      <c r="F5" s="223" t="s">
        <v>895</v>
      </c>
      <c r="G5" s="430">
        <v>218559</v>
      </c>
      <c r="H5" s="447">
        <v>228618</v>
      </c>
      <c r="I5" s="450">
        <v>1</v>
      </c>
      <c r="J5" s="222">
        <f t="shared" ref="J5:J10" si="0">H5*I5</f>
        <v>228618</v>
      </c>
      <c r="K5" s="280">
        <f t="shared" ref="K5:K10" si="1">H5</f>
        <v>228618</v>
      </c>
    </row>
    <row r="6" spans="1:11" ht="15">
      <c r="A6" s="287"/>
      <c r="B6" s="389">
        <v>2</v>
      </c>
      <c r="C6" s="443" t="s">
        <v>601</v>
      </c>
      <c r="D6" s="287"/>
      <c r="E6" s="287" t="s">
        <v>896</v>
      </c>
      <c r="F6" s="389" t="s">
        <v>895</v>
      </c>
      <c r="G6" s="395">
        <v>239000</v>
      </c>
      <c r="H6" s="448">
        <v>250000</v>
      </c>
      <c r="I6" s="451">
        <v>1</v>
      </c>
      <c r="J6" s="287">
        <f t="shared" si="0"/>
        <v>250000</v>
      </c>
      <c r="K6" s="284">
        <f t="shared" si="1"/>
        <v>250000</v>
      </c>
    </row>
    <row r="7" spans="1:11" ht="15">
      <c r="A7" s="287"/>
      <c r="B7" s="389">
        <v>3</v>
      </c>
      <c r="C7" s="443" t="s">
        <v>605</v>
      </c>
      <c r="D7" s="287"/>
      <c r="E7" s="287" t="s">
        <v>897</v>
      </c>
      <c r="F7" s="389" t="s">
        <v>895</v>
      </c>
      <c r="G7" s="395">
        <v>215633</v>
      </c>
      <c r="H7" s="448">
        <v>246908</v>
      </c>
      <c r="I7" s="451">
        <v>1</v>
      </c>
      <c r="J7" s="287">
        <f t="shared" si="0"/>
        <v>246908</v>
      </c>
      <c r="K7" s="284">
        <f t="shared" si="1"/>
        <v>246908</v>
      </c>
    </row>
    <row r="8" spans="1:11" ht="15">
      <c r="A8" s="287"/>
      <c r="B8" s="389">
        <v>4</v>
      </c>
      <c r="C8" s="443" t="s">
        <v>605</v>
      </c>
      <c r="D8" s="287"/>
      <c r="E8" s="287" t="s">
        <v>897</v>
      </c>
      <c r="F8" s="389" t="s">
        <v>895</v>
      </c>
      <c r="G8" s="395">
        <v>225875</v>
      </c>
      <c r="H8" s="448">
        <v>246908</v>
      </c>
      <c r="I8" s="451">
        <v>1</v>
      </c>
      <c r="J8" s="287">
        <f t="shared" si="0"/>
        <v>246908</v>
      </c>
      <c r="K8" s="284">
        <f t="shared" si="1"/>
        <v>246908</v>
      </c>
    </row>
    <row r="9" spans="1:11" ht="15">
      <c r="A9" s="287"/>
      <c r="B9" s="389">
        <v>5</v>
      </c>
      <c r="C9" s="443" t="s">
        <v>622</v>
      </c>
      <c r="D9" s="287"/>
      <c r="E9" s="287" t="s">
        <v>898</v>
      </c>
      <c r="F9" s="389" t="s">
        <v>895</v>
      </c>
      <c r="G9" s="395">
        <v>247000</v>
      </c>
      <c r="H9" s="448">
        <v>270000</v>
      </c>
      <c r="I9" s="451">
        <v>1</v>
      </c>
      <c r="J9" s="287">
        <f t="shared" si="0"/>
        <v>270000</v>
      </c>
      <c r="K9" s="284">
        <f t="shared" si="1"/>
        <v>270000</v>
      </c>
    </row>
    <row r="10" spans="1:11" ht="15">
      <c r="A10" s="288"/>
      <c r="B10" s="407">
        <v>6</v>
      </c>
      <c r="C10" s="444" t="s">
        <v>629</v>
      </c>
      <c r="D10" s="288"/>
      <c r="E10" s="288" t="s">
        <v>899</v>
      </c>
      <c r="F10" s="407" t="s">
        <v>895</v>
      </c>
      <c r="G10" s="434">
        <v>268125</v>
      </c>
      <c r="H10" s="449">
        <v>293092</v>
      </c>
      <c r="I10" s="452">
        <v>1</v>
      </c>
      <c r="J10" s="288">
        <f t="shared" si="0"/>
        <v>293092</v>
      </c>
      <c r="K10" s="286">
        <f t="shared" si="1"/>
        <v>293092</v>
      </c>
    </row>
  </sheetData>
  <mergeCells count="3">
    <mergeCell ref="B1:K1"/>
    <mergeCell ref="B2:K2"/>
    <mergeCell ref="B3:K3"/>
  </mergeCells>
  <conditionalFormatting sqref="G5:H10">
    <cfRule type="cellIs" dxfId="6" priority="1" stopIfTrue="1" operator="equal">
      <formula>0</formula>
    </cfRule>
  </conditionalFormatting>
  <conditionalFormatting sqref="I5:I11">
    <cfRule type="cellIs" dxfId="5" priority="6" stopIfTrue="1" operator="equal">
      <formula>1</formula>
    </cfRule>
  </conditionalFormatting>
  <pageMargins left="0.75" right="0.75" top="0.79" bottom="0.79" header="0.3" footer="0.3"/>
  <pageSetup paperSize="9" orientation="portrait" useFirstPageNumber="1"/>
  <headerFooter>
    <oddFooter>&amp;CTrang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sheetPr>
  <dimension ref="A1:AH114"/>
  <sheetViews>
    <sheetView showZeros="0" topLeftCell="B1" workbookViewId="0">
      <selection activeCell="E6" sqref="E6"/>
    </sheetView>
  </sheetViews>
  <sheetFormatPr defaultColWidth="9.21875" defaultRowHeight="13.8"/>
  <cols>
    <col min="1" max="1" width="9.21875" style="146" hidden="1" customWidth="1"/>
    <col min="2" max="2" width="4.44140625" style="146" customWidth="1"/>
    <col min="3" max="3" width="8" style="146" customWidth="1"/>
    <col min="4" max="4" width="10.44140625" style="146" hidden="1" customWidth="1"/>
    <col min="5" max="5" width="45.44140625" style="146" customWidth="1"/>
    <col min="6" max="6" width="9" style="146" customWidth="1"/>
    <col min="7" max="7" width="9.21875" style="146" hidden="1" customWidth="1"/>
    <col min="8" max="8" width="10" style="146" hidden="1" customWidth="1"/>
    <col min="9" max="9" width="6.44140625" style="146" hidden="1" customWidth="1"/>
    <col min="10" max="10" width="12.44140625" style="146" customWidth="1"/>
    <col min="11" max="11" width="9.44140625" style="146" customWidth="1"/>
    <col min="12" max="12" width="13.44140625" style="146" hidden="1" customWidth="1"/>
    <col min="13" max="13" width="7.44140625" style="146" hidden="1" customWidth="1"/>
    <col min="14" max="14" width="11" style="146" hidden="1" customWidth="1"/>
    <col min="15" max="15" width="11.44140625" style="146" hidden="1" customWidth="1"/>
    <col min="16" max="16" width="11" style="146" hidden="1" customWidth="1"/>
    <col min="17" max="17" width="6.44140625" style="146" hidden="1" customWidth="1"/>
    <col min="18" max="18" width="12.77734375" style="146" hidden="1" customWidth="1"/>
    <col min="19" max="19" width="11" style="146" hidden="1" customWidth="1"/>
    <col min="20" max="20" width="11.44140625" style="146" hidden="1" customWidth="1"/>
    <col min="21" max="21" width="12.44140625" style="146" hidden="1" customWidth="1"/>
    <col min="22" max="22" width="9.44140625" style="146" hidden="1" customWidth="1"/>
    <col min="23" max="23" width="11" style="146" hidden="1" customWidth="1"/>
    <col min="24" max="24" width="9.44140625" style="146" customWidth="1"/>
    <col min="25" max="25" width="14.44140625" style="146" hidden="1" customWidth="1"/>
    <col min="26" max="26" width="12.77734375" style="146" customWidth="1"/>
    <col min="27" max="27" width="12.44140625" style="146" customWidth="1"/>
    <col min="28" max="34" width="9.21875" style="146" hidden="1" customWidth="1"/>
    <col min="35" max="16384" width="9.21875" style="146"/>
  </cols>
  <sheetData>
    <row r="1" spans="1:27" ht="17.399999999999999">
      <c r="A1" s="935" t="s">
        <v>900</v>
      </c>
      <c r="B1" s="935" t="s">
        <v>900</v>
      </c>
      <c r="C1" s="935" t="s">
        <v>900</v>
      </c>
      <c r="D1" s="935" t="s">
        <v>900</v>
      </c>
      <c r="E1" s="935" t="s">
        <v>900</v>
      </c>
      <c r="F1" s="935" t="s">
        <v>900</v>
      </c>
      <c r="G1" s="935" t="s">
        <v>900</v>
      </c>
      <c r="H1" s="935" t="s">
        <v>900</v>
      </c>
      <c r="I1" s="935" t="s">
        <v>900</v>
      </c>
      <c r="J1" s="935" t="s">
        <v>900</v>
      </c>
      <c r="K1" s="935" t="s">
        <v>900</v>
      </c>
      <c r="L1" s="935" t="s">
        <v>900</v>
      </c>
      <c r="M1" s="935" t="s">
        <v>900</v>
      </c>
      <c r="N1" s="935" t="s">
        <v>900</v>
      </c>
      <c r="O1" s="935" t="s">
        <v>900</v>
      </c>
      <c r="P1" s="935" t="s">
        <v>900</v>
      </c>
      <c r="Q1" s="935" t="s">
        <v>900</v>
      </c>
      <c r="R1" s="935" t="s">
        <v>900</v>
      </c>
      <c r="S1" s="935" t="s">
        <v>900</v>
      </c>
      <c r="T1" s="935" t="s">
        <v>900</v>
      </c>
      <c r="U1" s="935" t="s">
        <v>900</v>
      </c>
      <c r="V1" s="935" t="s">
        <v>900</v>
      </c>
      <c r="W1" s="935" t="s">
        <v>900</v>
      </c>
      <c r="X1" s="935" t="s">
        <v>900</v>
      </c>
      <c r="Y1" s="935" t="s">
        <v>900</v>
      </c>
      <c r="Z1" s="935" t="s">
        <v>900</v>
      </c>
      <c r="AA1" s="935" t="s">
        <v>900</v>
      </c>
    </row>
    <row r="2" spans="1:27">
      <c r="A2" s="936" t="s">
        <v>254</v>
      </c>
      <c r="B2" s="937" t="s">
        <v>254</v>
      </c>
      <c r="C2" s="937" t="s">
        <v>254</v>
      </c>
      <c r="D2" s="937" t="s">
        <v>254</v>
      </c>
      <c r="E2" s="937" t="s">
        <v>254</v>
      </c>
      <c r="F2" s="937" t="s">
        <v>254</v>
      </c>
      <c r="G2" s="937" t="s">
        <v>254</v>
      </c>
      <c r="H2" s="937" t="s">
        <v>254</v>
      </c>
      <c r="I2" s="937" t="s">
        <v>254</v>
      </c>
      <c r="J2" s="937" t="s">
        <v>254</v>
      </c>
      <c r="K2" s="937" t="s">
        <v>254</v>
      </c>
      <c r="L2" s="937" t="s">
        <v>254</v>
      </c>
      <c r="M2" s="937" t="s">
        <v>254</v>
      </c>
      <c r="N2" s="937" t="s">
        <v>254</v>
      </c>
      <c r="O2" s="937" t="s">
        <v>254</v>
      </c>
      <c r="P2" s="937" t="s">
        <v>254</v>
      </c>
      <c r="Q2" s="937" t="s">
        <v>254</v>
      </c>
      <c r="R2" s="937" t="s">
        <v>254</v>
      </c>
      <c r="S2" s="937" t="s">
        <v>254</v>
      </c>
      <c r="T2" s="937" t="s">
        <v>254</v>
      </c>
      <c r="U2" s="937" t="s">
        <v>254</v>
      </c>
      <c r="V2" s="937" t="s">
        <v>254</v>
      </c>
      <c r="W2" s="937" t="s">
        <v>254</v>
      </c>
      <c r="X2" s="937" t="s">
        <v>254</v>
      </c>
      <c r="Y2" s="937" t="s">
        <v>254</v>
      </c>
      <c r="Z2" s="937" t="s">
        <v>254</v>
      </c>
      <c r="AA2" s="937" t="s">
        <v>254</v>
      </c>
    </row>
    <row r="3" spans="1:27" ht="13.5" customHeight="1">
      <c r="A3" s="938" t="s">
        <v>302</v>
      </c>
      <c r="B3" s="938" t="s">
        <v>302</v>
      </c>
      <c r="C3" s="938" t="s">
        <v>302</v>
      </c>
      <c r="D3" s="938" t="s">
        <v>302</v>
      </c>
      <c r="E3" s="938" t="s">
        <v>302</v>
      </c>
      <c r="F3" s="938" t="s">
        <v>302</v>
      </c>
      <c r="G3" s="938" t="s">
        <v>302</v>
      </c>
      <c r="H3" s="938" t="s">
        <v>302</v>
      </c>
      <c r="I3" s="938" t="s">
        <v>302</v>
      </c>
      <c r="J3" s="938" t="s">
        <v>302</v>
      </c>
      <c r="K3" s="938" t="s">
        <v>302</v>
      </c>
      <c r="L3" s="938" t="s">
        <v>302</v>
      </c>
      <c r="M3" s="938" t="s">
        <v>302</v>
      </c>
      <c r="N3" s="938" t="s">
        <v>302</v>
      </c>
      <c r="O3" s="938" t="s">
        <v>302</v>
      </c>
      <c r="P3" s="938" t="s">
        <v>302</v>
      </c>
      <c r="Q3" s="938" t="s">
        <v>302</v>
      </c>
      <c r="R3" s="938" t="s">
        <v>302</v>
      </c>
      <c r="S3" s="938" t="s">
        <v>302</v>
      </c>
      <c r="T3" s="938" t="s">
        <v>302</v>
      </c>
      <c r="U3" s="938" t="s">
        <v>302</v>
      </c>
      <c r="V3" s="938" t="s">
        <v>302</v>
      </c>
      <c r="W3" s="938" t="s">
        <v>302</v>
      </c>
      <c r="X3" s="938" t="s">
        <v>302</v>
      </c>
      <c r="Y3" s="938" t="s">
        <v>302</v>
      </c>
      <c r="Z3" s="938" t="s">
        <v>302</v>
      </c>
      <c r="AA3" s="938" t="s">
        <v>302</v>
      </c>
    </row>
    <row r="4" spans="1:27">
      <c r="A4" s="411"/>
      <c r="B4" s="934" t="s">
        <v>5</v>
      </c>
      <c r="C4" s="934" t="s">
        <v>592</v>
      </c>
      <c r="D4" s="205"/>
      <c r="E4" s="934" t="s">
        <v>754</v>
      </c>
      <c r="F4" s="934" t="s">
        <v>594</v>
      </c>
      <c r="G4" s="934" t="s">
        <v>755</v>
      </c>
      <c r="H4" s="934" t="s">
        <v>595</v>
      </c>
      <c r="I4" s="934" t="s">
        <v>596</v>
      </c>
      <c r="J4" s="934" t="s">
        <v>756</v>
      </c>
      <c r="K4" s="934" t="s">
        <v>687</v>
      </c>
      <c r="L4" s="934" t="s">
        <v>261</v>
      </c>
      <c r="M4" s="934" t="s">
        <v>688</v>
      </c>
      <c r="N4" s="934" t="s">
        <v>261</v>
      </c>
      <c r="O4" s="934" t="s">
        <v>757</v>
      </c>
      <c r="P4" s="934" t="s">
        <v>261</v>
      </c>
      <c r="Q4" s="934" t="s">
        <v>596</v>
      </c>
      <c r="R4" s="934" t="s">
        <v>689</v>
      </c>
      <c r="S4" s="934" t="s">
        <v>261</v>
      </c>
      <c r="T4" s="934" t="s">
        <v>757</v>
      </c>
      <c r="U4" s="934" t="s">
        <v>261</v>
      </c>
      <c r="V4" s="934" t="s">
        <v>901</v>
      </c>
      <c r="W4" s="934" t="s">
        <v>261</v>
      </c>
      <c r="X4" s="934" t="s">
        <v>697</v>
      </c>
      <c r="Y4" s="934" t="s">
        <v>261</v>
      </c>
      <c r="Z4" s="934" t="s">
        <v>757</v>
      </c>
      <c r="AA4" s="934" t="s">
        <v>261</v>
      </c>
    </row>
    <row r="5" spans="1:27" ht="7.35" customHeight="1">
      <c r="A5" s="411"/>
      <c r="B5" s="934"/>
      <c r="C5" s="934"/>
      <c r="D5" s="205"/>
      <c r="E5" s="934"/>
      <c r="F5" s="934"/>
      <c r="G5" s="934" t="s">
        <v>755</v>
      </c>
      <c r="H5" s="934" t="s">
        <v>595</v>
      </c>
      <c r="I5" s="934" t="s">
        <v>596</v>
      </c>
      <c r="J5" s="934" t="s">
        <v>756</v>
      </c>
      <c r="K5" s="934"/>
      <c r="L5" s="934"/>
      <c r="M5" s="934"/>
      <c r="N5" s="934"/>
      <c r="O5" s="934"/>
      <c r="P5" s="934"/>
      <c r="Q5" s="934"/>
      <c r="R5" s="934"/>
      <c r="S5" s="934"/>
      <c r="T5" s="934"/>
      <c r="U5" s="934"/>
      <c r="V5" s="934"/>
      <c r="W5" s="934"/>
      <c r="X5" s="934"/>
      <c r="Y5" s="934"/>
      <c r="Z5" s="934"/>
      <c r="AA5" s="934"/>
    </row>
    <row r="6" spans="1:27">
      <c r="A6" s="234" t="s">
        <v>759</v>
      </c>
      <c r="B6" s="256">
        <v>1</v>
      </c>
      <c r="C6" s="234" t="s">
        <v>598</v>
      </c>
      <c r="D6" s="234">
        <f>'Giá NC'!D5</f>
        <v>0</v>
      </c>
      <c r="E6" s="257" t="str">
        <f>'Giá NC'!E5</f>
        <v>Nhân công bậc 3,0/7 - Nhóm 1</v>
      </c>
      <c r="F6" s="256" t="s">
        <v>895</v>
      </c>
      <c r="G6" s="412"/>
      <c r="H6" s="412"/>
      <c r="I6" s="412"/>
      <c r="J6" s="259">
        <f>SUM(J7:J41)</f>
        <v>229.62132955619469</v>
      </c>
      <c r="K6" s="418">
        <f>'Giá NC'!G5</f>
        <v>218559</v>
      </c>
      <c r="L6" s="418">
        <f>J6*K6</f>
        <v>50185808.166472353</v>
      </c>
      <c r="M6" s="418">
        <f>'Giá NC'!H5</f>
        <v>228618</v>
      </c>
      <c r="N6" s="418">
        <f>J6*M6</f>
        <v>52495569.120478116</v>
      </c>
      <c r="O6" s="418">
        <f>M6-K6</f>
        <v>10059</v>
      </c>
      <c r="P6" s="418">
        <f>J6*O6</f>
        <v>2309760.9540057625</v>
      </c>
      <c r="Q6" s="418">
        <v>1</v>
      </c>
      <c r="R6" s="418">
        <f>M6*Q6</f>
        <v>228618</v>
      </c>
      <c r="S6" s="418">
        <f>J6*R6</f>
        <v>52495569.120478116</v>
      </c>
      <c r="T6" s="418">
        <v>0</v>
      </c>
      <c r="U6" s="418">
        <v>0</v>
      </c>
      <c r="V6" s="418">
        <v>0</v>
      </c>
      <c r="W6" s="418">
        <v>0</v>
      </c>
      <c r="X6" s="418">
        <f>'Giá NC'!K5</f>
        <v>228618</v>
      </c>
      <c r="Y6" s="418">
        <f>J6*X6</f>
        <v>52495569.120478116</v>
      </c>
      <c r="Z6" s="418">
        <f>X6-K6</f>
        <v>10059</v>
      </c>
      <c r="AA6" s="418">
        <f>J6*Z6</f>
        <v>2309760.9540057625</v>
      </c>
    </row>
    <row r="7" spans="1:27" s="410" customFormat="1" hidden="1">
      <c r="A7" s="413">
        <f>'5.Tiên lượng'!A12</f>
        <v>0</v>
      </c>
      <c r="B7" s="414"/>
      <c r="C7" s="413" t="str">
        <f>'5.Tiên lượng'!C12</f>
        <v>AB.31132</v>
      </c>
      <c r="D7" s="413"/>
      <c r="E7" s="415" t="str">
        <f>'5.Tiên lượng'!D12</f>
        <v>Đào nền đường bằng máy đào 1,25m3 - Cấp đất II</v>
      </c>
      <c r="F7" s="414" t="str">
        <f>'5.Tiên lượng'!E12</f>
        <v>100m3</v>
      </c>
      <c r="G7" s="416">
        <f>'5.Tiên lượng'!M12</f>
        <v>0.95230000000000004</v>
      </c>
      <c r="H7" s="416">
        <f>PTVT!G10</f>
        <v>3.39</v>
      </c>
      <c r="I7" s="416">
        <f>'5.Tiên lượng'!W12</f>
        <v>1</v>
      </c>
      <c r="J7" s="419">
        <f t="shared" ref="J7:J41" si="0">PRODUCT(G7,H7,I7)</f>
        <v>3.2282970000000004</v>
      </c>
      <c r="K7" s="420"/>
      <c r="L7" s="420"/>
      <c r="M7" s="420"/>
      <c r="N7" s="420"/>
      <c r="O7" s="420"/>
      <c r="P7" s="420"/>
      <c r="Q7" s="420"/>
      <c r="R7" s="420"/>
      <c r="S7" s="420"/>
      <c r="T7" s="420"/>
      <c r="U7" s="420"/>
      <c r="V7" s="420"/>
      <c r="W7" s="420"/>
      <c r="X7" s="420"/>
      <c r="Y7" s="420"/>
      <c r="Z7" s="420"/>
      <c r="AA7" s="420">
        <f>J7*Z6</f>
        <v>32473.439523000005</v>
      </c>
    </row>
    <row r="8" spans="1:27" s="410" customFormat="1" hidden="1">
      <c r="A8" s="413">
        <f>'5.Tiên lượng'!A14</f>
        <v>0</v>
      </c>
      <c r="B8" s="414"/>
      <c r="C8" s="413" t="str">
        <f>'5.Tiên lượng'!C14</f>
        <v>AB.31133</v>
      </c>
      <c r="D8" s="413"/>
      <c r="E8" s="415" t="str">
        <f>'5.Tiên lượng'!D14</f>
        <v>Đào nền đường bằng máy đào 1,25m3 - Cấp đất III</v>
      </c>
      <c r="F8" s="414" t="str">
        <f>'5.Tiên lượng'!E14</f>
        <v>100m3</v>
      </c>
      <c r="G8" s="416">
        <f>'5.Tiên lượng'!M14</f>
        <v>2.7511999999999999</v>
      </c>
      <c r="H8" s="416">
        <f>PTVT!G16</f>
        <v>4.0599999999999996</v>
      </c>
      <c r="I8" s="416">
        <f>'5.Tiên lượng'!W14</f>
        <v>1</v>
      </c>
      <c r="J8" s="419">
        <f t="shared" si="0"/>
        <v>11.169871999999998</v>
      </c>
      <c r="K8" s="420"/>
      <c r="L8" s="420"/>
      <c r="M8" s="420"/>
      <c r="N8" s="420"/>
      <c r="O8" s="420"/>
      <c r="P8" s="420"/>
      <c r="Q8" s="420"/>
      <c r="R8" s="420"/>
      <c r="S8" s="420"/>
      <c r="T8" s="420"/>
      <c r="U8" s="420"/>
      <c r="V8" s="420"/>
      <c r="W8" s="420"/>
      <c r="X8" s="420"/>
      <c r="Y8" s="420"/>
      <c r="Z8" s="420"/>
      <c r="AA8" s="420">
        <f>J8*Z6</f>
        <v>112357.74244799998</v>
      </c>
    </row>
    <row r="9" spans="1:27" s="410" customFormat="1" hidden="1">
      <c r="A9" s="413">
        <f>'5.Tiên lượng'!A16</f>
        <v>0</v>
      </c>
      <c r="B9" s="414"/>
      <c r="C9" s="413" t="str">
        <f>'5.Tiên lượng'!C16</f>
        <v>AB.31134</v>
      </c>
      <c r="D9" s="413"/>
      <c r="E9" s="415" t="str">
        <f>'5.Tiên lượng'!D16</f>
        <v>Đào nền đường bằng máy đào 1,25m3 - Cấp đất IV</v>
      </c>
      <c r="F9" s="414" t="str">
        <f>'5.Tiên lượng'!E16</f>
        <v>100m3</v>
      </c>
      <c r="G9" s="416">
        <f>'5.Tiên lượng'!M16</f>
        <v>1.4199999999999999E-2</v>
      </c>
      <c r="H9" s="416">
        <f>PTVT!G22</f>
        <v>4.8099999999999996</v>
      </c>
      <c r="I9" s="416">
        <f>'5.Tiên lượng'!W16</f>
        <v>1</v>
      </c>
      <c r="J9" s="419">
        <f t="shared" si="0"/>
        <v>6.8301999999999988E-2</v>
      </c>
      <c r="K9" s="420"/>
      <c r="L9" s="420"/>
      <c r="M9" s="420"/>
      <c r="N9" s="420"/>
      <c r="O9" s="420"/>
      <c r="P9" s="420"/>
      <c r="Q9" s="420"/>
      <c r="R9" s="420"/>
      <c r="S9" s="420"/>
      <c r="T9" s="420"/>
      <c r="U9" s="420"/>
      <c r="V9" s="420"/>
      <c r="W9" s="420"/>
      <c r="X9" s="420"/>
      <c r="Y9" s="420"/>
      <c r="Z9" s="420"/>
      <c r="AA9" s="420">
        <f>J9*Z6</f>
        <v>687.04981799999985</v>
      </c>
    </row>
    <row r="10" spans="1:27" s="410" customFormat="1" hidden="1">
      <c r="A10" s="413">
        <f>'5.Tiên lượng'!A19</f>
        <v>0</v>
      </c>
      <c r="B10" s="414"/>
      <c r="C10" s="413" t="str">
        <f>'5.Tiên lượng'!C19</f>
        <v>AB.31134VD</v>
      </c>
      <c r="D10" s="413"/>
      <c r="E10" s="415" t="str">
        <f>'5.Tiên lượng'!D19</f>
        <v>Đào đường cũ cấp phối bằng máy đào 1,25m3</v>
      </c>
      <c r="F10" s="414" t="str">
        <f>'5.Tiên lượng'!E19</f>
        <v>m3</v>
      </c>
      <c r="G10" s="416">
        <f>'5.Tiên lượng'!M19</f>
        <v>0</v>
      </c>
      <c r="H10" s="416">
        <f>PTVT!G34</f>
        <v>4.8099999999999997E-2</v>
      </c>
      <c r="I10" s="416">
        <f>'5.Tiên lượng'!W19</f>
        <v>1</v>
      </c>
      <c r="J10" s="419">
        <f t="shared" si="0"/>
        <v>0</v>
      </c>
      <c r="K10" s="420"/>
      <c r="L10" s="420"/>
      <c r="M10" s="420"/>
      <c r="N10" s="420"/>
      <c r="O10" s="420"/>
      <c r="P10" s="420"/>
      <c r="Q10" s="420"/>
      <c r="R10" s="420"/>
      <c r="S10" s="420"/>
      <c r="T10" s="420"/>
      <c r="U10" s="420"/>
      <c r="V10" s="420"/>
      <c r="W10" s="420"/>
      <c r="X10" s="420"/>
      <c r="Y10" s="420"/>
      <c r="Z10" s="420"/>
      <c r="AA10" s="420">
        <f>J10*Z6</f>
        <v>0</v>
      </c>
    </row>
    <row r="11" spans="1:27" s="410" customFormat="1" hidden="1">
      <c r="A11" s="413">
        <f>'5.Tiên lượng'!A21</f>
        <v>0</v>
      </c>
      <c r="B11" s="414"/>
      <c r="C11" s="413" t="str">
        <f>'5.Tiên lượng'!C21</f>
        <v>AB.31132(VD)</v>
      </c>
      <c r="D11" s="413"/>
      <c r="E11" s="415" t="str">
        <f>'5.Tiên lượng'!D21</f>
        <v>Đào rãnh bằng máy đào 1,25m3 - Cấp đất II</v>
      </c>
      <c r="F11" s="414" t="str">
        <f>'5.Tiên lượng'!E21</f>
        <v>100m3</v>
      </c>
      <c r="G11" s="416">
        <f>'5.Tiên lượng'!M21</f>
        <v>7.2900000000000006E-2</v>
      </c>
      <c r="H11" s="416">
        <f>PTVT!G40</f>
        <v>3.39</v>
      </c>
      <c r="I11" s="416">
        <f>'5.Tiên lượng'!W21</f>
        <v>1</v>
      </c>
      <c r="J11" s="419">
        <f t="shared" si="0"/>
        <v>0.24713100000000002</v>
      </c>
      <c r="K11" s="420"/>
      <c r="L11" s="420"/>
      <c r="M11" s="420"/>
      <c r="N11" s="420"/>
      <c r="O11" s="420"/>
      <c r="P11" s="420"/>
      <c r="Q11" s="420"/>
      <c r="R11" s="420"/>
      <c r="S11" s="420"/>
      <c r="T11" s="420"/>
      <c r="U11" s="420"/>
      <c r="V11" s="420"/>
      <c r="W11" s="420"/>
      <c r="X11" s="420"/>
      <c r="Y11" s="420"/>
      <c r="Z11" s="420"/>
      <c r="AA11" s="420">
        <f>J11*Z6</f>
        <v>2485.8907290000002</v>
      </c>
    </row>
    <row r="12" spans="1:27" s="410" customFormat="1" hidden="1">
      <c r="A12" s="413">
        <f>'5.Tiên lượng'!A23</f>
        <v>0</v>
      </c>
      <c r="B12" s="414"/>
      <c r="C12" s="413" t="str">
        <f>'5.Tiên lượng'!C23</f>
        <v>AB.31133(VD)</v>
      </c>
      <c r="D12" s="413"/>
      <c r="E12" s="415" t="str">
        <f>'5.Tiên lượng'!D23</f>
        <v>Đào rãnh bằng máy đào 1,25m3 - Cấp đất III</v>
      </c>
      <c r="F12" s="414" t="str">
        <f>'5.Tiên lượng'!E23</f>
        <v>100m3</v>
      </c>
      <c r="G12" s="416">
        <f>'5.Tiên lượng'!M23</f>
        <v>0.88529999999999998</v>
      </c>
      <c r="H12" s="416">
        <f>PTVT!G46</f>
        <v>4.0599999999999996</v>
      </c>
      <c r="I12" s="416">
        <f>'5.Tiên lượng'!W23</f>
        <v>1</v>
      </c>
      <c r="J12" s="419">
        <f t="shared" si="0"/>
        <v>3.5943179999999995</v>
      </c>
      <c r="K12" s="420"/>
      <c r="L12" s="420"/>
      <c r="M12" s="420"/>
      <c r="N12" s="420"/>
      <c r="O12" s="420"/>
      <c r="P12" s="420"/>
      <c r="Q12" s="420"/>
      <c r="R12" s="420"/>
      <c r="S12" s="420"/>
      <c r="T12" s="420"/>
      <c r="U12" s="420"/>
      <c r="V12" s="420"/>
      <c r="W12" s="420"/>
      <c r="X12" s="420"/>
      <c r="Y12" s="420"/>
      <c r="Z12" s="420"/>
      <c r="AA12" s="420">
        <f>J12*Z6</f>
        <v>36155.244761999995</v>
      </c>
    </row>
    <row r="13" spans="1:27" s="410" customFormat="1" hidden="1">
      <c r="A13" s="413">
        <f>'5.Tiên lượng'!A25</f>
        <v>0</v>
      </c>
      <c r="B13" s="414"/>
      <c r="C13" s="413" t="str">
        <f>'5.Tiên lượng'!C25</f>
        <v>AB.31134(VD)</v>
      </c>
      <c r="D13" s="413"/>
      <c r="E13" s="415" t="str">
        <f>'5.Tiên lượng'!D25</f>
        <v>Đào rãnh bằng máy đào 1,25m3 - Cấp đất IV</v>
      </c>
      <c r="F13" s="414" t="str">
        <f>'5.Tiên lượng'!E25</f>
        <v>100m3</v>
      </c>
      <c r="G13" s="416">
        <f>'5.Tiên lượng'!M25</f>
        <v>1.1000000000000001E-3</v>
      </c>
      <c r="H13" s="416">
        <f>PTVT!G52</f>
        <v>4.8099999999999996</v>
      </c>
      <c r="I13" s="416">
        <f>'5.Tiên lượng'!W25</f>
        <v>1</v>
      </c>
      <c r="J13" s="419">
        <f t="shared" si="0"/>
        <v>5.2909999999999997E-3</v>
      </c>
      <c r="K13" s="420"/>
      <c r="L13" s="420"/>
      <c r="M13" s="420"/>
      <c r="N13" s="420"/>
      <c r="O13" s="420"/>
      <c r="P13" s="420"/>
      <c r="Q13" s="420"/>
      <c r="R13" s="420"/>
      <c r="S13" s="420"/>
      <c r="T13" s="420"/>
      <c r="U13" s="420"/>
      <c r="V13" s="420"/>
      <c r="W13" s="420"/>
      <c r="X13" s="420"/>
      <c r="Y13" s="420"/>
      <c r="Z13" s="420"/>
      <c r="AA13" s="420">
        <f>J13*Z6</f>
        <v>53.222168999999994</v>
      </c>
    </row>
    <row r="14" spans="1:27" s="410" customFormat="1" hidden="1">
      <c r="A14" s="413">
        <f>'5.Tiên lượng'!A29</f>
        <v>0</v>
      </c>
      <c r="B14" s="414"/>
      <c r="C14" s="413" t="str">
        <f>'5.Tiên lượng'!C29</f>
        <v>AB.31132(VD)</v>
      </c>
      <c r="D14" s="413"/>
      <c r="E14" s="415" t="str">
        <f>'5.Tiên lượng'!D29</f>
        <v>Đào cấp bằng máy đào 1,25m3 - Cấp đất II</v>
      </c>
      <c r="F14" s="414" t="str">
        <f>'5.Tiên lượng'!E29</f>
        <v>100m3</v>
      </c>
      <c r="G14" s="416">
        <f>'5.Tiên lượng'!M29</f>
        <v>0.86290000000000011</v>
      </c>
      <c r="H14" s="416">
        <f>PTVT!G63</f>
        <v>3.39</v>
      </c>
      <c r="I14" s="416">
        <f>'5.Tiên lượng'!W29</f>
        <v>1</v>
      </c>
      <c r="J14" s="419">
        <f t="shared" si="0"/>
        <v>2.9252310000000006</v>
      </c>
      <c r="K14" s="420"/>
      <c r="L14" s="420"/>
      <c r="M14" s="420"/>
      <c r="N14" s="420"/>
      <c r="O14" s="420"/>
      <c r="P14" s="420"/>
      <c r="Q14" s="420"/>
      <c r="R14" s="420"/>
      <c r="S14" s="420"/>
      <c r="T14" s="420"/>
      <c r="U14" s="420"/>
      <c r="V14" s="420"/>
      <c r="W14" s="420"/>
      <c r="X14" s="420"/>
      <c r="Y14" s="420"/>
      <c r="Z14" s="420"/>
      <c r="AA14" s="420">
        <f>J14*Z6</f>
        <v>29424.898629000007</v>
      </c>
    </row>
    <row r="15" spans="1:27" s="410" customFormat="1" hidden="1">
      <c r="A15" s="413">
        <f>'5.Tiên lượng'!A31</f>
        <v>0</v>
      </c>
      <c r="B15" s="414"/>
      <c r="C15" s="413" t="str">
        <f>'5.Tiên lượng'!C31</f>
        <v>AB.31132</v>
      </c>
      <c r="D15" s="413"/>
      <c r="E15" s="415" t="str">
        <f>'5.Tiên lượng'!D31</f>
        <v>Đào hữu cơ bằng máy đào 1,25m3 - Cấp đất II</v>
      </c>
      <c r="F15" s="414" t="str">
        <f>'5.Tiên lượng'!E31</f>
        <v>100m3</v>
      </c>
      <c r="G15" s="416">
        <f>'5.Tiên lượng'!M31</f>
        <v>3.8552999999999997</v>
      </c>
      <c r="H15" s="416">
        <f>PTVT!G69</f>
        <v>3.39</v>
      </c>
      <c r="I15" s="416">
        <f>'5.Tiên lượng'!W31</f>
        <v>1</v>
      </c>
      <c r="J15" s="419">
        <f t="shared" si="0"/>
        <v>13.069467</v>
      </c>
      <c r="K15" s="420"/>
      <c r="L15" s="420"/>
      <c r="M15" s="420"/>
      <c r="N15" s="420"/>
      <c r="O15" s="420"/>
      <c r="P15" s="420"/>
      <c r="Q15" s="420"/>
      <c r="R15" s="420"/>
      <c r="S15" s="420"/>
      <c r="T15" s="420"/>
      <c r="U15" s="420"/>
      <c r="V15" s="420"/>
      <c r="W15" s="420"/>
      <c r="X15" s="420"/>
      <c r="Y15" s="420"/>
      <c r="Z15" s="420"/>
      <c r="AA15" s="420">
        <f>J15*Z6</f>
        <v>131465.768553</v>
      </c>
    </row>
    <row r="16" spans="1:27" s="410" customFormat="1" hidden="1">
      <c r="A16" s="413">
        <f>'5.Tiên lượng'!A34</f>
        <v>0</v>
      </c>
      <c r="B16" s="414"/>
      <c r="C16" s="413" t="str">
        <f>'5.Tiên lượng'!C34</f>
        <v>AB.67110</v>
      </c>
      <c r="D16" s="413"/>
      <c r="E16" s="415" t="str">
        <f>'5.Tiên lượng'!D34</f>
        <v>Đắp đá hỗn hợp công trình bằng máy ủi 180CV</v>
      </c>
      <c r="F16" s="414" t="str">
        <f>'5.Tiên lượng'!E34</f>
        <v>100m3</v>
      </c>
      <c r="G16" s="416">
        <f>'5.Tiên lượng'!M34</f>
        <v>0</v>
      </c>
      <c r="H16" s="416">
        <f>PTVT!G76</f>
        <v>3.75</v>
      </c>
      <c r="I16" s="416">
        <f>'5.Tiên lượng'!W34</f>
        <v>1</v>
      </c>
      <c r="J16" s="419">
        <f t="shared" si="0"/>
        <v>0</v>
      </c>
      <c r="K16" s="420"/>
      <c r="L16" s="420"/>
      <c r="M16" s="420"/>
      <c r="N16" s="420"/>
      <c r="O16" s="420"/>
      <c r="P16" s="420"/>
      <c r="Q16" s="420"/>
      <c r="R16" s="420"/>
      <c r="S16" s="420"/>
      <c r="T16" s="420"/>
      <c r="U16" s="420"/>
      <c r="V16" s="420"/>
      <c r="W16" s="420"/>
      <c r="X16" s="420"/>
      <c r="Y16" s="420"/>
      <c r="Z16" s="420"/>
      <c r="AA16" s="420">
        <f>J16*Z6</f>
        <v>0</v>
      </c>
    </row>
    <row r="17" spans="1:27" s="410" customFormat="1" ht="27.6" hidden="1">
      <c r="A17" s="413">
        <f>'5.Tiên lượng'!A38</f>
        <v>0</v>
      </c>
      <c r="B17" s="414"/>
      <c r="C17" s="413" t="str">
        <f>'5.Tiên lượng'!C38</f>
        <v>AB.64123</v>
      </c>
      <c r="D17" s="413"/>
      <c r="E17" s="415" t="str">
        <f>'5.Tiên lượng'!D38</f>
        <v>Đắp nền đường bằng máy lu bánh thép 16T, máy ủi 110CV, độ chặt Y/C K = 0,95</v>
      </c>
      <c r="F17" s="414" t="str">
        <f>'5.Tiên lượng'!E38</f>
        <v>100m3</v>
      </c>
      <c r="G17" s="416">
        <f>'5.Tiên lượng'!M38</f>
        <v>4.593362831858407</v>
      </c>
      <c r="H17" s="416">
        <f>PTVT!G93</f>
        <v>1.45</v>
      </c>
      <c r="I17" s="416">
        <f>'5.Tiên lượng'!W38</f>
        <v>1</v>
      </c>
      <c r="J17" s="419">
        <f t="shared" si="0"/>
        <v>6.6603761061946898</v>
      </c>
      <c r="K17" s="420"/>
      <c r="L17" s="420"/>
      <c r="M17" s="420"/>
      <c r="N17" s="420"/>
      <c r="O17" s="420"/>
      <c r="P17" s="420"/>
      <c r="Q17" s="420"/>
      <c r="R17" s="420"/>
      <c r="S17" s="420"/>
      <c r="T17" s="420"/>
      <c r="U17" s="420"/>
      <c r="V17" s="420"/>
      <c r="W17" s="420"/>
      <c r="X17" s="420"/>
      <c r="Y17" s="420"/>
      <c r="Z17" s="420"/>
      <c r="AA17" s="420">
        <f>J17*Z6</f>
        <v>66996.723252212381</v>
      </c>
    </row>
    <row r="18" spans="1:27" s="410" customFormat="1" ht="27.6" hidden="1">
      <c r="A18" s="413">
        <f>'5.Tiên lượng'!A42</f>
        <v>0</v>
      </c>
      <c r="B18" s="414"/>
      <c r="C18" s="413" t="str">
        <f>'5.Tiên lượng'!C42</f>
        <v>AB.31134VD</v>
      </c>
      <c r="D18" s="413"/>
      <c r="E18" s="415" t="str">
        <f>'5.Tiên lượng'!D42</f>
        <v>Đào khuôn đường cũ cấp phối bằng máy đào 1,25m3</v>
      </c>
      <c r="F18" s="414" t="str">
        <f>'5.Tiên lượng'!E42</f>
        <v>m3</v>
      </c>
      <c r="G18" s="416">
        <f>'5.Tiên lượng'!M42</f>
        <v>90.77</v>
      </c>
      <c r="H18" s="416">
        <f>PTVT!G102</f>
        <v>4.8099999999999997E-2</v>
      </c>
      <c r="I18" s="416">
        <f>'5.Tiên lượng'!W42</f>
        <v>1</v>
      </c>
      <c r="J18" s="419">
        <f t="shared" si="0"/>
        <v>4.3660369999999995</v>
      </c>
      <c r="K18" s="420"/>
      <c r="L18" s="420"/>
      <c r="M18" s="420"/>
      <c r="N18" s="420"/>
      <c r="O18" s="420"/>
      <c r="P18" s="420"/>
      <c r="Q18" s="420"/>
      <c r="R18" s="420"/>
      <c r="S18" s="420"/>
      <c r="T18" s="420"/>
      <c r="U18" s="420"/>
      <c r="V18" s="420"/>
      <c r="W18" s="420"/>
      <c r="X18" s="420"/>
      <c r="Y18" s="420"/>
      <c r="Z18" s="420"/>
      <c r="AA18" s="420">
        <f>J18*Z6</f>
        <v>43917.966182999997</v>
      </c>
    </row>
    <row r="19" spans="1:27" s="410" customFormat="1" hidden="1">
      <c r="A19" s="413">
        <f>'5.Tiên lượng'!A43</f>
        <v>0</v>
      </c>
      <c r="B19" s="414"/>
      <c r="C19" s="413" t="str">
        <f>'5.Tiên lượng'!C43</f>
        <v>AB.31133</v>
      </c>
      <c r="D19" s="413"/>
      <c r="E19" s="415" t="str">
        <f>'5.Tiên lượng'!D43</f>
        <v>Đào nền đường bằng máy đào 1,25m3 - Cấp đất III</v>
      </c>
      <c r="F19" s="414" t="str">
        <f>'5.Tiên lượng'!E43</f>
        <v>100m3</v>
      </c>
      <c r="G19" s="416">
        <f>'5.Tiên lượng'!M43</f>
        <v>1.2237</v>
      </c>
      <c r="H19" s="416">
        <f>PTVT!G108</f>
        <v>4.0599999999999996</v>
      </c>
      <c r="I19" s="416">
        <f>'5.Tiên lượng'!W43</f>
        <v>1</v>
      </c>
      <c r="J19" s="419">
        <f t="shared" si="0"/>
        <v>4.9682219999999999</v>
      </c>
      <c r="K19" s="420"/>
      <c r="L19" s="420"/>
      <c r="M19" s="420"/>
      <c r="N19" s="420"/>
      <c r="O19" s="420"/>
      <c r="P19" s="420"/>
      <c r="Q19" s="420"/>
      <c r="R19" s="420"/>
      <c r="S19" s="420"/>
      <c r="T19" s="420"/>
      <c r="U19" s="420"/>
      <c r="V19" s="420"/>
      <c r="W19" s="420"/>
      <c r="X19" s="420"/>
      <c r="Y19" s="420"/>
      <c r="Z19" s="420"/>
      <c r="AA19" s="420">
        <f>J19*Z6</f>
        <v>49975.345097999998</v>
      </c>
    </row>
    <row r="20" spans="1:27" s="410" customFormat="1" hidden="1">
      <c r="A20" s="413">
        <f>'5.Tiên lượng'!A76</f>
        <v>0</v>
      </c>
      <c r="B20" s="414"/>
      <c r="C20" s="413" t="str">
        <f>'5.Tiên lượng'!C76</f>
        <v>AB.31132</v>
      </c>
      <c r="D20" s="413"/>
      <c r="E20" s="415" t="str">
        <f>'5.Tiên lượng'!D76</f>
        <v>Đào nền đường bằng máy đào 1,25m3 - Cấp đất II</v>
      </c>
      <c r="F20" s="414" t="str">
        <f>'5.Tiên lượng'!E76</f>
        <v>100m3</v>
      </c>
      <c r="G20" s="416">
        <f>'5.Tiên lượng'!M76</f>
        <v>1.2262999999999999</v>
      </c>
      <c r="H20" s="416">
        <f>PTVT!G265</f>
        <v>3.39</v>
      </c>
      <c r="I20" s="416">
        <f>'5.Tiên lượng'!W76</f>
        <v>1</v>
      </c>
      <c r="J20" s="419">
        <f t="shared" si="0"/>
        <v>4.1571569999999998</v>
      </c>
      <c r="K20" s="420"/>
      <c r="L20" s="420"/>
      <c r="M20" s="420"/>
      <c r="N20" s="420"/>
      <c r="O20" s="420"/>
      <c r="P20" s="420"/>
      <c r="Q20" s="420"/>
      <c r="R20" s="420"/>
      <c r="S20" s="420"/>
      <c r="T20" s="420"/>
      <c r="U20" s="420"/>
      <c r="V20" s="420"/>
      <c r="W20" s="420"/>
      <c r="X20" s="420"/>
      <c r="Y20" s="420"/>
      <c r="Z20" s="420"/>
      <c r="AA20" s="420">
        <f>J20*Z6</f>
        <v>41816.842262999999</v>
      </c>
    </row>
    <row r="21" spans="1:27" s="410" customFormat="1" hidden="1">
      <c r="A21" s="413">
        <f>'5.Tiên lượng'!A78</f>
        <v>0</v>
      </c>
      <c r="B21" s="414"/>
      <c r="C21" s="413" t="str">
        <f>'5.Tiên lượng'!C78</f>
        <v>AB.31133</v>
      </c>
      <c r="D21" s="413"/>
      <c r="E21" s="415" t="str">
        <f>'5.Tiên lượng'!D78</f>
        <v>Đào nền đường bằng máy đào 1,25m3 - Cấp đất III</v>
      </c>
      <c r="F21" s="414" t="str">
        <f>'5.Tiên lượng'!E78</f>
        <v>100m3</v>
      </c>
      <c r="G21" s="416">
        <f>'5.Tiên lượng'!M78</f>
        <v>3.6326000000000001</v>
      </c>
      <c r="H21" s="416">
        <f>PTVT!G271</f>
        <v>4.0599999999999996</v>
      </c>
      <c r="I21" s="416">
        <f>'5.Tiên lượng'!W78</f>
        <v>1</v>
      </c>
      <c r="J21" s="419">
        <f t="shared" si="0"/>
        <v>14.748355999999999</v>
      </c>
      <c r="K21" s="420"/>
      <c r="L21" s="420"/>
      <c r="M21" s="420"/>
      <c r="N21" s="420"/>
      <c r="O21" s="420"/>
      <c r="P21" s="420"/>
      <c r="Q21" s="420"/>
      <c r="R21" s="420"/>
      <c r="S21" s="420"/>
      <c r="T21" s="420"/>
      <c r="U21" s="420"/>
      <c r="V21" s="420"/>
      <c r="W21" s="420"/>
      <c r="X21" s="420"/>
      <c r="Y21" s="420"/>
      <c r="Z21" s="420"/>
      <c r="AA21" s="420">
        <f>J21*Z6</f>
        <v>148353.71300399999</v>
      </c>
    </row>
    <row r="22" spans="1:27" s="410" customFormat="1" hidden="1">
      <c r="A22" s="413">
        <f>'5.Tiên lượng'!A80</f>
        <v>0</v>
      </c>
      <c r="B22" s="414"/>
      <c r="C22" s="413" t="str">
        <f>'5.Tiên lượng'!C80</f>
        <v>AB.31134</v>
      </c>
      <c r="D22" s="413"/>
      <c r="E22" s="415" t="str">
        <f>'5.Tiên lượng'!D80</f>
        <v>Đào nền đường bằng máy đào 1,25m3 - Cấp đất IV</v>
      </c>
      <c r="F22" s="414" t="str">
        <f>'5.Tiên lượng'!E80</f>
        <v>100m3</v>
      </c>
      <c r="G22" s="416">
        <f>'5.Tiên lượng'!M80</f>
        <v>0.48090000000000005</v>
      </c>
      <c r="H22" s="416">
        <f>PTVT!G277</f>
        <v>4.8099999999999996</v>
      </c>
      <c r="I22" s="416">
        <f>'5.Tiên lượng'!W80</f>
        <v>1</v>
      </c>
      <c r="J22" s="419">
        <f t="shared" si="0"/>
        <v>2.313129</v>
      </c>
      <c r="K22" s="420"/>
      <c r="L22" s="420"/>
      <c r="M22" s="420"/>
      <c r="N22" s="420"/>
      <c r="O22" s="420"/>
      <c r="P22" s="420"/>
      <c r="Q22" s="420"/>
      <c r="R22" s="420"/>
      <c r="S22" s="420"/>
      <c r="T22" s="420"/>
      <c r="U22" s="420"/>
      <c r="V22" s="420"/>
      <c r="W22" s="420"/>
      <c r="X22" s="420"/>
      <c r="Y22" s="420"/>
      <c r="Z22" s="420"/>
      <c r="AA22" s="420">
        <f>J22*Z6</f>
        <v>23267.764610999999</v>
      </c>
    </row>
    <row r="23" spans="1:27" s="410" customFormat="1" hidden="1">
      <c r="A23" s="413">
        <f>'5.Tiên lượng'!A82</f>
        <v>0</v>
      </c>
      <c r="B23" s="414"/>
      <c r="C23" s="413" t="str">
        <f>'5.Tiên lượng'!C82</f>
        <v>AB.31134VD</v>
      </c>
      <c r="D23" s="413"/>
      <c r="E23" s="415" t="str">
        <f>'5.Tiên lượng'!D82</f>
        <v>Đào đường cũ cấp phối bằng máy đào 1,25m3</v>
      </c>
      <c r="F23" s="414" t="str">
        <f>'5.Tiên lượng'!E82</f>
        <v>m3</v>
      </c>
      <c r="G23" s="416">
        <f>'5.Tiên lượng'!M82</f>
        <v>32.340000000000003</v>
      </c>
      <c r="H23" s="416">
        <f>PTVT!G283</f>
        <v>4.8099999999999997E-2</v>
      </c>
      <c r="I23" s="416">
        <f>'5.Tiên lượng'!W82</f>
        <v>1</v>
      </c>
      <c r="J23" s="419">
        <f t="shared" si="0"/>
        <v>1.5555540000000001</v>
      </c>
      <c r="K23" s="420"/>
      <c r="L23" s="420"/>
      <c r="M23" s="420"/>
      <c r="N23" s="420"/>
      <c r="O23" s="420"/>
      <c r="P23" s="420"/>
      <c r="Q23" s="420"/>
      <c r="R23" s="420"/>
      <c r="S23" s="420"/>
      <c r="T23" s="420"/>
      <c r="U23" s="420"/>
      <c r="V23" s="420"/>
      <c r="W23" s="420"/>
      <c r="X23" s="420"/>
      <c r="Y23" s="420"/>
      <c r="Z23" s="420"/>
      <c r="AA23" s="420">
        <f>J23*Z6</f>
        <v>15647.317686</v>
      </c>
    </row>
    <row r="24" spans="1:27" s="410" customFormat="1" hidden="1">
      <c r="A24" s="413">
        <f>'5.Tiên lượng'!A85</f>
        <v>0</v>
      </c>
      <c r="B24" s="414"/>
      <c r="C24" s="413" t="str">
        <f>'5.Tiên lượng'!C85</f>
        <v>AB.31132(VD)</v>
      </c>
      <c r="D24" s="413"/>
      <c r="E24" s="415" t="str">
        <f>'5.Tiên lượng'!D85</f>
        <v>Đào rãnh bằng máy đào 1,25m3 - Cấp đất II</v>
      </c>
      <c r="F24" s="414" t="str">
        <f>'5.Tiên lượng'!E85</f>
        <v>100m3</v>
      </c>
      <c r="G24" s="416">
        <f>'5.Tiên lượng'!M85</f>
        <v>0.2107</v>
      </c>
      <c r="H24" s="416">
        <f>PTVT!G289</f>
        <v>3.39</v>
      </c>
      <c r="I24" s="416">
        <f>'5.Tiên lượng'!W85</f>
        <v>1</v>
      </c>
      <c r="J24" s="419">
        <f t="shared" si="0"/>
        <v>0.71427300000000005</v>
      </c>
      <c r="K24" s="420"/>
      <c r="L24" s="420"/>
      <c r="M24" s="420"/>
      <c r="N24" s="420"/>
      <c r="O24" s="420"/>
      <c r="P24" s="420"/>
      <c r="Q24" s="420"/>
      <c r="R24" s="420"/>
      <c r="S24" s="420"/>
      <c r="T24" s="420"/>
      <c r="U24" s="420"/>
      <c r="V24" s="420"/>
      <c r="W24" s="420"/>
      <c r="X24" s="420"/>
      <c r="Y24" s="420"/>
      <c r="Z24" s="420"/>
      <c r="AA24" s="420">
        <f>J24*Z6</f>
        <v>7184.8721070000001</v>
      </c>
    </row>
    <row r="25" spans="1:27" s="410" customFormat="1" hidden="1">
      <c r="A25" s="413">
        <f>'5.Tiên lượng'!A87</f>
        <v>0</v>
      </c>
      <c r="B25" s="414"/>
      <c r="C25" s="413" t="str">
        <f>'5.Tiên lượng'!C87</f>
        <v>AB.31133(VD)</v>
      </c>
      <c r="D25" s="413"/>
      <c r="E25" s="415" t="str">
        <f>'5.Tiên lượng'!D87</f>
        <v>Đào rãnh bằng máy đào 1,25m3 - Cấp đất III</v>
      </c>
      <c r="F25" s="414" t="str">
        <f>'5.Tiên lượng'!E87</f>
        <v>100m3</v>
      </c>
      <c r="G25" s="416">
        <f>'5.Tiên lượng'!M87</f>
        <v>2.9964</v>
      </c>
      <c r="H25" s="416">
        <f>PTVT!G295</f>
        <v>4.0599999999999996</v>
      </c>
      <c r="I25" s="416">
        <f>'5.Tiên lượng'!W87</f>
        <v>1</v>
      </c>
      <c r="J25" s="419">
        <f t="shared" si="0"/>
        <v>12.165383999999998</v>
      </c>
      <c r="K25" s="420"/>
      <c r="L25" s="420"/>
      <c r="M25" s="420"/>
      <c r="N25" s="420"/>
      <c r="O25" s="420"/>
      <c r="P25" s="420"/>
      <c r="Q25" s="420"/>
      <c r="R25" s="420"/>
      <c r="S25" s="420"/>
      <c r="T25" s="420"/>
      <c r="U25" s="420"/>
      <c r="V25" s="420"/>
      <c r="W25" s="420"/>
      <c r="X25" s="420"/>
      <c r="Y25" s="420"/>
      <c r="Z25" s="420"/>
      <c r="AA25" s="420">
        <f>J25*Z6</f>
        <v>122371.59765599998</v>
      </c>
    </row>
    <row r="26" spans="1:27" s="410" customFormat="1" hidden="1">
      <c r="A26" s="413">
        <f>'5.Tiên lượng'!A89</f>
        <v>0</v>
      </c>
      <c r="B26" s="414"/>
      <c r="C26" s="413" t="str">
        <f>'5.Tiên lượng'!C89</f>
        <v>AB.31134(VD)</v>
      </c>
      <c r="D26" s="413"/>
      <c r="E26" s="415" t="str">
        <f>'5.Tiên lượng'!D89</f>
        <v>Đào rãnh bằng máy đào 1,25m3 - Cấp đất IV</v>
      </c>
      <c r="F26" s="414" t="str">
        <f>'5.Tiên lượng'!E89</f>
        <v>100m3</v>
      </c>
      <c r="G26" s="416">
        <f>'5.Tiên lượng'!M89</f>
        <v>6.1699999999999998E-2</v>
      </c>
      <c r="H26" s="416">
        <f>PTVT!G301</f>
        <v>4.8099999999999996</v>
      </c>
      <c r="I26" s="416">
        <f>'5.Tiên lượng'!W89</f>
        <v>1</v>
      </c>
      <c r="J26" s="419">
        <f t="shared" si="0"/>
        <v>0.29677699999999996</v>
      </c>
      <c r="K26" s="420"/>
      <c r="L26" s="420"/>
      <c r="M26" s="420"/>
      <c r="N26" s="420"/>
      <c r="O26" s="420"/>
      <c r="P26" s="420"/>
      <c r="Q26" s="420"/>
      <c r="R26" s="420"/>
      <c r="S26" s="420"/>
      <c r="T26" s="420"/>
      <c r="U26" s="420"/>
      <c r="V26" s="420"/>
      <c r="W26" s="420"/>
      <c r="X26" s="420"/>
      <c r="Y26" s="420"/>
      <c r="Z26" s="420"/>
      <c r="AA26" s="420">
        <f>J26*Z6</f>
        <v>2985.2798429999993</v>
      </c>
    </row>
    <row r="27" spans="1:27" s="410" customFormat="1" hidden="1">
      <c r="A27" s="413">
        <f>'5.Tiên lượng'!A92</f>
        <v>0</v>
      </c>
      <c r="B27" s="414"/>
      <c r="C27" s="413" t="str">
        <f>'5.Tiên lượng'!C92</f>
        <v>AB.31132(VD)</v>
      </c>
      <c r="D27" s="413"/>
      <c r="E27" s="415" t="str">
        <f>'5.Tiên lượng'!D92</f>
        <v>Đào cấp bằng máy đào 1,25m3 - Cấp đất II</v>
      </c>
      <c r="F27" s="414" t="str">
        <f>'5.Tiên lượng'!E92</f>
        <v>100m3</v>
      </c>
      <c r="G27" s="416">
        <f>'5.Tiên lượng'!M92</f>
        <v>0.92680000000000007</v>
      </c>
      <c r="H27" s="416">
        <f>PTVT!G307</f>
        <v>3.39</v>
      </c>
      <c r="I27" s="416">
        <f>'5.Tiên lượng'!W92</f>
        <v>1</v>
      </c>
      <c r="J27" s="419">
        <f t="shared" si="0"/>
        <v>3.1418520000000005</v>
      </c>
      <c r="K27" s="420"/>
      <c r="L27" s="420"/>
      <c r="M27" s="420"/>
      <c r="N27" s="420"/>
      <c r="O27" s="420"/>
      <c r="P27" s="420"/>
      <c r="Q27" s="420"/>
      <c r="R27" s="420"/>
      <c r="S27" s="420"/>
      <c r="T27" s="420"/>
      <c r="U27" s="420"/>
      <c r="V27" s="420"/>
      <c r="W27" s="420"/>
      <c r="X27" s="420"/>
      <c r="Y27" s="420"/>
      <c r="Z27" s="420"/>
      <c r="AA27" s="420">
        <f>J27*Z6</f>
        <v>31603.889268000006</v>
      </c>
    </row>
    <row r="28" spans="1:27" s="410" customFormat="1" hidden="1">
      <c r="A28" s="413">
        <f>'5.Tiên lượng'!A94</f>
        <v>0</v>
      </c>
      <c r="B28" s="414"/>
      <c r="C28" s="413" t="str">
        <f>'5.Tiên lượng'!C94</f>
        <v>AB.31132</v>
      </c>
      <c r="D28" s="413"/>
      <c r="E28" s="415" t="str">
        <f>'5.Tiên lượng'!D94</f>
        <v>Đào hữu cơ bằng máy đào 1,25m3 - Cấp đất II</v>
      </c>
      <c r="F28" s="414" t="str">
        <f>'5.Tiên lượng'!E94</f>
        <v>100m3</v>
      </c>
      <c r="G28" s="416">
        <f>'5.Tiên lượng'!M94</f>
        <v>1.2434000000000001</v>
      </c>
      <c r="H28" s="416">
        <f>PTVT!G313</f>
        <v>3.39</v>
      </c>
      <c r="I28" s="416">
        <f>'5.Tiên lượng'!W94</f>
        <v>1</v>
      </c>
      <c r="J28" s="419">
        <f t="shared" si="0"/>
        <v>4.2151260000000006</v>
      </c>
      <c r="K28" s="420"/>
      <c r="L28" s="420"/>
      <c r="M28" s="420"/>
      <c r="N28" s="420"/>
      <c r="O28" s="420"/>
      <c r="P28" s="420"/>
      <c r="Q28" s="420"/>
      <c r="R28" s="420"/>
      <c r="S28" s="420"/>
      <c r="T28" s="420"/>
      <c r="U28" s="420"/>
      <c r="V28" s="420"/>
      <c r="W28" s="420"/>
      <c r="X28" s="420"/>
      <c r="Y28" s="420"/>
      <c r="Z28" s="420"/>
      <c r="AA28" s="420">
        <f>J28*Z6</f>
        <v>42399.952434000006</v>
      </c>
    </row>
    <row r="29" spans="1:27" s="410" customFormat="1" hidden="1">
      <c r="A29" s="413">
        <f>'5.Tiên lượng'!A97</f>
        <v>0</v>
      </c>
      <c r="B29" s="414"/>
      <c r="C29" s="413" t="str">
        <f>'5.Tiên lượng'!C97</f>
        <v>AB.67110</v>
      </c>
      <c r="D29" s="413"/>
      <c r="E29" s="415" t="str">
        <f>'5.Tiên lượng'!D97</f>
        <v>Đắp đá hỗn hợp công trình bằng máy ủi 180CV</v>
      </c>
      <c r="F29" s="414" t="str">
        <f>'5.Tiên lượng'!E97</f>
        <v>100m3</v>
      </c>
      <c r="G29" s="416">
        <f>'5.Tiên lượng'!M97</f>
        <v>0</v>
      </c>
      <c r="H29" s="416">
        <f>PTVT!G320</f>
        <v>3.75</v>
      </c>
      <c r="I29" s="416">
        <f>'5.Tiên lượng'!W97</f>
        <v>1</v>
      </c>
      <c r="J29" s="419">
        <f t="shared" si="0"/>
        <v>0</v>
      </c>
      <c r="K29" s="420"/>
      <c r="L29" s="420"/>
      <c r="M29" s="420"/>
      <c r="N29" s="420"/>
      <c r="O29" s="420"/>
      <c r="P29" s="420"/>
      <c r="Q29" s="420"/>
      <c r="R29" s="420"/>
      <c r="S29" s="420"/>
      <c r="T29" s="420"/>
      <c r="U29" s="420"/>
      <c r="V29" s="420"/>
      <c r="W29" s="420"/>
      <c r="X29" s="420"/>
      <c r="Y29" s="420"/>
      <c r="Z29" s="420"/>
      <c r="AA29" s="420">
        <f>J29*Z6</f>
        <v>0</v>
      </c>
    </row>
    <row r="30" spans="1:27" s="410" customFormat="1" ht="27.6" hidden="1">
      <c r="A30" s="413">
        <f>'5.Tiên lượng'!A101</f>
        <v>0</v>
      </c>
      <c r="B30" s="414"/>
      <c r="C30" s="413" t="str">
        <f>'5.Tiên lượng'!C101</f>
        <v>AB.64113</v>
      </c>
      <c r="D30" s="413"/>
      <c r="E30" s="415" t="str">
        <f>'5.Tiên lượng'!D101</f>
        <v>Đắp nền đường bằng máy lu bánh thép 9T, máy ủi 110CV, độ chặt Y/C K = 0,95</v>
      </c>
      <c r="F30" s="414" t="str">
        <f>'5.Tiên lượng'!E101</f>
        <v>100m3</v>
      </c>
      <c r="G30" s="416">
        <f>'5.Tiên lượng'!M101</f>
        <v>8.2415929999999999</v>
      </c>
      <c r="H30" s="416">
        <f>PTVT!G337</f>
        <v>1.65</v>
      </c>
      <c r="I30" s="416">
        <f>'5.Tiên lượng'!W101</f>
        <v>1</v>
      </c>
      <c r="J30" s="419">
        <f t="shared" si="0"/>
        <v>13.59862845</v>
      </c>
      <c r="K30" s="420"/>
      <c r="L30" s="420"/>
      <c r="M30" s="420"/>
      <c r="N30" s="420"/>
      <c r="O30" s="420"/>
      <c r="P30" s="420"/>
      <c r="Q30" s="420"/>
      <c r="R30" s="420"/>
      <c r="S30" s="420"/>
      <c r="T30" s="420"/>
      <c r="U30" s="420"/>
      <c r="V30" s="420"/>
      <c r="W30" s="420"/>
      <c r="X30" s="420"/>
      <c r="Y30" s="420"/>
      <c r="Z30" s="420"/>
      <c r="AA30" s="420">
        <f>J30*Z6</f>
        <v>136788.60357854998</v>
      </c>
    </row>
    <row r="31" spans="1:27" s="410" customFormat="1" ht="27.6" hidden="1">
      <c r="A31" s="413">
        <f>'5.Tiên lượng'!A107</f>
        <v>0</v>
      </c>
      <c r="B31" s="414"/>
      <c r="C31" s="413" t="str">
        <f>'5.Tiên lượng'!C107</f>
        <v>AB.31133</v>
      </c>
      <c r="D31" s="413"/>
      <c r="E31" s="415" t="str">
        <f>'5.Tiên lượng'!D107</f>
        <v>Đào đất phần cạp mở rộng bằng máy đào 1,25m3 - Cấp đất III</v>
      </c>
      <c r="F31" s="414" t="str">
        <f>'5.Tiên lượng'!E107</f>
        <v>100m3</v>
      </c>
      <c r="G31" s="416">
        <f>'5.Tiên lượng'!M107</f>
        <v>2.1415000000000002</v>
      </c>
      <c r="H31" s="416">
        <f>PTVT!G358</f>
        <v>4.0599999999999996</v>
      </c>
      <c r="I31" s="416">
        <f>'5.Tiên lượng'!W107</f>
        <v>1</v>
      </c>
      <c r="J31" s="419">
        <f t="shared" si="0"/>
        <v>8.6944900000000001</v>
      </c>
      <c r="K31" s="420"/>
      <c r="L31" s="420"/>
      <c r="M31" s="420"/>
      <c r="N31" s="420"/>
      <c r="O31" s="420"/>
      <c r="P31" s="420"/>
      <c r="Q31" s="420"/>
      <c r="R31" s="420"/>
      <c r="S31" s="420"/>
      <c r="T31" s="420"/>
      <c r="U31" s="420"/>
      <c r="V31" s="420"/>
      <c r="W31" s="420"/>
      <c r="X31" s="420"/>
      <c r="Y31" s="420"/>
      <c r="Z31" s="420"/>
      <c r="AA31" s="420">
        <f>J31*Z6</f>
        <v>87457.874909999999</v>
      </c>
    </row>
    <row r="32" spans="1:27" s="410" customFormat="1" ht="41.4" hidden="1">
      <c r="A32" s="413">
        <f>'5.Tiên lượng'!A111</f>
        <v>0</v>
      </c>
      <c r="B32" s="414"/>
      <c r="C32" s="413" t="str">
        <f>'5.Tiên lượng'!C111</f>
        <v>LS.11110(ĐM.1322)</v>
      </c>
      <c r="D32" s="413"/>
      <c r="E32" s="415" t="str">
        <f>'5.Tiên lượng'!D111</f>
        <v>Cào bóc tái sinh nguội tại chỗ bằng máy cào bóc tái sinh WR2400 trên mặt đường láng nhựa, chiều dày 18cm (4% xi măng rải thủ công)</v>
      </c>
      <c r="F32" s="414" t="str">
        <f>'5.Tiên lượng'!E111</f>
        <v>100m3</v>
      </c>
      <c r="G32" s="416">
        <f>'5.Tiên lượng'!M111</f>
        <v>19.253299999999999</v>
      </c>
      <c r="H32" s="416">
        <f>PTVT!G382</f>
        <v>6</v>
      </c>
      <c r="I32" s="416">
        <f>'5.Tiên lượng'!W111</f>
        <v>0.9</v>
      </c>
      <c r="J32" s="419">
        <f t="shared" si="0"/>
        <v>103.96782</v>
      </c>
      <c r="K32" s="420"/>
      <c r="L32" s="420"/>
      <c r="M32" s="420"/>
      <c r="N32" s="420"/>
      <c r="O32" s="420"/>
      <c r="P32" s="420"/>
      <c r="Q32" s="420"/>
      <c r="R32" s="420"/>
      <c r="S32" s="420"/>
      <c r="T32" s="420"/>
      <c r="U32" s="420"/>
      <c r="V32" s="420"/>
      <c r="W32" s="420"/>
      <c r="X32" s="420"/>
      <c r="Y32" s="420"/>
      <c r="Z32" s="420"/>
      <c r="AA32" s="420">
        <f>J32*Z6</f>
        <v>1045812.3013800001</v>
      </c>
    </row>
    <row r="33" spans="1:27" s="410" customFormat="1" ht="41.4" hidden="1">
      <c r="A33" s="413">
        <f>'5.Tiên lượng'!A118</f>
        <v>0</v>
      </c>
      <c r="B33" s="414"/>
      <c r="C33" s="413" t="str">
        <f>'5.Tiên lượng'!C118</f>
        <v>LS.11110(ĐM.1322)</v>
      </c>
      <c r="D33" s="413"/>
      <c r="E33" s="415" t="str">
        <f>'5.Tiên lượng'!D118</f>
        <v>Cào bóc tái sinh nguội tại chỗ bằng máy cào bóc tái sinh WR2400 trên mặt đường láng nhựa, chiều dày 18cm (4% xi măng rải thủ công)</v>
      </c>
      <c r="F33" s="414" t="str">
        <f>'5.Tiên lượng'!E118</f>
        <v>100m3</v>
      </c>
      <c r="G33" s="416">
        <f>'5.Tiên lượng'!M118</f>
        <v>0.2389</v>
      </c>
      <c r="H33" s="416">
        <f>PTVT!G423</f>
        <v>6</v>
      </c>
      <c r="I33" s="416">
        <f>'5.Tiên lượng'!W118</f>
        <v>0.9</v>
      </c>
      <c r="J33" s="419">
        <f t="shared" si="0"/>
        <v>1.29006</v>
      </c>
      <c r="K33" s="420"/>
      <c r="L33" s="420"/>
      <c r="M33" s="420"/>
      <c r="N33" s="420"/>
      <c r="O33" s="420"/>
      <c r="P33" s="420"/>
      <c r="Q33" s="420"/>
      <c r="R33" s="420"/>
      <c r="S33" s="420"/>
      <c r="T33" s="420"/>
      <c r="U33" s="420"/>
      <c r="V33" s="420"/>
      <c r="W33" s="420"/>
      <c r="X33" s="420"/>
      <c r="Y33" s="420"/>
      <c r="Z33" s="420"/>
      <c r="AA33" s="420">
        <f>J33*Z6</f>
        <v>12976.713540000001</v>
      </c>
    </row>
    <row r="34" spans="1:27" s="410" customFormat="1" ht="27.6" hidden="1">
      <c r="A34" s="413">
        <f>'5.Tiên lượng'!A149</f>
        <v>0</v>
      </c>
      <c r="B34" s="414"/>
      <c r="C34" s="413" t="str">
        <f>'5.Tiên lượng'!C149</f>
        <v>AB.64113</v>
      </c>
      <c r="D34" s="413"/>
      <c r="E34" s="415" t="str">
        <f>'5.Tiên lượng'!D149</f>
        <v>Đắp nền đường bằng máy lu bánh thép 9T, máy ủi 110CV, độ chặt Y/C K = 0,95</v>
      </c>
      <c r="F34" s="414" t="str">
        <f>'5.Tiên lượng'!E149</f>
        <v>100m3</v>
      </c>
      <c r="G34" s="416">
        <f>'5.Tiên lượng'!M149</f>
        <v>0.27899999999999997</v>
      </c>
      <c r="H34" s="416">
        <f>PTVT!G586</f>
        <v>1.65</v>
      </c>
      <c r="I34" s="416">
        <f>'5.Tiên lượng'!W149</f>
        <v>1</v>
      </c>
      <c r="J34" s="419">
        <f t="shared" si="0"/>
        <v>0.46034999999999993</v>
      </c>
      <c r="K34" s="420"/>
      <c r="L34" s="420"/>
      <c r="M34" s="420"/>
      <c r="N34" s="420"/>
      <c r="O34" s="420"/>
      <c r="P34" s="420"/>
      <c r="Q34" s="420"/>
      <c r="R34" s="420"/>
      <c r="S34" s="420"/>
      <c r="T34" s="420"/>
      <c r="U34" s="420"/>
      <c r="V34" s="420"/>
      <c r="W34" s="420"/>
      <c r="X34" s="420"/>
      <c r="Y34" s="420"/>
      <c r="Z34" s="420"/>
      <c r="AA34" s="420">
        <f>J34*Z6</f>
        <v>4630.6606499999989</v>
      </c>
    </row>
    <row r="35" spans="1:27" s="410" customFormat="1" ht="27.6" hidden="1">
      <c r="A35" s="413">
        <f>'5.Tiên lượng'!A161</f>
        <v>0</v>
      </c>
      <c r="B35" s="414"/>
      <c r="C35" s="413" t="str">
        <f>'5.Tiên lượng'!C161</f>
        <v>AB.25123</v>
      </c>
      <c r="D35" s="413"/>
      <c r="E35" s="415" t="str">
        <f>'5.Tiên lượng'!D161</f>
        <v>Đào móng bằng máy đào 1,25m3, chiều rộng móng ≤6m - Cấp đất III</v>
      </c>
      <c r="F35" s="414" t="str">
        <f>'5.Tiên lượng'!E161</f>
        <v>100m3</v>
      </c>
      <c r="G35" s="416">
        <f>'5.Tiên lượng'!M161</f>
        <v>1.8000000000000002E-2</v>
      </c>
      <c r="H35" s="416">
        <f>PTVT!G630</f>
        <v>4.41</v>
      </c>
      <c r="I35" s="416">
        <f>'5.Tiên lượng'!W161</f>
        <v>1</v>
      </c>
      <c r="J35" s="419">
        <f t="shared" si="0"/>
        <v>7.9380000000000006E-2</v>
      </c>
      <c r="K35" s="420"/>
      <c r="L35" s="420"/>
      <c r="M35" s="420"/>
      <c r="N35" s="420"/>
      <c r="O35" s="420"/>
      <c r="P35" s="420"/>
      <c r="Q35" s="420"/>
      <c r="R35" s="420"/>
      <c r="S35" s="420"/>
      <c r="T35" s="420"/>
      <c r="U35" s="420"/>
      <c r="V35" s="420"/>
      <c r="W35" s="420"/>
      <c r="X35" s="420"/>
      <c r="Y35" s="420"/>
      <c r="Z35" s="420"/>
      <c r="AA35" s="420">
        <f>J35*Z6</f>
        <v>798.48342000000002</v>
      </c>
    </row>
    <row r="36" spans="1:27" s="410" customFormat="1" ht="27.6" hidden="1">
      <c r="A36" s="413">
        <f>'5.Tiên lượng'!A165</f>
        <v>0</v>
      </c>
      <c r="B36" s="414"/>
      <c r="C36" s="413" t="str">
        <f>'5.Tiên lượng'!C165</f>
        <v>AA.22121</v>
      </c>
      <c r="D36" s="413"/>
      <c r="E36" s="415" t="str">
        <f>'5.Tiên lượng'!D165</f>
        <v>Phá dỡ kết cấu gạch đá bằng búa căn khí nén 3m3/ph</v>
      </c>
      <c r="F36" s="414" t="str">
        <f>'5.Tiên lượng'!E165</f>
        <v>m3</v>
      </c>
      <c r="G36" s="416">
        <f>'5.Tiên lượng'!M165</f>
        <v>8.4240000000000013</v>
      </c>
      <c r="H36" s="416">
        <f>PTVT!G647</f>
        <v>0.2</v>
      </c>
      <c r="I36" s="416">
        <f>'5.Tiên lượng'!W165</f>
        <v>1</v>
      </c>
      <c r="J36" s="419">
        <f t="shared" si="0"/>
        <v>1.6848000000000003</v>
      </c>
      <c r="K36" s="420"/>
      <c r="L36" s="420"/>
      <c r="M36" s="420"/>
      <c r="N36" s="420"/>
      <c r="O36" s="420"/>
      <c r="P36" s="420"/>
      <c r="Q36" s="420"/>
      <c r="R36" s="420"/>
      <c r="S36" s="420"/>
      <c r="T36" s="420"/>
      <c r="U36" s="420"/>
      <c r="V36" s="420"/>
      <c r="W36" s="420"/>
      <c r="X36" s="420"/>
      <c r="Y36" s="420"/>
      <c r="Z36" s="420"/>
      <c r="AA36" s="420">
        <f>J36*Z6</f>
        <v>16947.403200000004</v>
      </c>
    </row>
    <row r="37" spans="1:27" s="410" customFormat="1" ht="27.6" hidden="1">
      <c r="A37" s="413">
        <f>'5.Tiên lượng'!A169</f>
        <v>0</v>
      </c>
      <c r="B37" s="414"/>
      <c r="C37" s="413" t="str">
        <f>'5.Tiên lượng'!C169</f>
        <v>AB.25112</v>
      </c>
      <c r="D37" s="413"/>
      <c r="E37" s="415" t="str">
        <f>'5.Tiên lượng'!D169</f>
        <v>Đào móng bằng máy đào 0,8m3, chiều rộng móng ≤6m - Cấp đất II</v>
      </c>
      <c r="F37" s="414" t="str">
        <f>'5.Tiên lượng'!E169</f>
        <v>100m3</v>
      </c>
      <c r="G37" s="416">
        <f>'5.Tiên lượng'!M169</f>
        <v>0.13830000000000001</v>
      </c>
      <c r="H37" s="416">
        <f>PTVT!G654</f>
        <v>3.8</v>
      </c>
      <c r="I37" s="416">
        <f>'5.Tiên lượng'!W169</f>
        <v>1</v>
      </c>
      <c r="J37" s="419">
        <f t="shared" si="0"/>
        <v>0.52554000000000001</v>
      </c>
      <c r="K37" s="420"/>
      <c r="L37" s="420"/>
      <c r="M37" s="420"/>
      <c r="N37" s="420"/>
      <c r="O37" s="420"/>
      <c r="P37" s="420"/>
      <c r="Q37" s="420"/>
      <c r="R37" s="420"/>
      <c r="S37" s="420"/>
      <c r="T37" s="420"/>
      <c r="U37" s="420"/>
      <c r="V37" s="420"/>
      <c r="W37" s="420"/>
      <c r="X37" s="420"/>
      <c r="Y37" s="420"/>
      <c r="Z37" s="420"/>
      <c r="AA37" s="420">
        <f>J37*Z6</f>
        <v>5286.4068600000001</v>
      </c>
    </row>
    <row r="38" spans="1:27" s="410" customFormat="1" ht="27.6" hidden="1">
      <c r="A38" s="413">
        <f>'5.Tiên lượng'!A171</f>
        <v>0</v>
      </c>
      <c r="B38" s="414"/>
      <c r="C38" s="413" t="str">
        <f>'5.Tiên lượng'!C171</f>
        <v>AB.25113</v>
      </c>
      <c r="D38" s="413"/>
      <c r="E38" s="415" t="str">
        <f>'5.Tiên lượng'!D171</f>
        <v>Đào móng bằng máy đào 0,8m3, chiều rộng móng ≤6m - Cấp đất III</v>
      </c>
      <c r="F38" s="414" t="str">
        <f>'5.Tiên lượng'!E171</f>
        <v>100m3</v>
      </c>
      <c r="G38" s="416">
        <f>'5.Tiên lượng'!M171</f>
        <v>0.67</v>
      </c>
      <c r="H38" s="416">
        <f>PTVT!G659</f>
        <v>4.47</v>
      </c>
      <c r="I38" s="416">
        <f>'5.Tiên lượng'!W171</f>
        <v>1</v>
      </c>
      <c r="J38" s="419">
        <f t="shared" si="0"/>
        <v>2.9948999999999999</v>
      </c>
      <c r="K38" s="420"/>
      <c r="L38" s="420"/>
      <c r="M38" s="420"/>
      <c r="N38" s="420"/>
      <c r="O38" s="420"/>
      <c r="P38" s="420"/>
      <c r="Q38" s="420"/>
      <c r="R38" s="420"/>
      <c r="S38" s="420"/>
      <c r="T38" s="420"/>
      <c r="U38" s="420"/>
      <c r="V38" s="420"/>
      <c r="W38" s="420"/>
      <c r="X38" s="420"/>
      <c r="Y38" s="420"/>
      <c r="Z38" s="420"/>
      <c r="AA38" s="420">
        <f>J38*Z6</f>
        <v>30125.699099999998</v>
      </c>
    </row>
    <row r="39" spans="1:27" s="410" customFormat="1" ht="27.6" hidden="1">
      <c r="A39" s="413">
        <f>'5.Tiên lượng'!A173</f>
        <v>0</v>
      </c>
      <c r="B39" s="414"/>
      <c r="C39" s="413" t="str">
        <f>'5.Tiên lượng'!C173</f>
        <v>AB.25114</v>
      </c>
      <c r="D39" s="413"/>
      <c r="E39" s="415" t="str">
        <f>'5.Tiên lượng'!D173</f>
        <v>Đào móng bằng máy đào 0,8m3, chiều rộng móng ≤6m - Cấp đất IV</v>
      </c>
      <c r="F39" s="414" t="str">
        <f>'5.Tiên lượng'!E173</f>
        <v>100m3</v>
      </c>
      <c r="G39" s="416">
        <f>'5.Tiên lượng'!M173</f>
        <v>4.8999999999999998E-3</v>
      </c>
      <c r="H39" s="416">
        <f>PTVT!G664</f>
        <v>4.96</v>
      </c>
      <c r="I39" s="416">
        <f>'5.Tiên lượng'!W173</f>
        <v>1</v>
      </c>
      <c r="J39" s="419">
        <f t="shared" si="0"/>
        <v>2.4303999999999999E-2</v>
      </c>
      <c r="K39" s="420"/>
      <c r="L39" s="420"/>
      <c r="M39" s="420"/>
      <c r="N39" s="420"/>
      <c r="O39" s="420"/>
      <c r="P39" s="420"/>
      <c r="Q39" s="420"/>
      <c r="R39" s="420"/>
      <c r="S39" s="420"/>
      <c r="T39" s="420"/>
      <c r="U39" s="420"/>
      <c r="V39" s="420"/>
      <c r="W39" s="420"/>
      <c r="X39" s="420"/>
      <c r="Y39" s="420"/>
      <c r="Z39" s="420"/>
      <c r="AA39" s="420">
        <f>J39*Z6</f>
        <v>244.47393599999998</v>
      </c>
    </row>
    <row r="40" spans="1:27" s="410" customFormat="1" ht="27.6" hidden="1">
      <c r="A40" s="413">
        <f>'5.Tiên lượng'!A175</f>
        <v>0</v>
      </c>
      <c r="B40" s="414"/>
      <c r="C40" s="413" t="str">
        <f>'5.Tiên lượng'!C175</f>
        <v>AB.65130</v>
      </c>
      <c r="D40" s="413"/>
      <c r="E40" s="415" t="str">
        <f>'5.Tiên lượng'!D175</f>
        <v>Đắp đất bằng đầm đất cầm tay 70kg, độ chặt Y/C K = 0,95</v>
      </c>
      <c r="F40" s="414" t="str">
        <f>'5.Tiên lượng'!E175</f>
        <v>100m3</v>
      </c>
      <c r="G40" s="416">
        <f>'5.Tiên lượng'!M175</f>
        <v>0.31850000000000001</v>
      </c>
      <c r="H40" s="416">
        <f>PTVT!G669</f>
        <v>7.13</v>
      </c>
      <c r="I40" s="416">
        <f>'5.Tiên lượng'!W175</f>
        <v>1</v>
      </c>
      <c r="J40" s="419">
        <f t="shared" si="0"/>
        <v>2.270905</v>
      </c>
      <c r="K40" s="420"/>
      <c r="L40" s="420"/>
      <c r="M40" s="420"/>
      <c r="N40" s="420"/>
      <c r="O40" s="420"/>
      <c r="P40" s="420"/>
      <c r="Q40" s="420"/>
      <c r="R40" s="420"/>
      <c r="S40" s="420"/>
      <c r="T40" s="420"/>
      <c r="U40" s="420"/>
      <c r="V40" s="420"/>
      <c r="W40" s="420"/>
      <c r="X40" s="420"/>
      <c r="Y40" s="420"/>
      <c r="Z40" s="420"/>
      <c r="AA40" s="420">
        <f>J40*Z6</f>
        <v>22843.033394999999</v>
      </c>
    </row>
    <row r="41" spans="1:27" s="410" customFormat="1" ht="27.6" hidden="1">
      <c r="A41" s="413">
        <f>'5.Tiên lượng'!A206</f>
        <v>0</v>
      </c>
      <c r="B41" s="414"/>
      <c r="C41" s="413" t="str">
        <f>'5.Tiên lượng'!C206</f>
        <v>AA.22121</v>
      </c>
      <c r="D41" s="413"/>
      <c r="E41" s="415" t="str">
        <f>'5.Tiên lượng'!D206</f>
        <v>Phá dỡ kết cấu gạch đá bằng búa căn khí nén 3m3/ph</v>
      </c>
      <c r="F41" s="414" t="str">
        <f>'5.Tiên lượng'!E206</f>
        <v>m3</v>
      </c>
      <c r="G41" s="416">
        <f>'5.Tiên lượng'!M206</f>
        <v>2.1</v>
      </c>
      <c r="H41" s="416">
        <f>PTVT!G877</f>
        <v>0.2</v>
      </c>
      <c r="I41" s="416">
        <f>'5.Tiên lượng'!W206</f>
        <v>1</v>
      </c>
      <c r="J41" s="419">
        <f t="shared" si="0"/>
        <v>0.42000000000000004</v>
      </c>
      <c r="K41" s="420"/>
      <c r="L41" s="420"/>
      <c r="M41" s="420"/>
      <c r="N41" s="420"/>
      <c r="O41" s="420"/>
      <c r="P41" s="420"/>
      <c r="Q41" s="420"/>
      <c r="R41" s="420"/>
      <c r="S41" s="420"/>
      <c r="T41" s="420"/>
      <c r="U41" s="420"/>
      <c r="V41" s="420"/>
      <c r="W41" s="420"/>
      <c r="X41" s="420"/>
      <c r="Y41" s="420"/>
      <c r="Z41" s="420"/>
      <c r="AA41" s="420">
        <f>J41*Z6</f>
        <v>4224.7800000000007</v>
      </c>
    </row>
    <row r="42" spans="1:27">
      <c r="A42" s="246" t="s">
        <v>759</v>
      </c>
      <c r="B42" s="265">
        <v>2</v>
      </c>
      <c r="C42" s="246" t="s">
        <v>601</v>
      </c>
      <c r="D42" s="246">
        <f>'Giá NC'!D6</f>
        <v>0</v>
      </c>
      <c r="E42" s="266" t="str">
        <f>'Giá NC'!E6</f>
        <v>Nhân công bậc 3,5/7 - Nhóm 1</v>
      </c>
      <c r="F42" s="265" t="s">
        <v>895</v>
      </c>
      <c r="G42" s="417"/>
      <c r="H42" s="417"/>
      <c r="I42" s="417"/>
      <c r="J42" s="268">
        <f>SUM(J43:J44)</f>
        <v>4.0975804999999994</v>
      </c>
      <c r="K42" s="421">
        <f>'Giá NC'!G6</f>
        <v>239000</v>
      </c>
      <c r="L42" s="421">
        <f>J42*K42</f>
        <v>979321.73949999991</v>
      </c>
      <c r="M42" s="421">
        <f>'Giá NC'!H6</f>
        <v>250000</v>
      </c>
      <c r="N42" s="421">
        <f>J42*M42</f>
        <v>1024395.1249999999</v>
      </c>
      <c r="O42" s="421">
        <f>M42-K42</f>
        <v>11000</v>
      </c>
      <c r="P42" s="421">
        <f>J42*O42</f>
        <v>45073.385499999997</v>
      </c>
      <c r="Q42" s="421">
        <v>1</v>
      </c>
      <c r="R42" s="421">
        <f>M42*Q42</f>
        <v>250000</v>
      </c>
      <c r="S42" s="421">
        <f>J42*R42</f>
        <v>1024395.1249999999</v>
      </c>
      <c r="T42" s="421">
        <v>0</v>
      </c>
      <c r="U42" s="421">
        <v>0</v>
      </c>
      <c r="V42" s="421">
        <v>0</v>
      </c>
      <c r="W42" s="421">
        <v>0</v>
      </c>
      <c r="X42" s="421">
        <f>'Giá NC'!K6</f>
        <v>250000</v>
      </c>
      <c r="Y42" s="421">
        <f>J42*X42</f>
        <v>1024395.1249999999</v>
      </c>
      <c r="Z42" s="421">
        <f>X42-K42</f>
        <v>11000</v>
      </c>
      <c r="AA42" s="421">
        <f>J42*Z42</f>
        <v>45073.385499999997</v>
      </c>
    </row>
    <row r="43" spans="1:27" s="410" customFormat="1" hidden="1">
      <c r="A43" s="413">
        <f>'5.Tiên lượng'!A18</f>
        <v>0</v>
      </c>
      <c r="B43" s="414"/>
      <c r="C43" s="413" t="str">
        <f>'5.Tiên lượng'!C18</f>
        <v>MD.QĐ792</v>
      </c>
      <c r="D43" s="413"/>
      <c r="E43" s="415" t="str">
        <f>'5.Tiên lượng'!D18</f>
        <v>Đào nền đường đá cấp IV bằng máy đào 1,6m3</v>
      </c>
      <c r="F43" s="414" t="str">
        <f>'5.Tiên lượng'!E18</f>
        <v>m3</v>
      </c>
      <c r="G43" s="416">
        <f>'5.Tiên lượng'!M18</f>
        <v>88.07</v>
      </c>
      <c r="H43" s="416">
        <f>PTVT!G28</f>
        <v>4.0430000000000001E-2</v>
      </c>
      <c r="I43" s="416">
        <f>'5.Tiên lượng'!W18</f>
        <v>1</v>
      </c>
      <c r="J43" s="419">
        <f t="shared" ref="J43:J44" si="1">PRODUCT(G43,H43,I43)</f>
        <v>3.5606700999999998</v>
      </c>
      <c r="K43" s="420"/>
      <c r="L43" s="420"/>
      <c r="M43" s="420"/>
      <c r="N43" s="420"/>
      <c r="O43" s="420"/>
      <c r="P43" s="420"/>
      <c r="Q43" s="420"/>
      <c r="R43" s="420"/>
      <c r="S43" s="420"/>
      <c r="T43" s="420"/>
      <c r="U43" s="420"/>
      <c r="V43" s="420"/>
      <c r="W43" s="420"/>
      <c r="X43" s="420"/>
      <c r="Y43" s="420"/>
      <c r="Z43" s="420"/>
      <c r="AA43" s="420">
        <f>J43*Z42</f>
        <v>39167.371099999997</v>
      </c>
    </row>
    <row r="44" spans="1:27" s="410" customFormat="1" hidden="1">
      <c r="A44" s="413">
        <f>'5.Tiên lượng'!A27</f>
        <v>0</v>
      </c>
      <c r="B44" s="414"/>
      <c r="C44" s="413" t="str">
        <f>'5.Tiên lượng'!C27</f>
        <v>MD.QĐ792</v>
      </c>
      <c r="D44" s="413"/>
      <c r="E44" s="415" t="str">
        <f>'5.Tiên lượng'!D27</f>
        <v>Đào rãnh đá cấp IV bằng máy đào 1,6m3</v>
      </c>
      <c r="F44" s="414" t="str">
        <f>'5.Tiên lượng'!E27</f>
        <v>m3</v>
      </c>
      <c r="G44" s="416">
        <f>'5.Tiên lượng'!M27</f>
        <v>13.28</v>
      </c>
      <c r="H44" s="416">
        <f>PTVT!G58</f>
        <v>4.0430000000000001E-2</v>
      </c>
      <c r="I44" s="416">
        <f>'5.Tiên lượng'!W27</f>
        <v>1</v>
      </c>
      <c r="J44" s="419">
        <f t="shared" si="1"/>
        <v>0.53691040000000001</v>
      </c>
      <c r="K44" s="420"/>
      <c r="L44" s="420"/>
      <c r="M44" s="420"/>
      <c r="N44" s="420"/>
      <c r="O44" s="420"/>
      <c r="P44" s="420"/>
      <c r="Q44" s="420"/>
      <c r="R44" s="420"/>
      <c r="S44" s="420"/>
      <c r="T44" s="420"/>
      <c r="U44" s="420"/>
      <c r="V44" s="420"/>
      <c r="W44" s="420"/>
      <c r="X44" s="420"/>
      <c r="Y44" s="420"/>
      <c r="Z44" s="420"/>
      <c r="AA44" s="420">
        <f>J44*Z42</f>
        <v>5906.0144</v>
      </c>
    </row>
    <row r="45" spans="1:27">
      <c r="A45" s="246" t="s">
        <v>759</v>
      </c>
      <c r="B45" s="265">
        <v>3</v>
      </c>
      <c r="C45" s="246" t="s">
        <v>605</v>
      </c>
      <c r="D45" s="246">
        <f>'Giá NC'!D7</f>
        <v>0</v>
      </c>
      <c r="E45" s="266" t="str">
        <f>'Giá NC'!E7</f>
        <v>Nhân công bậc 3,0/7 - Nhóm 2</v>
      </c>
      <c r="F45" s="265" t="s">
        <v>895</v>
      </c>
      <c r="G45" s="417"/>
      <c r="H45" s="417"/>
      <c r="I45" s="417"/>
      <c r="J45" s="268">
        <f>SUM(J46:J46)</f>
        <v>28.809259964601772</v>
      </c>
      <c r="K45" s="421">
        <f>'Giá NC'!G7</f>
        <v>215633</v>
      </c>
      <c r="L45" s="421">
        <f>J45*K45</f>
        <v>6212227.1539469734</v>
      </c>
      <c r="M45" s="421">
        <f>'Giá NC'!H7</f>
        <v>246908</v>
      </c>
      <c r="N45" s="421">
        <f>J45*M45</f>
        <v>7113236.7593398942</v>
      </c>
      <c r="O45" s="421">
        <f>M45-K45</f>
        <v>31275</v>
      </c>
      <c r="P45" s="421">
        <f>J45*O45</f>
        <v>901009.60539292044</v>
      </c>
      <c r="Q45" s="421">
        <v>1</v>
      </c>
      <c r="R45" s="421">
        <f>M45*Q45</f>
        <v>246908</v>
      </c>
      <c r="S45" s="421">
        <f>J45*R45</f>
        <v>7113236.7593398942</v>
      </c>
      <c r="T45" s="421">
        <v>0</v>
      </c>
      <c r="U45" s="421">
        <v>0</v>
      </c>
      <c r="V45" s="421">
        <v>0</v>
      </c>
      <c r="W45" s="421">
        <v>0</v>
      </c>
      <c r="X45" s="421">
        <f>'Giá NC'!K7</f>
        <v>246908</v>
      </c>
      <c r="Y45" s="421">
        <f>J45*X45</f>
        <v>7113236.7593398942</v>
      </c>
      <c r="Z45" s="421">
        <f>X45-K45</f>
        <v>31275</v>
      </c>
      <c r="AA45" s="421">
        <f>J45*Z45</f>
        <v>901009.60539292044</v>
      </c>
    </row>
    <row r="46" spans="1:27" s="410" customFormat="1" hidden="1">
      <c r="A46" s="413">
        <f>'5.Tiên lượng'!A36</f>
        <v>0</v>
      </c>
      <c r="B46" s="414"/>
      <c r="C46" s="413" t="str">
        <f>'5.Tiên lượng'!C36</f>
        <v>AD.11212</v>
      </c>
      <c r="D46" s="413"/>
      <c r="E46" s="415" t="str">
        <f>'5.Tiên lượng'!D36</f>
        <v>Thi công đắp cấp phối đá dăm loại 2</v>
      </c>
      <c r="F46" s="414" t="str">
        <f>'5.Tiên lượng'!E36</f>
        <v>100m3</v>
      </c>
      <c r="G46" s="416">
        <f>'5.Tiên lượng'!M36</f>
        <v>9.2337371681415927</v>
      </c>
      <c r="H46" s="416">
        <f>PTVT!G83</f>
        <v>3.12</v>
      </c>
      <c r="I46" s="416">
        <f>'5.Tiên lượng'!W36</f>
        <v>1</v>
      </c>
      <c r="J46" s="419">
        <f>PRODUCT(G46,H46,I46)</f>
        <v>28.809259964601772</v>
      </c>
      <c r="K46" s="420"/>
      <c r="L46" s="420"/>
      <c r="M46" s="420"/>
      <c r="N46" s="420"/>
      <c r="O46" s="420"/>
      <c r="P46" s="420"/>
      <c r="Q46" s="420"/>
      <c r="R46" s="420"/>
      <c r="S46" s="420"/>
      <c r="T46" s="420"/>
      <c r="U46" s="420"/>
      <c r="V46" s="420"/>
      <c r="W46" s="420"/>
      <c r="X46" s="420"/>
      <c r="Y46" s="420"/>
      <c r="Z46" s="420"/>
      <c r="AA46" s="420">
        <f>J46*Z45</f>
        <v>901009.60539292044</v>
      </c>
    </row>
    <row r="47" spans="1:27">
      <c r="A47" s="246" t="s">
        <v>759</v>
      </c>
      <c r="B47" s="265">
        <v>4</v>
      </c>
      <c r="C47" s="246" t="s">
        <v>605</v>
      </c>
      <c r="D47" s="246">
        <f>'Giá NC'!D8</f>
        <v>0</v>
      </c>
      <c r="E47" s="266" t="str">
        <f>'Giá NC'!E8</f>
        <v>Nhân công bậc 3,0/7 - Nhóm 2</v>
      </c>
      <c r="F47" s="265" t="s">
        <v>895</v>
      </c>
      <c r="G47" s="417"/>
      <c r="H47" s="417"/>
      <c r="I47" s="417"/>
      <c r="J47" s="268">
        <f>SUM(J48:J60)</f>
        <v>102.88887304000001</v>
      </c>
      <c r="K47" s="421">
        <f>'Giá NC'!G8</f>
        <v>225875</v>
      </c>
      <c r="L47" s="421">
        <f>J47*K47</f>
        <v>23240024.197910003</v>
      </c>
      <c r="M47" s="421">
        <f>'Giá NC'!H8</f>
        <v>246908</v>
      </c>
      <c r="N47" s="421">
        <f>J47*M47</f>
        <v>25404085.864560321</v>
      </c>
      <c r="O47" s="421">
        <f>M47-K47</f>
        <v>21033</v>
      </c>
      <c r="P47" s="421">
        <f>J47*O47</f>
        <v>2164061.6666503199</v>
      </c>
      <c r="Q47" s="421">
        <v>1</v>
      </c>
      <c r="R47" s="421">
        <f>M47*Q47</f>
        <v>246908</v>
      </c>
      <c r="S47" s="421">
        <f>J47*R47</f>
        <v>25404085.864560321</v>
      </c>
      <c r="T47" s="421">
        <v>0</v>
      </c>
      <c r="U47" s="421">
        <v>0</v>
      </c>
      <c r="V47" s="421">
        <v>0</v>
      </c>
      <c r="W47" s="421">
        <v>0</v>
      </c>
      <c r="X47" s="421">
        <f>'Giá NC'!K8</f>
        <v>246908</v>
      </c>
      <c r="Y47" s="421">
        <f>J47*X47</f>
        <v>25404085.864560321</v>
      </c>
      <c r="Z47" s="421">
        <f>X47-K47</f>
        <v>21033</v>
      </c>
      <c r="AA47" s="421">
        <f>J47*Z47</f>
        <v>2164061.6666503199</v>
      </c>
    </row>
    <row r="48" spans="1:27" s="410" customFormat="1" hidden="1">
      <c r="A48" s="413">
        <f>'5.Tiên lượng'!A51</f>
        <v>0</v>
      </c>
      <c r="B48" s="414"/>
      <c r="C48" s="413" t="str">
        <f>'5.Tiên lượng'!C51</f>
        <v>AD.11212</v>
      </c>
      <c r="D48" s="413"/>
      <c r="E48" s="415" t="str">
        <f>'5.Tiên lượng'!D51</f>
        <v xml:space="preserve">Thi công móng cấp phối đá dăm lớp dưới </v>
      </c>
      <c r="F48" s="414" t="str">
        <f>'5.Tiên lượng'!E51</f>
        <v>100m3</v>
      </c>
      <c r="G48" s="416">
        <f>'5.Tiên lượng'!M51</f>
        <v>1.3379759999999998</v>
      </c>
      <c r="H48" s="416">
        <f>PTVT!G139</f>
        <v>3.12</v>
      </c>
      <c r="I48" s="416">
        <f>'5.Tiên lượng'!W51</f>
        <v>1</v>
      </c>
      <c r="J48" s="419">
        <f t="shared" ref="J48:J60" si="2">PRODUCT(G48,H48,I48)</f>
        <v>4.1744851199999999</v>
      </c>
      <c r="K48" s="420"/>
      <c r="L48" s="420"/>
      <c r="M48" s="420"/>
      <c r="N48" s="420"/>
      <c r="O48" s="420"/>
      <c r="P48" s="420"/>
      <c r="Q48" s="420"/>
      <c r="R48" s="420"/>
      <c r="S48" s="420"/>
      <c r="T48" s="420"/>
      <c r="U48" s="420"/>
      <c r="V48" s="420"/>
      <c r="W48" s="420"/>
      <c r="X48" s="420"/>
      <c r="Y48" s="420"/>
      <c r="Z48" s="420"/>
      <c r="AA48" s="420">
        <f>J48*Z47</f>
        <v>87801.945528960001</v>
      </c>
    </row>
    <row r="49" spans="1:27" s="410" customFormat="1" hidden="1">
      <c r="A49" s="413">
        <f>'5.Tiên lượng'!A53</f>
        <v>0</v>
      </c>
      <c r="B49" s="414"/>
      <c r="C49" s="413" t="str">
        <f>'5.Tiên lượng'!C53</f>
        <v>AD.11212</v>
      </c>
      <c r="D49" s="413"/>
      <c r="E49" s="415" t="str">
        <f>'5.Tiên lượng'!D53</f>
        <v xml:space="preserve">Thi công móng cấp phối đá dăm lớp dưới </v>
      </c>
      <c r="F49" s="414" t="str">
        <f>'5.Tiên lượng'!E53</f>
        <v>100m3</v>
      </c>
      <c r="G49" s="416">
        <f>'5.Tiên lượng'!M53</f>
        <v>1.7016</v>
      </c>
      <c r="H49" s="416">
        <f>PTVT!G151</f>
        <v>3.12</v>
      </c>
      <c r="I49" s="416">
        <f>'5.Tiên lượng'!W53</f>
        <v>1</v>
      </c>
      <c r="J49" s="419">
        <f t="shared" si="2"/>
        <v>5.3089919999999999</v>
      </c>
      <c r="K49" s="420"/>
      <c r="L49" s="420"/>
      <c r="M49" s="420"/>
      <c r="N49" s="420"/>
      <c r="O49" s="420"/>
      <c r="P49" s="420"/>
      <c r="Q49" s="420"/>
      <c r="R49" s="420"/>
      <c r="S49" s="420"/>
      <c r="T49" s="420"/>
      <c r="U49" s="420"/>
      <c r="V49" s="420"/>
      <c r="W49" s="420"/>
      <c r="X49" s="420"/>
      <c r="Y49" s="420"/>
      <c r="Z49" s="420"/>
      <c r="AA49" s="420">
        <f>J49*Z47</f>
        <v>111664.02873599999</v>
      </c>
    </row>
    <row r="50" spans="1:27" s="410" customFormat="1" hidden="1">
      <c r="A50" s="413">
        <f>'5.Tiên lượng'!A63</f>
        <v>0</v>
      </c>
      <c r="B50" s="414"/>
      <c r="C50" s="413" t="str">
        <f>'5.Tiên lượng'!C63</f>
        <v>AD.11212</v>
      </c>
      <c r="D50" s="413"/>
      <c r="E50" s="415" t="str">
        <f>'5.Tiên lượng'!D63</f>
        <v xml:space="preserve">Thi công móng cấp phối đá dăm lớp dưới </v>
      </c>
      <c r="F50" s="414" t="str">
        <f>'5.Tiên lượng'!E63</f>
        <v>100m3</v>
      </c>
      <c r="G50" s="416">
        <f>'5.Tiên lượng'!M63</f>
        <v>7.6583999999999999E-2</v>
      </c>
      <c r="H50" s="416">
        <f>PTVT!G196</f>
        <v>3.12</v>
      </c>
      <c r="I50" s="416">
        <f>'5.Tiên lượng'!W63</f>
        <v>1</v>
      </c>
      <c r="J50" s="419">
        <f t="shared" si="2"/>
        <v>0.23894208</v>
      </c>
      <c r="K50" s="420"/>
      <c r="L50" s="420"/>
      <c r="M50" s="420"/>
      <c r="N50" s="420"/>
      <c r="O50" s="420"/>
      <c r="P50" s="420"/>
      <c r="Q50" s="420"/>
      <c r="R50" s="420"/>
      <c r="S50" s="420"/>
      <c r="T50" s="420"/>
      <c r="U50" s="420"/>
      <c r="V50" s="420"/>
      <c r="W50" s="420"/>
      <c r="X50" s="420"/>
      <c r="Y50" s="420"/>
      <c r="Z50" s="420"/>
      <c r="AA50" s="420">
        <f>J50*Z47</f>
        <v>5025.6687686400001</v>
      </c>
    </row>
    <row r="51" spans="1:27" s="410" customFormat="1" hidden="1">
      <c r="A51" s="413">
        <f>'5.Tiên lượng'!A99</f>
        <v>0</v>
      </c>
      <c r="B51" s="414"/>
      <c r="C51" s="413" t="str">
        <f>'5.Tiên lượng'!C99</f>
        <v>AD.11212</v>
      </c>
      <c r="D51" s="413"/>
      <c r="E51" s="415" t="str">
        <f>'5.Tiên lượng'!D99</f>
        <v xml:space="preserve">Thi công móng cấp phối đá dăm lớp dưới </v>
      </c>
      <c r="F51" s="414" t="str">
        <f>'5.Tiên lượng'!E99</f>
        <v>100m3</v>
      </c>
      <c r="G51" s="416">
        <f>'5.Tiên lượng'!M99</f>
        <v>4.3350070000000001</v>
      </c>
      <c r="H51" s="416">
        <f>PTVT!G327</f>
        <v>3.12</v>
      </c>
      <c r="I51" s="416">
        <f>'5.Tiên lượng'!W99</f>
        <v>1</v>
      </c>
      <c r="J51" s="419">
        <f t="shared" si="2"/>
        <v>13.52522184</v>
      </c>
      <c r="K51" s="420"/>
      <c r="L51" s="420"/>
      <c r="M51" s="420"/>
      <c r="N51" s="420"/>
      <c r="O51" s="420"/>
      <c r="P51" s="420"/>
      <c r="Q51" s="420"/>
      <c r="R51" s="420"/>
      <c r="S51" s="420"/>
      <c r="T51" s="420"/>
      <c r="U51" s="420"/>
      <c r="V51" s="420"/>
      <c r="W51" s="420"/>
      <c r="X51" s="420"/>
      <c r="Y51" s="420"/>
      <c r="Z51" s="420"/>
      <c r="AA51" s="420">
        <f>J51*Z47</f>
        <v>284475.99096072</v>
      </c>
    </row>
    <row r="52" spans="1:27" s="410" customFormat="1" ht="27.6" hidden="1">
      <c r="A52" s="413">
        <f>'5.Tiên lượng'!A105</f>
        <v>0</v>
      </c>
      <c r="B52" s="414"/>
      <c r="C52" s="413" t="str">
        <f>'5.Tiên lượng'!C105</f>
        <v>AD.11212(VD)</v>
      </c>
      <c r="D52" s="413"/>
      <c r="E52" s="415" t="str">
        <f>'5.Tiên lượng'!D105</f>
        <v>Bù vật liệu (trên mặt đường cũ lồi lõm) bằng cấp phối đá dăm loại 2 (không lu)</v>
      </c>
      <c r="F52" s="414" t="str">
        <f>'5.Tiên lượng'!E105</f>
        <v>100m3</v>
      </c>
      <c r="G52" s="416">
        <f>'5.Tiên lượng'!M105</f>
        <v>10.24</v>
      </c>
      <c r="H52" s="416">
        <f>PTVT!G348</f>
        <v>3.12</v>
      </c>
      <c r="I52" s="416">
        <f>'5.Tiên lượng'!W105</f>
        <v>1</v>
      </c>
      <c r="J52" s="419">
        <f t="shared" si="2"/>
        <v>31.948800000000002</v>
      </c>
      <c r="K52" s="420"/>
      <c r="L52" s="420"/>
      <c r="M52" s="420"/>
      <c r="N52" s="420"/>
      <c r="O52" s="420"/>
      <c r="P52" s="420"/>
      <c r="Q52" s="420"/>
      <c r="R52" s="420"/>
      <c r="S52" s="420"/>
      <c r="T52" s="420"/>
      <c r="U52" s="420"/>
      <c r="V52" s="420"/>
      <c r="W52" s="420"/>
      <c r="X52" s="420"/>
      <c r="Y52" s="420"/>
      <c r="Z52" s="420"/>
      <c r="AA52" s="420">
        <f>J52*Z47</f>
        <v>671979.11040000001</v>
      </c>
    </row>
    <row r="53" spans="1:27" s="410" customFormat="1" ht="27.6" hidden="1">
      <c r="A53" s="413">
        <f>'5.Tiên lượng'!A109</f>
        <v>0</v>
      </c>
      <c r="B53" s="414"/>
      <c r="C53" s="413" t="str">
        <f>'5.Tiên lượng'!C109</f>
        <v>AD.11212</v>
      </c>
      <c r="D53" s="413"/>
      <c r="E53" s="415" t="str">
        <f>'5.Tiên lượng'!D109</f>
        <v>Bù trả vật liệu phần cạp mở rộng bằng cấp phối đá dăm loại 2 dày 18cm (không lu)</v>
      </c>
      <c r="F53" s="414" t="str">
        <f>'5.Tiên lượng'!E109</f>
        <v>100m3</v>
      </c>
      <c r="G53" s="416">
        <f>'5.Tiên lượng'!M109</f>
        <v>4.8311000000000002</v>
      </c>
      <c r="H53" s="416">
        <f>PTVT!G366</f>
        <v>3.12</v>
      </c>
      <c r="I53" s="416">
        <f>'5.Tiên lượng'!W109</f>
        <v>1</v>
      </c>
      <c r="J53" s="419">
        <f t="shared" si="2"/>
        <v>15.073032000000001</v>
      </c>
      <c r="K53" s="420"/>
      <c r="L53" s="420"/>
      <c r="M53" s="420"/>
      <c r="N53" s="420"/>
      <c r="O53" s="420"/>
      <c r="P53" s="420"/>
      <c r="Q53" s="420"/>
      <c r="R53" s="420"/>
      <c r="S53" s="420"/>
      <c r="T53" s="420"/>
      <c r="U53" s="420"/>
      <c r="V53" s="420"/>
      <c r="W53" s="420"/>
      <c r="X53" s="420"/>
      <c r="Y53" s="420"/>
      <c r="Z53" s="420"/>
      <c r="AA53" s="420">
        <f>J53*Z47</f>
        <v>317031.08205600001</v>
      </c>
    </row>
    <row r="54" spans="1:27" s="410" customFormat="1" hidden="1">
      <c r="A54" s="413">
        <f>'5.Tiên lượng'!A128</f>
        <v>0</v>
      </c>
      <c r="B54" s="414"/>
      <c r="C54" s="413" t="str">
        <f>'5.Tiên lượng'!C128</f>
        <v>AF.11231</v>
      </c>
      <c r="D54" s="413"/>
      <c r="E54" s="415" t="str">
        <f>'5.Tiên lượng'!D128</f>
        <v>BTXM móng rãnh, M150, đá 2x4, PCB40</v>
      </c>
      <c r="F54" s="414" t="str">
        <f>'5.Tiên lượng'!E128</f>
        <v>m3</v>
      </c>
      <c r="G54" s="416">
        <f>'5.Tiên lượng'!M128</f>
        <v>7.43</v>
      </c>
      <c r="H54" s="416">
        <f>PTVT!G471</f>
        <v>1.23</v>
      </c>
      <c r="I54" s="416">
        <f>'5.Tiên lượng'!W128</f>
        <v>1</v>
      </c>
      <c r="J54" s="419">
        <f t="shared" si="2"/>
        <v>9.1388999999999996</v>
      </c>
      <c r="K54" s="420"/>
      <c r="L54" s="420"/>
      <c r="M54" s="420"/>
      <c r="N54" s="420"/>
      <c r="O54" s="420"/>
      <c r="P54" s="420"/>
      <c r="Q54" s="420"/>
      <c r="R54" s="420"/>
      <c r="S54" s="420"/>
      <c r="T54" s="420"/>
      <c r="U54" s="420"/>
      <c r="V54" s="420"/>
      <c r="W54" s="420"/>
      <c r="X54" s="420"/>
      <c r="Y54" s="420"/>
      <c r="Z54" s="420"/>
      <c r="AA54" s="420">
        <f>J54*Z47</f>
        <v>192218.48369999998</v>
      </c>
    </row>
    <row r="55" spans="1:27" s="410" customFormat="1" ht="41.4" hidden="1">
      <c r="A55" s="413">
        <f>'5.Tiên lượng'!A138</f>
        <v>0</v>
      </c>
      <c r="B55" s="414"/>
      <c r="C55" s="413" t="str">
        <f>'5.Tiên lượng'!C138</f>
        <v>AG.11413</v>
      </c>
      <c r="D55" s="413"/>
      <c r="E55" s="415" t="str">
        <f>'5.Tiên lượng'!D138</f>
        <v>Bê tông tấm đan, mái hắt, lanh tô, bê tông M250, đá 1x2, PCB40 - Đổ bê tông đúc sẵn bằng thủ công (vữa bê tông sản xuất bằng máy trộn)</v>
      </c>
      <c r="F55" s="414" t="str">
        <f>'5.Tiên lượng'!E138</f>
        <v>m3</v>
      </c>
      <c r="G55" s="416">
        <f>'5.Tiên lượng'!M138</f>
        <v>6.64</v>
      </c>
      <c r="H55" s="416">
        <f>PTVT!G537</f>
        <v>1.93</v>
      </c>
      <c r="I55" s="416">
        <f>'5.Tiên lượng'!W138</f>
        <v>1</v>
      </c>
      <c r="J55" s="419">
        <f t="shared" si="2"/>
        <v>12.815199999999999</v>
      </c>
      <c r="K55" s="420"/>
      <c r="L55" s="420"/>
      <c r="M55" s="420"/>
      <c r="N55" s="420"/>
      <c r="O55" s="420"/>
      <c r="P55" s="420"/>
      <c r="Q55" s="420"/>
      <c r="R55" s="420"/>
      <c r="S55" s="420"/>
      <c r="T55" s="420"/>
      <c r="U55" s="420"/>
      <c r="V55" s="420"/>
      <c r="W55" s="420"/>
      <c r="X55" s="420"/>
      <c r="Y55" s="420"/>
      <c r="Z55" s="420"/>
      <c r="AA55" s="420">
        <f>J55*Z47</f>
        <v>269542.10159999999</v>
      </c>
    </row>
    <row r="56" spans="1:27" s="410" customFormat="1" ht="27.6" hidden="1">
      <c r="A56" s="413">
        <f>'5.Tiên lượng'!A139</f>
        <v>0</v>
      </c>
      <c r="B56" s="414"/>
      <c r="C56" s="413" t="str">
        <f>'5.Tiên lượng'!C139</f>
        <v>AG.41610</v>
      </c>
      <c r="D56" s="413"/>
      <c r="E56" s="415" t="str">
        <f>'5.Tiên lượng'!D139</f>
        <v>Lắp đặt cấu kiện bê tông đúc sẵn trọng lượng từ 50kg đến 200kg bằng cần cẩu</v>
      </c>
      <c r="F56" s="414" t="str">
        <f>'5.Tiên lượng'!E139</f>
        <v>1cấu kiện</v>
      </c>
      <c r="G56" s="416">
        <f>'5.Tiên lượng'!M139</f>
        <v>79</v>
      </c>
      <c r="H56" s="416">
        <f>PTVT!G542</f>
        <v>0.03</v>
      </c>
      <c r="I56" s="416">
        <f>'5.Tiên lượng'!W139</f>
        <v>1</v>
      </c>
      <c r="J56" s="419">
        <f t="shared" si="2"/>
        <v>2.37</v>
      </c>
      <c r="K56" s="420"/>
      <c r="L56" s="420"/>
      <c r="M56" s="420"/>
      <c r="N56" s="420"/>
      <c r="O56" s="420"/>
      <c r="P56" s="420"/>
      <c r="Q56" s="420"/>
      <c r="R56" s="420"/>
      <c r="S56" s="420"/>
      <c r="T56" s="420"/>
      <c r="U56" s="420"/>
      <c r="V56" s="420"/>
      <c r="W56" s="420"/>
      <c r="X56" s="420"/>
      <c r="Y56" s="420"/>
      <c r="Z56" s="420"/>
      <c r="AA56" s="420">
        <f>J56*Z47</f>
        <v>49848.21</v>
      </c>
    </row>
    <row r="57" spans="1:27" s="410" customFormat="1" hidden="1">
      <c r="A57" s="413">
        <f>'5.Tiên lượng'!A194</f>
        <v>0</v>
      </c>
      <c r="B57" s="414"/>
      <c r="C57" s="413" t="str">
        <f>'5.Tiên lượng'!C194</f>
        <v>AF.11231</v>
      </c>
      <c r="D57" s="413"/>
      <c r="E57" s="415" t="str">
        <f>'5.Tiên lượng'!D194</f>
        <v>BTXM móng cống, M150, đá 2x4, PCB40</v>
      </c>
      <c r="F57" s="414" t="str">
        <f>'5.Tiên lượng'!E194</f>
        <v>m3</v>
      </c>
      <c r="G57" s="416">
        <f>'5.Tiên lượng'!M194</f>
        <v>4.38</v>
      </c>
      <c r="H57" s="416">
        <f>PTVT!G800</f>
        <v>1.23</v>
      </c>
      <c r="I57" s="416">
        <f>'5.Tiên lượng'!W194</f>
        <v>1</v>
      </c>
      <c r="J57" s="419">
        <f t="shared" si="2"/>
        <v>5.3873999999999995</v>
      </c>
      <c r="K57" s="420"/>
      <c r="L57" s="420"/>
      <c r="M57" s="420"/>
      <c r="N57" s="420"/>
      <c r="O57" s="420"/>
      <c r="P57" s="420"/>
      <c r="Q57" s="420"/>
      <c r="R57" s="420"/>
      <c r="S57" s="420"/>
      <c r="T57" s="420"/>
      <c r="U57" s="420"/>
      <c r="V57" s="420"/>
      <c r="W57" s="420"/>
      <c r="X57" s="420"/>
      <c r="Y57" s="420"/>
      <c r="Z57" s="420"/>
      <c r="AA57" s="420">
        <f>J57*Z47</f>
        <v>113313.18419999999</v>
      </c>
    </row>
    <row r="58" spans="1:27" s="410" customFormat="1" ht="41.4" hidden="1">
      <c r="A58" s="413">
        <f>'5.Tiên lượng'!A195</f>
        <v>0</v>
      </c>
      <c r="B58" s="414"/>
      <c r="C58" s="413" t="str">
        <f>'5.Tiên lượng'!C195</f>
        <v>AG.11413</v>
      </c>
      <c r="D58" s="413"/>
      <c r="E58" s="415" t="str">
        <f>'5.Tiên lượng'!D195</f>
        <v>BTCT tấm bản mặt, M250, đá 1x2, PCB40 - Đổ bê tông đúc sẵn bằng thủ công (vữa bê tông sản xuất bằng máy trộn)</v>
      </c>
      <c r="F58" s="414" t="str">
        <f>'5.Tiên lượng'!E195</f>
        <v>m3</v>
      </c>
      <c r="G58" s="416">
        <f>'5.Tiên lượng'!M195</f>
        <v>1.23</v>
      </c>
      <c r="H58" s="416">
        <f>PTVT!G812</f>
        <v>1.93</v>
      </c>
      <c r="I58" s="416">
        <f>'5.Tiên lượng'!W195</f>
        <v>1</v>
      </c>
      <c r="J58" s="419">
        <f t="shared" si="2"/>
        <v>2.3738999999999999</v>
      </c>
      <c r="K58" s="420"/>
      <c r="L58" s="420"/>
      <c r="M58" s="420"/>
      <c r="N58" s="420"/>
      <c r="O58" s="420"/>
      <c r="P58" s="420"/>
      <c r="Q58" s="420"/>
      <c r="R58" s="420"/>
      <c r="S58" s="420"/>
      <c r="T58" s="420"/>
      <c r="U58" s="420"/>
      <c r="V58" s="420"/>
      <c r="W58" s="420"/>
      <c r="X58" s="420"/>
      <c r="Y58" s="420"/>
      <c r="Z58" s="420"/>
      <c r="AA58" s="420">
        <f>J58*Z47</f>
        <v>49930.238699999994</v>
      </c>
    </row>
    <row r="59" spans="1:27" s="410" customFormat="1" hidden="1">
      <c r="A59" s="413">
        <f>'5.Tiên lượng'!A196</f>
        <v>0</v>
      </c>
      <c r="B59" s="414"/>
      <c r="C59" s="413" t="str">
        <f>'5.Tiên lượng'!C196</f>
        <v>AG.41610</v>
      </c>
      <c r="D59" s="413"/>
      <c r="E59" s="415" t="str">
        <f>'5.Tiên lượng'!D196</f>
        <v>Lắp đặt tấm bản mặt bằng cần cẩu</v>
      </c>
      <c r="F59" s="414" t="str">
        <f>'5.Tiên lượng'!E196</f>
        <v>1cấu kiện</v>
      </c>
      <c r="G59" s="416">
        <f>'5.Tiên lượng'!M196</f>
        <v>8</v>
      </c>
      <c r="H59" s="416">
        <f>PTVT!G817</f>
        <v>0.03</v>
      </c>
      <c r="I59" s="416">
        <f>'5.Tiên lượng'!W196</f>
        <v>2</v>
      </c>
      <c r="J59" s="419">
        <f t="shared" si="2"/>
        <v>0.48</v>
      </c>
      <c r="K59" s="420"/>
      <c r="L59" s="420"/>
      <c r="M59" s="420"/>
      <c r="N59" s="420"/>
      <c r="O59" s="420"/>
      <c r="P59" s="420"/>
      <c r="Q59" s="420"/>
      <c r="R59" s="420"/>
      <c r="S59" s="420"/>
      <c r="T59" s="420"/>
      <c r="U59" s="420"/>
      <c r="V59" s="420"/>
      <c r="W59" s="420"/>
      <c r="X59" s="420"/>
      <c r="Y59" s="420"/>
      <c r="Z59" s="420"/>
      <c r="AA59" s="420">
        <f>J59*Z47</f>
        <v>10095.84</v>
      </c>
    </row>
    <row r="60" spans="1:27" s="410" customFormat="1" hidden="1">
      <c r="A60" s="413">
        <f>'5.Tiên lượng'!A204</f>
        <v>0</v>
      </c>
      <c r="B60" s="414"/>
      <c r="C60" s="413" t="str">
        <f>'5.Tiên lượng'!C204</f>
        <v>AG.41610</v>
      </c>
      <c r="D60" s="413"/>
      <c r="E60" s="415" t="str">
        <f>'5.Tiên lượng'!D204</f>
        <v>Tháo dỡ tấm bản mặt cầu cũ bằng cần cẩu</v>
      </c>
      <c r="F60" s="414" t="str">
        <f>'5.Tiên lượng'!E204</f>
        <v>1cấu kiện</v>
      </c>
      <c r="G60" s="416">
        <f>'5.Tiên lượng'!M204</f>
        <v>3</v>
      </c>
      <c r="H60" s="416">
        <f>PTVT!G866</f>
        <v>0.03</v>
      </c>
      <c r="I60" s="416">
        <f>'5.Tiên lượng'!W204</f>
        <v>0.6</v>
      </c>
      <c r="J60" s="419">
        <f t="shared" si="2"/>
        <v>5.3999999999999999E-2</v>
      </c>
      <c r="K60" s="420"/>
      <c r="L60" s="420"/>
      <c r="M60" s="420"/>
      <c r="N60" s="420"/>
      <c r="O60" s="420"/>
      <c r="P60" s="420"/>
      <c r="Q60" s="420"/>
      <c r="R60" s="420"/>
      <c r="S60" s="420"/>
      <c r="T60" s="420"/>
      <c r="U60" s="420"/>
      <c r="V60" s="420"/>
      <c r="W60" s="420"/>
      <c r="X60" s="420"/>
      <c r="Y60" s="420"/>
      <c r="Z60" s="420"/>
      <c r="AA60" s="420">
        <f>J60*Z47</f>
        <v>1135.7819999999999</v>
      </c>
    </row>
    <row r="61" spans="1:27">
      <c r="A61" s="246" t="s">
        <v>759</v>
      </c>
      <c r="B61" s="265">
        <v>5</v>
      </c>
      <c r="C61" s="246" t="s">
        <v>622</v>
      </c>
      <c r="D61" s="246">
        <f>'Giá NC'!D9</f>
        <v>0</v>
      </c>
      <c r="E61" s="266" t="str">
        <f>'Giá NC'!E9</f>
        <v>Nhân công bậc 3,5/7 - Nhóm 2</v>
      </c>
      <c r="F61" s="265" t="s">
        <v>895</v>
      </c>
      <c r="G61" s="417"/>
      <c r="H61" s="417"/>
      <c r="I61" s="417"/>
      <c r="J61" s="268">
        <f>SUM(J62:J99)</f>
        <v>2128.704487500002</v>
      </c>
      <c r="K61" s="421">
        <f>'Giá NC'!G9</f>
        <v>247000</v>
      </c>
      <c r="L61" s="421">
        <f>J61*K61</f>
        <v>525790008.4125005</v>
      </c>
      <c r="M61" s="421">
        <f>'Giá NC'!H9</f>
        <v>270000</v>
      </c>
      <c r="N61" s="421">
        <f>J61*M61</f>
        <v>574750211.62500048</v>
      </c>
      <c r="O61" s="421">
        <f>M61-K61</f>
        <v>23000</v>
      </c>
      <c r="P61" s="421">
        <f>J61*O61</f>
        <v>48960203.212500043</v>
      </c>
      <c r="Q61" s="421">
        <v>1</v>
      </c>
      <c r="R61" s="421">
        <f>M61*Q61</f>
        <v>270000</v>
      </c>
      <c r="S61" s="421">
        <f>J61*R61</f>
        <v>574750211.62500048</v>
      </c>
      <c r="T61" s="421">
        <v>0</v>
      </c>
      <c r="U61" s="421">
        <v>0</v>
      </c>
      <c r="V61" s="421">
        <v>0</v>
      </c>
      <c r="W61" s="421">
        <v>0</v>
      </c>
      <c r="X61" s="421">
        <f>'Giá NC'!K9</f>
        <v>270000</v>
      </c>
      <c r="Y61" s="421">
        <f>J61*X61</f>
        <v>574750211.62500048</v>
      </c>
      <c r="Z61" s="421">
        <f>X61-K61</f>
        <v>23000</v>
      </c>
      <c r="AA61" s="421">
        <f>J61*Z61</f>
        <v>48960203.212500043</v>
      </c>
    </row>
    <row r="62" spans="1:27" s="410" customFormat="1" ht="41.4" hidden="1">
      <c r="A62" s="413">
        <f>'5.Tiên lượng'!A46</f>
        <v>0</v>
      </c>
      <c r="B62" s="414"/>
      <c r="C62" s="413" t="str">
        <f>'5.Tiên lượng'!C46</f>
        <v>AF.15433</v>
      </c>
      <c r="D62" s="413"/>
      <c r="E62" s="415" t="str">
        <f>'5.Tiên lượng'!D46</f>
        <v>Bê tông sản xuất bằng máy trộn và đổ bằng thủ công, bê tông mặt đường dày mặt đường ≤25cm, bê tông M250, đá 2x4, PCB40</v>
      </c>
      <c r="F62" s="414" t="str">
        <f>'5.Tiên lượng'!E46</f>
        <v>m3</v>
      </c>
      <c r="G62" s="416">
        <f>'5.Tiên lượng'!M46</f>
        <v>900.03599999999994</v>
      </c>
      <c r="H62" s="416">
        <f>PTVT!G123</f>
        <v>1.37</v>
      </c>
      <c r="I62" s="416">
        <f>'5.Tiên lượng'!W46</f>
        <v>0.9</v>
      </c>
      <c r="J62" s="419">
        <f t="shared" ref="J62:J99" si="3">PRODUCT(G62,H62,I62)</f>
        <v>1109.7443880000001</v>
      </c>
      <c r="K62" s="420"/>
      <c r="L62" s="420"/>
      <c r="M62" s="420"/>
      <c r="N62" s="420"/>
      <c r="O62" s="420"/>
      <c r="P62" s="420"/>
      <c r="Q62" s="420"/>
      <c r="R62" s="420"/>
      <c r="S62" s="420"/>
      <c r="T62" s="420"/>
      <c r="U62" s="420"/>
      <c r="V62" s="420"/>
      <c r="W62" s="420"/>
      <c r="X62" s="420"/>
      <c r="Y62" s="420"/>
      <c r="Z62" s="420"/>
      <c r="AA62" s="420">
        <f>J62*Z61</f>
        <v>25524120.924000002</v>
      </c>
    </row>
    <row r="63" spans="1:27" s="410" customFormat="1" hidden="1">
      <c r="A63" s="413">
        <f>'5.Tiên lượng'!A49</f>
        <v>0</v>
      </c>
      <c r="B63" s="414"/>
      <c r="C63" s="413" t="str">
        <f>'5.Tiên lượng'!C49</f>
        <v>AL.16201</v>
      </c>
      <c r="D63" s="413"/>
      <c r="E63" s="415" t="str">
        <f>'5.Tiên lượng'!D49</f>
        <v>Ni lông chống thấm</v>
      </c>
      <c r="F63" s="414" t="str">
        <f>'5.Tiên lượng'!E49</f>
        <v>100m2</v>
      </c>
      <c r="G63" s="416">
        <f>'5.Tiên lượng'!M49</f>
        <v>45.001800000000003</v>
      </c>
      <c r="H63" s="416">
        <f>PTVT!G134</f>
        <v>0.15</v>
      </c>
      <c r="I63" s="416">
        <f>'5.Tiên lượng'!W49</f>
        <v>1</v>
      </c>
      <c r="J63" s="419">
        <f t="shared" si="3"/>
        <v>6.7502700000000004</v>
      </c>
      <c r="K63" s="420"/>
      <c r="L63" s="420"/>
      <c r="M63" s="420"/>
      <c r="N63" s="420"/>
      <c r="O63" s="420"/>
      <c r="P63" s="420"/>
      <c r="Q63" s="420"/>
      <c r="R63" s="420"/>
      <c r="S63" s="420"/>
      <c r="T63" s="420"/>
      <c r="U63" s="420"/>
      <c r="V63" s="420"/>
      <c r="W63" s="420"/>
      <c r="X63" s="420"/>
      <c r="Y63" s="420"/>
      <c r="Z63" s="420"/>
      <c r="AA63" s="420">
        <f>J63*Z61</f>
        <v>155256.21000000002</v>
      </c>
    </row>
    <row r="64" spans="1:27" s="410" customFormat="1" ht="41.4" hidden="1">
      <c r="A64" s="413">
        <f>'5.Tiên lượng'!A59</f>
        <v>0</v>
      </c>
      <c r="B64" s="414"/>
      <c r="C64" s="413" t="str">
        <f>'5.Tiên lượng'!C59</f>
        <v>AF.15433</v>
      </c>
      <c r="D64" s="413"/>
      <c r="E64" s="415" t="str">
        <f>'5.Tiên lượng'!D59</f>
        <v>Bê tông sản xuất bằng máy trộn và đổ bằng thủ công, bê tông mặt đường dày mặt đường ≤25cm, bê tông M250, đá 2x4, PCB40</v>
      </c>
      <c r="F64" s="414" t="str">
        <f>'5.Tiên lượng'!E59</f>
        <v>m3</v>
      </c>
      <c r="G64" s="416">
        <f>'5.Tiên lượng'!M59</f>
        <v>12.764000000000001</v>
      </c>
      <c r="H64" s="416">
        <f>PTVT!G180</f>
        <v>1.37</v>
      </c>
      <c r="I64" s="416">
        <f>'5.Tiên lượng'!W59</f>
        <v>0.9</v>
      </c>
      <c r="J64" s="419">
        <f t="shared" si="3"/>
        <v>15.738012000000003</v>
      </c>
      <c r="K64" s="420"/>
      <c r="L64" s="420"/>
      <c r="M64" s="420"/>
      <c r="N64" s="420"/>
      <c r="O64" s="420"/>
      <c r="P64" s="420"/>
      <c r="Q64" s="420"/>
      <c r="R64" s="420"/>
      <c r="S64" s="420"/>
      <c r="T64" s="420"/>
      <c r="U64" s="420"/>
      <c r="V64" s="420"/>
      <c r="W64" s="420"/>
      <c r="X64" s="420"/>
      <c r="Y64" s="420"/>
      <c r="Z64" s="420"/>
      <c r="AA64" s="420">
        <f>J64*Z61</f>
        <v>361974.27600000007</v>
      </c>
    </row>
    <row r="65" spans="1:27" s="410" customFormat="1" hidden="1">
      <c r="A65" s="413">
        <f>'5.Tiên lượng'!A61</f>
        <v>0</v>
      </c>
      <c r="B65" s="414"/>
      <c r="C65" s="413" t="str">
        <f>'5.Tiên lượng'!C61</f>
        <v>AL.16201</v>
      </c>
      <c r="D65" s="413"/>
      <c r="E65" s="415" t="str">
        <f>'5.Tiên lượng'!D61</f>
        <v>Rải giấy dầu lớp cách ly</v>
      </c>
      <c r="F65" s="414" t="str">
        <f>'5.Tiên lượng'!E61</f>
        <v>100m2</v>
      </c>
      <c r="G65" s="416">
        <f>'5.Tiên lượng'!M61</f>
        <v>0.63819999999999999</v>
      </c>
      <c r="H65" s="416">
        <f>PTVT!G191</f>
        <v>0.15</v>
      </c>
      <c r="I65" s="416">
        <f>'5.Tiên lượng'!W61</f>
        <v>1</v>
      </c>
      <c r="J65" s="419">
        <f t="shared" si="3"/>
        <v>9.5729999999999996E-2</v>
      </c>
      <c r="K65" s="420"/>
      <c r="L65" s="420"/>
      <c r="M65" s="420"/>
      <c r="N65" s="420"/>
      <c r="O65" s="420"/>
      <c r="P65" s="420"/>
      <c r="Q65" s="420"/>
      <c r="R65" s="420"/>
      <c r="S65" s="420"/>
      <c r="T65" s="420"/>
      <c r="U65" s="420"/>
      <c r="V65" s="420"/>
      <c r="W65" s="420"/>
      <c r="X65" s="420"/>
      <c r="Y65" s="420"/>
      <c r="Z65" s="420"/>
      <c r="AA65" s="420">
        <f>J65*Z61</f>
        <v>2201.79</v>
      </c>
    </row>
    <row r="66" spans="1:27" s="410" customFormat="1" hidden="1">
      <c r="A66" s="413">
        <f>'5.Tiên lượng'!A67</f>
        <v>0</v>
      </c>
      <c r="B66" s="414"/>
      <c r="C66" s="413" t="str">
        <f>'5.Tiên lượng'!C67</f>
        <v>AL.24111</v>
      </c>
      <c r="D66" s="413"/>
      <c r="E66" s="415" t="str">
        <f>'5.Tiên lượng'!D67</f>
        <v>Thi công khe co không có thanh TL</v>
      </c>
      <c r="F66" s="414" t="str">
        <f>'5.Tiên lượng'!E67</f>
        <v>m</v>
      </c>
      <c r="G66" s="416">
        <f>'5.Tiên lượng'!M67</f>
        <v>1026</v>
      </c>
      <c r="H66" s="416">
        <f>PTVT!G221</f>
        <v>0.09</v>
      </c>
      <c r="I66" s="416">
        <f>'5.Tiên lượng'!W67</f>
        <v>1</v>
      </c>
      <c r="J66" s="419">
        <f t="shared" si="3"/>
        <v>92.34</v>
      </c>
      <c r="K66" s="420"/>
      <c r="L66" s="420"/>
      <c r="M66" s="420"/>
      <c r="N66" s="420"/>
      <c r="O66" s="420"/>
      <c r="P66" s="420"/>
      <c r="Q66" s="420"/>
      <c r="R66" s="420"/>
      <c r="S66" s="420"/>
      <c r="T66" s="420"/>
      <c r="U66" s="420"/>
      <c r="V66" s="420"/>
      <c r="W66" s="420"/>
      <c r="X66" s="420"/>
      <c r="Y66" s="420"/>
      <c r="Z66" s="420"/>
      <c r="AA66" s="420">
        <f>J66*Z61</f>
        <v>2123820</v>
      </c>
    </row>
    <row r="67" spans="1:27" s="410" customFormat="1" hidden="1">
      <c r="A67" s="413">
        <f>'5.Tiên lượng'!A68</f>
        <v>0</v>
      </c>
      <c r="B67" s="414"/>
      <c r="C67" s="413" t="str">
        <f>'5.Tiên lượng'!C68</f>
        <v>AL.24112(VD)</v>
      </c>
      <c r="D67" s="413"/>
      <c r="E67" s="415" t="str">
        <f>'5.Tiên lượng'!D68</f>
        <v>Thi công khe giãn</v>
      </c>
      <c r="F67" s="414" t="str">
        <f>'5.Tiên lượng'!E68</f>
        <v>m</v>
      </c>
      <c r="G67" s="416">
        <f>'5.Tiên lượng'!M68</f>
        <v>103.46</v>
      </c>
      <c r="H67" s="416">
        <f>PTVT!G236</f>
        <v>0.22</v>
      </c>
      <c r="I67" s="416">
        <f>'5.Tiên lượng'!W68</f>
        <v>1</v>
      </c>
      <c r="J67" s="419">
        <f t="shared" si="3"/>
        <v>22.761199999999999</v>
      </c>
      <c r="K67" s="420"/>
      <c r="L67" s="420"/>
      <c r="M67" s="420"/>
      <c r="N67" s="420"/>
      <c r="O67" s="420"/>
      <c r="P67" s="420"/>
      <c r="Q67" s="420"/>
      <c r="R67" s="420"/>
      <c r="S67" s="420"/>
      <c r="T67" s="420"/>
      <c r="U67" s="420"/>
      <c r="V67" s="420"/>
      <c r="W67" s="420"/>
      <c r="X67" s="420"/>
      <c r="Y67" s="420"/>
      <c r="Z67" s="420"/>
      <c r="AA67" s="420">
        <f>J67*Z61</f>
        <v>523507.6</v>
      </c>
    </row>
    <row r="68" spans="1:27" s="410" customFormat="1" hidden="1">
      <c r="A68" s="413">
        <f>'5.Tiên lượng'!A69</f>
        <v>0</v>
      </c>
      <c r="B68" s="414"/>
      <c r="C68" s="413" t="str">
        <f>'5.Tiên lượng'!C69</f>
        <v>AL.24113(VD)</v>
      </c>
      <c r="D68" s="413"/>
      <c r="E68" s="415" t="str">
        <f>'5.Tiên lượng'!D69</f>
        <v>Thi công  khe dọc</v>
      </c>
      <c r="F68" s="414" t="str">
        <f>'5.Tiên lượng'!E69</f>
        <v>m</v>
      </c>
      <c r="G68" s="416">
        <f>'5.Tiên lượng'!M69</f>
        <v>1000.04</v>
      </c>
      <c r="H68" s="416">
        <f>PTVT!G247</f>
        <v>0.06</v>
      </c>
      <c r="I68" s="416">
        <f>'5.Tiên lượng'!W69</f>
        <v>1</v>
      </c>
      <c r="J68" s="419">
        <f t="shared" si="3"/>
        <v>60.002399999999994</v>
      </c>
      <c r="K68" s="420"/>
      <c r="L68" s="420"/>
      <c r="M68" s="420"/>
      <c r="N68" s="420"/>
      <c r="O68" s="420"/>
      <c r="P68" s="420"/>
      <c r="Q68" s="420"/>
      <c r="R68" s="420"/>
      <c r="S68" s="420"/>
      <c r="T68" s="420"/>
      <c r="U68" s="420"/>
      <c r="V68" s="420"/>
      <c r="W68" s="420"/>
      <c r="X68" s="420"/>
      <c r="Y68" s="420"/>
      <c r="Z68" s="420"/>
      <c r="AA68" s="420">
        <f>J68*Z61</f>
        <v>1380055.2</v>
      </c>
    </row>
    <row r="69" spans="1:27" s="410" customFormat="1" hidden="1">
      <c r="A69" s="413">
        <f>'5.Tiên lượng'!A70</f>
        <v>0</v>
      </c>
      <c r="B69" s="414"/>
      <c r="C69" s="413" t="str">
        <f>'5.Tiên lượng'!C70</f>
        <v>AL.24310</v>
      </c>
      <c r="D69" s="413"/>
      <c r="E69" s="415" t="str">
        <f>'5.Tiên lượng'!D70</f>
        <v>Cắt khe</v>
      </c>
      <c r="F69" s="414" t="str">
        <f>'5.Tiên lượng'!E70</f>
        <v>100m</v>
      </c>
      <c r="G69" s="416">
        <f>'5.Tiên lượng'!M70</f>
        <v>21.295000000000002</v>
      </c>
      <c r="H69" s="416">
        <f>PTVT!G257</f>
        <v>1.07</v>
      </c>
      <c r="I69" s="416">
        <f>'5.Tiên lượng'!W70</f>
        <v>1</v>
      </c>
      <c r="J69" s="419">
        <f t="shared" si="3"/>
        <v>22.785650000000004</v>
      </c>
      <c r="K69" s="420"/>
      <c r="L69" s="420"/>
      <c r="M69" s="420"/>
      <c r="N69" s="420"/>
      <c r="O69" s="420"/>
      <c r="P69" s="420"/>
      <c r="Q69" s="420"/>
      <c r="R69" s="420"/>
      <c r="S69" s="420"/>
      <c r="T69" s="420"/>
      <c r="U69" s="420"/>
      <c r="V69" s="420"/>
      <c r="W69" s="420"/>
      <c r="X69" s="420"/>
      <c r="Y69" s="420"/>
      <c r="Z69" s="420"/>
      <c r="AA69" s="420">
        <f>J69*Z61</f>
        <v>524069.95000000007</v>
      </c>
    </row>
    <row r="70" spans="1:27" s="410" customFormat="1" ht="27.6" hidden="1">
      <c r="A70" s="413">
        <f>'5.Tiên lượng'!A113</f>
        <v>0</v>
      </c>
      <c r="B70" s="414"/>
      <c r="C70" s="413" t="str">
        <f>'5.Tiên lượng'!C113</f>
        <v>AD.24223</v>
      </c>
      <c r="D70" s="413"/>
      <c r="E70" s="415" t="str">
        <f>'5.Tiên lượng'!D113</f>
        <v>Tưới lớp dính bám mặt đường, nhũ tương CSS1, lượng nhũ tương 1kg/m2</v>
      </c>
      <c r="F70" s="414" t="str">
        <f>'5.Tiên lượng'!E113</f>
        <v>100m2</v>
      </c>
      <c r="G70" s="416">
        <f>'5.Tiên lượng'!M113</f>
        <v>106.9627</v>
      </c>
      <c r="H70" s="416">
        <f>PTVT!G397</f>
        <v>0.23</v>
      </c>
      <c r="I70" s="416">
        <f>'5.Tiên lượng'!W113</f>
        <v>1</v>
      </c>
      <c r="J70" s="419">
        <f t="shared" si="3"/>
        <v>24.601421000000002</v>
      </c>
      <c r="K70" s="420"/>
      <c r="L70" s="420"/>
      <c r="M70" s="420"/>
      <c r="N70" s="420"/>
      <c r="O70" s="420"/>
      <c r="P70" s="420"/>
      <c r="Q70" s="420"/>
      <c r="R70" s="420"/>
      <c r="S70" s="420"/>
      <c r="T70" s="420"/>
      <c r="U70" s="420"/>
      <c r="V70" s="420"/>
      <c r="W70" s="420"/>
      <c r="X70" s="420"/>
      <c r="Y70" s="420"/>
      <c r="Z70" s="420"/>
      <c r="AA70" s="420">
        <f>J70*Z61</f>
        <v>565832.68300000008</v>
      </c>
    </row>
    <row r="71" spans="1:27" s="410" customFormat="1" ht="27.6" hidden="1">
      <c r="A71" s="413">
        <f>'5.Tiên lượng'!A115</f>
        <v>0</v>
      </c>
      <c r="B71" s="414"/>
      <c r="C71" s="413" t="str">
        <f>'5.Tiên lượng'!C115</f>
        <v>AD.24132</v>
      </c>
      <c r="D71" s="413"/>
      <c r="E71" s="415" t="str">
        <f>'5.Tiên lượng'!D115</f>
        <v>Thi công mặt đường láng nhũ tương 03 lớp - Tiêu chuẩn nhựa 4,5kg/m2</v>
      </c>
      <c r="F71" s="414" t="str">
        <f>'5.Tiên lượng'!E115</f>
        <v>100m2</v>
      </c>
      <c r="G71" s="416">
        <f>'5.Tiên lượng'!M115</f>
        <v>106.9627</v>
      </c>
      <c r="H71" s="416">
        <f>PTVT!G409</f>
        <v>4.32</v>
      </c>
      <c r="I71" s="416">
        <f>'5.Tiên lượng'!W115</f>
        <v>1</v>
      </c>
      <c r="J71" s="419">
        <f t="shared" si="3"/>
        <v>462.07886400000001</v>
      </c>
      <c r="K71" s="420"/>
      <c r="L71" s="420"/>
      <c r="M71" s="420"/>
      <c r="N71" s="420"/>
      <c r="O71" s="420"/>
      <c r="P71" s="420"/>
      <c r="Q71" s="420"/>
      <c r="R71" s="420"/>
      <c r="S71" s="420"/>
      <c r="T71" s="420"/>
      <c r="U71" s="420"/>
      <c r="V71" s="420"/>
      <c r="W71" s="420"/>
      <c r="X71" s="420"/>
      <c r="Y71" s="420"/>
      <c r="Z71" s="420"/>
      <c r="AA71" s="420">
        <f>J71*Z61</f>
        <v>10627813.872</v>
      </c>
    </row>
    <row r="72" spans="1:27" s="410" customFormat="1" ht="27.6" hidden="1">
      <c r="A72" s="413">
        <f>'5.Tiên lượng'!A120</f>
        <v>0</v>
      </c>
      <c r="B72" s="414"/>
      <c r="C72" s="413" t="str">
        <f>'5.Tiên lượng'!C120</f>
        <v>AD.24223</v>
      </c>
      <c r="D72" s="413"/>
      <c r="E72" s="415" t="str">
        <f>'5.Tiên lượng'!D120</f>
        <v>Tưới lớp dính bám mặt đường, nhũ tương CSS1, lượng nhũ tương 1kg/m2</v>
      </c>
      <c r="F72" s="414" t="str">
        <f>'5.Tiên lượng'!E120</f>
        <v>100m2</v>
      </c>
      <c r="G72" s="416">
        <f>'5.Tiên lượng'!M120</f>
        <v>1.3271999999999999</v>
      </c>
      <c r="H72" s="416">
        <f>PTVT!G438</f>
        <v>0.23</v>
      </c>
      <c r="I72" s="416">
        <f>'5.Tiên lượng'!W120</f>
        <v>1</v>
      </c>
      <c r="J72" s="419">
        <f t="shared" si="3"/>
        <v>0.30525599999999997</v>
      </c>
      <c r="K72" s="420"/>
      <c r="L72" s="420"/>
      <c r="M72" s="420"/>
      <c r="N72" s="420"/>
      <c r="O72" s="420"/>
      <c r="P72" s="420"/>
      <c r="Q72" s="420"/>
      <c r="R72" s="420"/>
      <c r="S72" s="420"/>
      <c r="T72" s="420"/>
      <c r="U72" s="420"/>
      <c r="V72" s="420"/>
      <c r="W72" s="420"/>
      <c r="X72" s="420"/>
      <c r="Y72" s="420"/>
      <c r="Z72" s="420"/>
      <c r="AA72" s="420">
        <f>J72*Z61</f>
        <v>7020.887999999999</v>
      </c>
    </row>
    <row r="73" spans="1:27" s="410" customFormat="1" ht="27.6" hidden="1">
      <c r="A73" s="413">
        <f>'5.Tiên lượng'!A122</f>
        <v>0</v>
      </c>
      <c r="B73" s="414"/>
      <c r="C73" s="413" t="str">
        <f>'5.Tiên lượng'!C122</f>
        <v>AD.24132</v>
      </c>
      <c r="D73" s="413"/>
      <c r="E73" s="415" t="str">
        <f>'5.Tiên lượng'!D122</f>
        <v>Thi công mặt đường láng nhũ tương 03 lớp - Tiêu chuẩn nhựa 4,5kg/m2</v>
      </c>
      <c r="F73" s="414" t="str">
        <f>'5.Tiên lượng'!E122</f>
        <v>100m2</v>
      </c>
      <c r="G73" s="416">
        <f>'5.Tiên lượng'!M122</f>
        <v>1.3271999999999999</v>
      </c>
      <c r="H73" s="416">
        <f>PTVT!G450</f>
        <v>4.32</v>
      </c>
      <c r="I73" s="416">
        <f>'5.Tiên lượng'!W122</f>
        <v>1</v>
      </c>
      <c r="J73" s="419">
        <f t="shared" si="3"/>
        <v>5.7335039999999999</v>
      </c>
      <c r="K73" s="420"/>
      <c r="L73" s="420"/>
      <c r="M73" s="420"/>
      <c r="N73" s="420"/>
      <c r="O73" s="420"/>
      <c r="P73" s="420"/>
      <c r="Q73" s="420"/>
      <c r="R73" s="420"/>
      <c r="S73" s="420"/>
      <c r="T73" s="420"/>
      <c r="U73" s="420"/>
      <c r="V73" s="420"/>
      <c r="W73" s="420"/>
      <c r="X73" s="420"/>
      <c r="Y73" s="420"/>
      <c r="Z73" s="420"/>
      <c r="AA73" s="420">
        <f>J73*Z61</f>
        <v>131870.592</v>
      </c>
    </row>
    <row r="74" spans="1:27" s="410" customFormat="1" ht="27.6" hidden="1">
      <c r="A74" s="413">
        <f>'5.Tiên lượng'!A129</f>
        <v>0</v>
      </c>
      <c r="B74" s="414"/>
      <c r="C74" s="413" t="str">
        <f>'5.Tiên lượng'!C129</f>
        <v>AE.26313</v>
      </c>
      <c r="D74" s="413"/>
      <c r="E74" s="415" t="str">
        <f>'5.Tiên lượng'!D129</f>
        <v>Xây rãnh thoát nước bằng gạch KN 6,5x10,5x22cm, vữa XM M75, PCB40</v>
      </c>
      <c r="F74" s="414" t="str">
        <f>'5.Tiên lượng'!E129</f>
        <v>m3</v>
      </c>
      <c r="G74" s="416">
        <f>'5.Tiên lượng'!M129</f>
        <v>10.43</v>
      </c>
      <c r="H74" s="416">
        <f>PTVT!G483</f>
        <v>4.5</v>
      </c>
      <c r="I74" s="416">
        <f>'5.Tiên lượng'!W129</f>
        <v>1</v>
      </c>
      <c r="J74" s="419">
        <f t="shared" si="3"/>
        <v>46.935000000000002</v>
      </c>
      <c r="K74" s="420"/>
      <c r="L74" s="420"/>
      <c r="M74" s="420"/>
      <c r="N74" s="420"/>
      <c r="O74" s="420"/>
      <c r="P74" s="420"/>
      <c r="Q74" s="420"/>
      <c r="R74" s="420"/>
      <c r="S74" s="420"/>
      <c r="T74" s="420"/>
      <c r="U74" s="420"/>
      <c r="V74" s="420"/>
      <c r="W74" s="420"/>
      <c r="X74" s="420"/>
      <c r="Y74" s="420"/>
      <c r="Z74" s="420"/>
      <c r="AA74" s="420">
        <f>J74*Z61</f>
        <v>1079505</v>
      </c>
    </row>
    <row r="75" spans="1:27" s="410" customFormat="1" hidden="1">
      <c r="A75" s="413">
        <f>'5.Tiên lượng'!A130</f>
        <v>0</v>
      </c>
      <c r="B75" s="414"/>
      <c r="C75" s="413" t="str">
        <f>'5.Tiên lượng'!C130</f>
        <v>AK.21113</v>
      </c>
      <c r="D75" s="413"/>
      <c r="E75" s="415" t="str">
        <f>'5.Tiên lượng'!D130</f>
        <v>Trát tường ngoài dày 1cm, vữa XM M75, PCB40</v>
      </c>
      <c r="F75" s="414" t="str">
        <f>'5.Tiên lượng'!E130</f>
        <v>m2</v>
      </c>
      <c r="G75" s="416">
        <f>'5.Tiên lượng'!M130</f>
        <v>47.4</v>
      </c>
      <c r="H75" s="416">
        <f>PTVT!G493</f>
        <v>0.22</v>
      </c>
      <c r="I75" s="416">
        <f>'5.Tiên lượng'!W130</f>
        <v>1</v>
      </c>
      <c r="J75" s="419">
        <f t="shared" si="3"/>
        <v>10.427999999999999</v>
      </c>
      <c r="K75" s="420"/>
      <c r="L75" s="420"/>
      <c r="M75" s="420"/>
      <c r="N75" s="420"/>
      <c r="O75" s="420"/>
      <c r="P75" s="420"/>
      <c r="Q75" s="420"/>
      <c r="R75" s="420"/>
      <c r="S75" s="420"/>
      <c r="T75" s="420"/>
      <c r="U75" s="420"/>
      <c r="V75" s="420"/>
      <c r="W75" s="420"/>
      <c r="X75" s="420"/>
      <c r="Y75" s="420"/>
      <c r="Z75" s="420"/>
      <c r="AA75" s="420">
        <f>J75*Z61</f>
        <v>239843.99999999997</v>
      </c>
    </row>
    <row r="76" spans="1:27" s="410" customFormat="1" ht="27.6" hidden="1">
      <c r="A76" s="413">
        <f>'5.Tiên lượng'!A132</f>
        <v>0</v>
      </c>
      <c r="B76" s="414"/>
      <c r="C76" s="413" t="str">
        <f>'5.Tiên lượng'!C132</f>
        <v>AF.14212</v>
      </c>
      <c r="D76" s="413"/>
      <c r="E76" s="415" t="str">
        <f>'5.Tiên lượng'!D132</f>
        <v>Bê tông mũ mố, mũ trụ trên cạn SX bằng máy trộn, đổ bằng thủ công, bê tông M200, đá 1x2, PCB40</v>
      </c>
      <c r="F76" s="414" t="str">
        <f>'5.Tiên lượng'!E132</f>
        <v>m3</v>
      </c>
      <c r="G76" s="416">
        <f>'5.Tiên lượng'!M132</f>
        <v>5.91</v>
      </c>
      <c r="H76" s="416">
        <f>PTVT!G504</f>
        <v>2.58</v>
      </c>
      <c r="I76" s="416">
        <f>'5.Tiên lượng'!W132</f>
        <v>1</v>
      </c>
      <c r="J76" s="419">
        <f t="shared" si="3"/>
        <v>15.247800000000002</v>
      </c>
      <c r="K76" s="420"/>
      <c r="L76" s="420"/>
      <c r="M76" s="420"/>
      <c r="N76" s="420"/>
      <c r="O76" s="420"/>
      <c r="P76" s="420"/>
      <c r="Q76" s="420"/>
      <c r="R76" s="420"/>
      <c r="S76" s="420"/>
      <c r="T76" s="420"/>
      <c r="U76" s="420"/>
      <c r="V76" s="420"/>
      <c r="W76" s="420"/>
      <c r="X76" s="420"/>
      <c r="Y76" s="420"/>
      <c r="Z76" s="420"/>
      <c r="AA76" s="420">
        <f>J76*Z61</f>
        <v>350699.4</v>
      </c>
    </row>
    <row r="77" spans="1:27" s="410" customFormat="1" hidden="1">
      <c r="A77" s="413">
        <f>'5.Tiên lượng'!A133</f>
        <v>0</v>
      </c>
      <c r="B77" s="414"/>
      <c r="C77" s="413" t="str">
        <f>'5.Tiên lượng'!C133</f>
        <v>AF.61110</v>
      </c>
      <c r="D77" s="413"/>
      <c r="E77" s="415" t="str">
        <f>'5.Tiên lượng'!D133</f>
        <v>Lắp dựng cốt thép móng, ĐK ≤10mm</v>
      </c>
      <c r="F77" s="414" t="str">
        <f>'5.Tiên lượng'!E133</f>
        <v>tấn</v>
      </c>
      <c r="G77" s="416">
        <f>'5.Tiên lượng'!M133</f>
        <v>0.24490000000000001</v>
      </c>
      <c r="H77" s="416">
        <f>PTVT!G515</f>
        <v>10.75</v>
      </c>
      <c r="I77" s="416">
        <f>'5.Tiên lượng'!W133</f>
        <v>1</v>
      </c>
      <c r="J77" s="419">
        <f t="shared" si="3"/>
        <v>2.6326749999999999</v>
      </c>
      <c r="K77" s="420"/>
      <c r="L77" s="420"/>
      <c r="M77" s="420"/>
      <c r="N77" s="420"/>
      <c r="O77" s="420"/>
      <c r="P77" s="420"/>
      <c r="Q77" s="420"/>
      <c r="R77" s="420"/>
      <c r="S77" s="420"/>
      <c r="T77" s="420"/>
      <c r="U77" s="420"/>
      <c r="V77" s="420"/>
      <c r="W77" s="420"/>
      <c r="X77" s="420"/>
      <c r="Y77" s="420"/>
      <c r="Z77" s="420"/>
      <c r="AA77" s="420">
        <f>J77*Z61</f>
        <v>60551.524999999994</v>
      </c>
    </row>
    <row r="78" spans="1:27" s="410" customFormat="1" hidden="1">
      <c r="A78" s="413">
        <f>'5.Tiên lượng'!A141</f>
        <v>0</v>
      </c>
      <c r="B78" s="414"/>
      <c r="C78" s="413" t="str">
        <f>'5.Tiên lượng'!C141</f>
        <v>AG.13231</v>
      </c>
      <c r="D78" s="413"/>
      <c r="E78" s="415" t="str">
        <f>'5.Tiên lượng'!D141</f>
        <v>Cốt thép tấm đậy</v>
      </c>
      <c r="F78" s="414" t="str">
        <f>'5.Tiên lượng'!E141</f>
        <v>tấn</v>
      </c>
      <c r="G78" s="416">
        <f>'5.Tiên lượng'!M141</f>
        <v>1.7095600000000002</v>
      </c>
      <c r="H78" s="416">
        <f>PTVT!G550</f>
        <v>16.25</v>
      </c>
      <c r="I78" s="416">
        <f>'5.Tiên lượng'!W141</f>
        <v>1</v>
      </c>
      <c r="J78" s="419">
        <f t="shared" si="3"/>
        <v>27.780350000000002</v>
      </c>
      <c r="K78" s="420"/>
      <c r="L78" s="420"/>
      <c r="M78" s="420"/>
      <c r="N78" s="420"/>
      <c r="O78" s="420"/>
      <c r="P78" s="420"/>
      <c r="Q78" s="420"/>
      <c r="R78" s="420"/>
      <c r="S78" s="420"/>
      <c r="T78" s="420"/>
      <c r="U78" s="420"/>
      <c r="V78" s="420"/>
      <c r="W78" s="420"/>
      <c r="X78" s="420"/>
      <c r="Y78" s="420"/>
      <c r="Z78" s="420"/>
      <c r="AA78" s="420">
        <f>J78*Z61</f>
        <v>638948.05000000005</v>
      </c>
    </row>
    <row r="79" spans="1:27" s="410" customFormat="1" ht="27.6" hidden="1">
      <c r="A79" s="413">
        <f>'5.Tiên lượng'!A146</f>
        <v>0</v>
      </c>
      <c r="B79" s="414"/>
      <c r="C79" s="413" t="str">
        <f>'5.Tiên lượng'!C146</f>
        <v>BB.11112</v>
      </c>
      <c r="D79" s="413"/>
      <c r="E79" s="415" t="str">
        <f>'5.Tiên lượng'!D146</f>
        <v xml:space="preserve">Lắp đặt ống bê tông bằng thủ công, đoạn ống dài 1m - Đường kính 300mm </v>
      </c>
      <c r="F79" s="414" t="str">
        <f>'5.Tiên lượng'!E146</f>
        <v>1 đoạn ống</v>
      </c>
      <c r="G79" s="416">
        <f>'5.Tiên lượng'!M146</f>
        <v>38</v>
      </c>
      <c r="H79" s="416">
        <f>PTVT!G570</f>
        <v>0.26</v>
      </c>
      <c r="I79" s="416">
        <f>'5.Tiên lượng'!W146</f>
        <v>1</v>
      </c>
      <c r="J79" s="419">
        <f t="shared" si="3"/>
        <v>9.8800000000000008</v>
      </c>
      <c r="K79" s="420"/>
      <c r="L79" s="420"/>
      <c r="M79" s="420"/>
      <c r="N79" s="420"/>
      <c r="O79" s="420"/>
      <c r="P79" s="420"/>
      <c r="Q79" s="420"/>
      <c r="R79" s="420"/>
      <c r="S79" s="420"/>
      <c r="T79" s="420"/>
      <c r="U79" s="420"/>
      <c r="V79" s="420"/>
      <c r="W79" s="420"/>
      <c r="X79" s="420"/>
      <c r="Y79" s="420"/>
      <c r="Z79" s="420"/>
      <c r="AA79" s="420">
        <f>J79*Z61</f>
        <v>227240.00000000003</v>
      </c>
    </row>
    <row r="80" spans="1:27" s="410" customFormat="1" ht="27.6" hidden="1">
      <c r="A80" s="413">
        <f>'5.Tiên lượng'!A147</f>
        <v>0</v>
      </c>
      <c r="B80" s="414"/>
      <c r="C80" s="413" t="str">
        <f>'5.Tiên lượng'!C147</f>
        <v>BB.11122</v>
      </c>
      <c r="D80" s="413"/>
      <c r="E80" s="415" t="str">
        <f>'5.Tiên lượng'!D147</f>
        <v xml:space="preserve">Lắp đặt ống bê tông bằng thủ công, đoạn ống dài 2m - Đường kính 300mm </v>
      </c>
      <c r="F80" s="414" t="str">
        <f>'5.Tiên lượng'!E147</f>
        <v>1 đoạn ống</v>
      </c>
      <c r="G80" s="416">
        <f>'5.Tiên lượng'!M147</f>
        <v>74</v>
      </c>
      <c r="H80" s="416">
        <f>PTVT!G576</f>
        <v>0.35</v>
      </c>
      <c r="I80" s="416">
        <f>'5.Tiên lượng'!W147</f>
        <v>1</v>
      </c>
      <c r="J80" s="419">
        <f t="shared" si="3"/>
        <v>25.9</v>
      </c>
      <c r="K80" s="420"/>
      <c r="L80" s="420"/>
      <c r="M80" s="420"/>
      <c r="N80" s="420"/>
      <c r="O80" s="420"/>
      <c r="P80" s="420"/>
      <c r="Q80" s="420"/>
      <c r="R80" s="420"/>
      <c r="S80" s="420"/>
      <c r="T80" s="420"/>
      <c r="U80" s="420"/>
      <c r="V80" s="420"/>
      <c r="W80" s="420"/>
      <c r="X80" s="420"/>
      <c r="Y80" s="420"/>
      <c r="Z80" s="420"/>
      <c r="AA80" s="420">
        <f>J80*Z61</f>
        <v>595700</v>
      </c>
    </row>
    <row r="81" spans="1:27" s="410" customFormat="1" ht="27.6" hidden="1">
      <c r="A81" s="413">
        <f>'5.Tiên lượng'!A148</f>
        <v>0</v>
      </c>
      <c r="B81" s="414"/>
      <c r="C81" s="413" t="str">
        <f>'5.Tiên lượng'!C148</f>
        <v>BB.13502</v>
      </c>
      <c r="D81" s="413"/>
      <c r="E81" s="415" t="str">
        <f>'5.Tiên lượng'!D148</f>
        <v xml:space="preserve">Nối ống bê tông bằng phương pháp xảm - Đường kính 300mm </v>
      </c>
      <c r="F81" s="414" t="str">
        <f>'5.Tiên lượng'!E148</f>
        <v>mối nối</v>
      </c>
      <c r="G81" s="416">
        <f>'5.Tiên lượng'!M148</f>
        <v>64</v>
      </c>
      <c r="H81" s="416">
        <f>PTVT!G583</f>
        <v>7.0000000000000007E-2</v>
      </c>
      <c r="I81" s="416">
        <f>'5.Tiên lượng'!W148</f>
        <v>1</v>
      </c>
      <c r="J81" s="419">
        <f t="shared" si="3"/>
        <v>4.4800000000000004</v>
      </c>
      <c r="K81" s="420"/>
      <c r="L81" s="420"/>
      <c r="M81" s="420"/>
      <c r="N81" s="420"/>
      <c r="O81" s="420"/>
      <c r="P81" s="420"/>
      <c r="Q81" s="420"/>
      <c r="R81" s="420"/>
      <c r="S81" s="420"/>
      <c r="T81" s="420"/>
      <c r="U81" s="420"/>
      <c r="V81" s="420"/>
      <c r="W81" s="420"/>
      <c r="X81" s="420"/>
      <c r="Y81" s="420"/>
      <c r="Z81" s="420"/>
      <c r="AA81" s="420">
        <f>J81*Z61</f>
        <v>103040.00000000001</v>
      </c>
    </row>
    <row r="82" spans="1:27" s="410" customFormat="1" hidden="1">
      <c r="A82" s="413">
        <f>'5.Tiên lượng'!A152</f>
        <v>0</v>
      </c>
      <c r="B82" s="414"/>
      <c r="C82" s="413" t="str">
        <f>'5.Tiên lượng'!C152</f>
        <v>AF.13211</v>
      </c>
      <c r="D82" s="413"/>
      <c r="E82" s="415" t="str">
        <f>'5.Tiên lượng'!D152</f>
        <v>BTXM rãnh dọc, M150, đá 1x2, PCB40</v>
      </c>
      <c r="F82" s="414" t="str">
        <f>'5.Tiên lượng'!E152</f>
        <v>m3</v>
      </c>
      <c r="G82" s="416">
        <f>'5.Tiên lượng'!M152</f>
        <v>3.3</v>
      </c>
      <c r="H82" s="416">
        <f>PTVT!G600</f>
        <v>1.66</v>
      </c>
      <c r="I82" s="416">
        <f>'5.Tiên lượng'!W152</f>
        <v>1</v>
      </c>
      <c r="J82" s="419">
        <f t="shared" si="3"/>
        <v>5.4779999999999998</v>
      </c>
      <c r="K82" s="420"/>
      <c r="L82" s="420"/>
      <c r="M82" s="420"/>
      <c r="N82" s="420"/>
      <c r="O82" s="420"/>
      <c r="P82" s="420"/>
      <c r="Q82" s="420"/>
      <c r="R82" s="420"/>
      <c r="S82" s="420"/>
      <c r="T82" s="420"/>
      <c r="U82" s="420"/>
      <c r="V82" s="420"/>
      <c r="W82" s="420"/>
      <c r="X82" s="420"/>
      <c r="Y82" s="420"/>
      <c r="Z82" s="420"/>
      <c r="AA82" s="420">
        <f>J82*Z61</f>
        <v>125994</v>
      </c>
    </row>
    <row r="83" spans="1:27" s="410" customFormat="1" hidden="1">
      <c r="A83" s="413">
        <f>'5.Tiên lượng'!A154</f>
        <v>0</v>
      </c>
      <c r="B83" s="414"/>
      <c r="C83" s="413" t="str">
        <f>'5.Tiên lượng'!C154</f>
        <v>AL.16201</v>
      </c>
      <c r="D83" s="413"/>
      <c r="E83" s="415" t="str">
        <f>'5.Tiên lượng'!D154</f>
        <v>Ni lông chống thấm</v>
      </c>
      <c r="F83" s="414" t="str">
        <f>'5.Tiên lượng'!E154</f>
        <v>100m2</v>
      </c>
      <c r="G83" s="416">
        <f>'5.Tiên lượng'!M154</f>
        <v>0.13200000000000001</v>
      </c>
      <c r="H83" s="416">
        <f>PTVT!G609</f>
        <v>0.15</v>
      </c>
      <c r="I83" s="416">
        <f>'5.Tiên lượng'!W154</f>
        <v>1</v>
      </c>
      <c r="J83" s="419">
        <f t="shared" si="3"/>
        <v>1.9800000000000002E-2</v>
      </c>
      <c r="K83" s="420"/>
      <c r="L83" s="420"/>
      <c r="M83" s="420"/>
      <c r="N83" s="420"/>
      <c r="O83" s="420"/>
      <c r="P83" s="420"/>
      <c r="Q83" s="420"/>
      <c r="R83" s="420"/>
      <c r="S83" s="420"/>
      <c r="T83" s="420"/>
      <c r="U83" s="420"/>
      <c r="V83" s="420"/>
      <c r="W83" s="420"/>
      <c r="X83" s="420"/>
      <c r="Y83" s="420"/>
      <c r="Z83" s="420"/>
      <c r="AA83" s="420">
        <f>J83*Z61</f>
        <v>455.40000000000003</v>
      </c>
    </row>
    <row r="84" spans="1:27" s="410" customFormat="1" ht="27.6" hidden="1">
      <c r="A84" s="413">
        <f>'5.Tiên lượng'!A163</f>
        <v>0</v>
      </c>
      <c r="B84" s="414"/>
      <c r="C84" s="413" t="str">
        <f>'5.Tiên lượng'!C163</f>
        <v>AE.11114</v>
      </c>
      <c r="D84" s="413"/>
      <c r="E84" s="415" t="str">
        <f>'5.Tiên lượng'!D163</f>
        <v>Khối xây bó nền bằng đá hộc - Chiều dày ≤60cm, vữa XM M100, PCB40</v>
      </c>
      <c r="F84" s="414" t="str">
        <f>'5.Tiên lượng'!E163</f>
        <v>m3</v>
      </c>
      <c r="G84" s="416">
        <f>'5.Tiên lượng'!M163</f>
        <v>3.6</v>
      </c>
      <c r="H84" s="416">
        <f>PTVT!G641</f>
        <v>1.81</v>
      </c>
      <c r="I84" s="416">
        <f>'5.Tiên lượng'!W163</f>
        <v>1</v>
      </c>
      <c r="J84" s="419">
        <f t="shared" si="3"/>
        <v>6.516</v>
      </c>
      <c r="K84" s="420"/>
      <c r="L84" s="420"/>
      <c r="M84" s="420"/>
      <c r="N84" s="420"/>
      <c r="O84" s="420"/>
      <c r="P84" s="420"/>
      <c r="Q84" s="420"/>
      <c r="R84" s="420"/>
      <c r="S84" s="420"/>
      <c r="T84" s="420"/>
      <c r="U84" s="420"/>
      <c r="V84" s="420"/>
      <c r="W84" s="420"/>
      <c r="X84" s="420"/>
      <c r="Y84" s="420"/>
      <c r="Z84" s="420"/>
      <c r="AA84" s="420">
        <f>J84*Z61</f>
        <v>149868</v>
      </c>
    </row>
    <row r="85" spans="1:27" s="410" customFormat="1" hidden="1">
      <c r="A85" s="413">
        <f>'5.Tiên lượng'!A178</f>
        <v>0</v>
      </c>
      <c r="B85" s="414"/>
      <c r="C85" s="413" t="str">
        <f>'5.Tiên lượng'!C178</f>
        <v>AE.12314</v>
      </c>
      <c r="D85" s="413"/>
      <c r="E85" s="415" t="str">
        <f>'5.Tiên lượng'!D178</f>
        <v>Xây cống, vữa XM M100, PCB40</v>
      </c>
      <c r="F85" s="414" t="str">
        <f>'5.Tiên lượng'!E178</f>
        <v>m3</v>
      </c>
      <c r="G85" s="416">
        <f>'5.Tiên lượng'!M178</f>
        <v>41.57</v>
      </c>
      <c r="H85" s="416">
        <f>PTVT!G682</f>
        <v>2.98</v>
      </c>
      <c r="I85" s="416">
        <f>'5.Tiên lượng'!W178</f>
        <v>1</v>
      </c>
      <c r="J85" s="419">
        <f t="shared" si="3"/>
        <v>123.87860000000001</v>
      </c>
      <c r="K85" s="420"/>
      <c r="L85" s="420"/>
      <c r="M85" s="420"/>
      <c r="N85" s="420"/>
      <c r="O85" s="420"/>
      <c r="P85" s="420"/>
      <c r="Q85" s="420"/>
      <c r="R85" s="420"/>
      <c r="S85" s="420"/>
      <c r="T85" s="420"/>
      <c r="U85" s="420"/>
      <c r="V85" s="420"/>
      <c r="W85" s="420"/>
      <c r="X85" s="420"/>
      <c r="Y85" s="420"/>
      <c r="Z85" s="420"/>
      <c r="AA85" s="420">
        <f>J85*Z61</f>
        <v>2849207.8000000003</v>
      </c>
    </row>
    <row r="86" spans="1:27" s="410" customFormat="1" ht="27.6" hidden="1">
      <c r="A86" s="413">
        <f>'5.Tiên lượng'!A180</f>
        <v>0</v>
      </c>
      <c r="B86" s="414"/>
      <c r="C86" s="413" t="str">
        <f>'5.Tiên lượng'!C180</f>
        <v>BB.11211VD</v>
      </c>
      <c r="D86" s="413"/>
      <c r="E86" s="415" t="str">
        <f>'5.Tiên lượng'!D180</f>
        <v>Lắp đặt ống bê tông bằng cần cẩu, đoạn ống dài 1m - Đường kính 400mm</v>
      </c>
      <c r="F86" s="414" t="str">
        <f>'5.Tiên lượng'!E180</f>
        <v>1 đoạn ống</v>
      </c>
      <c r="G86" s="416">
        <f>'5.Tiên lượng'!M180</f>
        <v>3</v>
      </c>
      <c r="H86" s="416">
        <f>PTVT!G696</f>
        <v>0.26</v>
      </c>
      <c r="I86" s="416">
        <f>'5.Tiên lượng'!W180</f>
        <v>1</v>
      </c>
      <c r="J86" s="419">
        <f t="shared" si="3"/>
        <v>0.78</v>
      </c>
      <c r="K86" s="420"/>
      <c r="L86" s="420"/>
      <c r="M86" s="420"/>
      <c r="N86" s="420"/>
      <c r="O86" s="420"/>
      <c r="P86" s="420"/>
      <c r="Q86" s="420"/>
      <c r="R86" s="420"/>
      <c r="S86" s="420"/>
      <c r="T86" s="420"/>
      <c r="U86" s="420"/>
      <c r="V86" s="420"/>
      <c r="W86" s="420"/>
      <c r="X86" s="420"/>
      <c r="Y86" s="420"/>
      <c r="Z86" s="420"/>
      <c r="AA86" s="420">
        <f>J86*Z61</f>
        <v>17940</v>
      </c>
    </row>
    <row r="87" spans="1:27" s="410" customFormat="1" ht="27.6" hidden="1">
      <c r="A87" s="413">
        <f>'5.Tiên lượng'!A181</f>
        <v>0</v>
      </c>
      <c r="B87" s="414"/>
      <c r="C87" s="413" t="str">
        <f>'5.Tiên lượng'!C181</f>
        <v>BB.11221VD</v>
      </c>
      <c r="D87" s="413"/>
      <c r="E87" s="415" t="str">
        <f>'5.Tiên lượng'!D181</f>
        <v>Lắp đặt ống bê tông bằng cần cẩu, đoạn ống dài 2m - Đường kính 400mm</v>
      </c>
      <c r="F87" s="414" t="str">
        <f>'5.Tiên lượng'!E181</f>
        <v>1 đoạn ống</v>
      </c>
      <c r="G87" s="416">
        <f>'5.Tiên lượng'!M181</f>
        <v>15</v>
      </c>
      <c r="H87" s="416">
        <f>PTVT!G705</f>
        <v>0.35</v>
      </c>
      <c r="I87" s="416">
        <f>'5.Tiên lượng'!W181</f>
        <v>1</v>
      </c>
      <c r="J87" s="419">
        <f t="shared" si="3"/>
        <v>5.25</v>
      </c>
      <c r="K87" s="420"/>
      <c r="L87" s="420"/>
      <c r="M87" s="420"/>
      <c r="N87" s="420"/>
      <c r="O87" s="420"/>
      <c r="P87" s="420"/>
      <c r="Q87" s="420"/>
      <c r="R87" s="420"/>
      <c r="S87" s="420"/>
      <c r="T87" s="420"/>
      <c r="U87" s="420"/>
      <c r="V87" s="420"/>
      <c r="W87" s="420"/>
      <c r="X87" s="420"/>
      <c r="Y87" s="420"/>
      <c r="Z87" s="420"/>
      <c r="AA87" s="420">
        <f>J87*Z61</f>
        <v>120750</v>
      </c>
    </row>
    <row r="88" spans="1:27" s="410" customFormat="1" ht="27.6" hidden="1">
      <c r="A88" s="413">
        <f>'5.Tiên lượng'!A182</f>
        <v>0</v>
      </c>
      <c r="B88" s="414"/>
      <c r="C88" s="413" t="str">
        <f>'5.Tiên lượng'!C182</f>
        <v>BB.11211</v>
      </c>
      <c r="D88" s="413"/>
      <c r="E88" s="415" t="str">
        <f>'5.Tiên lượng'!D182</f>
        <v>Lắp đặt ống bê tông bằng cần cẩu, đoạn ống dài 1m - Đường kính 600mm</v>
      </c>
      <c r="F88" s="414" t="str">
        <f>'5.Tiên lượng'!E182</f>
        <v>1 đoạn ống</v>
      </c>
      <c r="G88" s="416">
        <f>'5.Tiên lượng'!M182</f>
        <v>1</v>
      </c>
      <c r="H88" s="416">
        <f>PTVT!G714</f>
        <v>0.26</v>
      </c>
      <c r="I88" s="416">
        <f>'5.Tiên lượng'!W182</f>
        <v>1</v>
      </c>
      <c r="J88" s="419">
        <f t="shared" si="3"/>
        <v>0.26</v>
      </c>
      <c r="K88" s="420"/>
      <c r="L88" s="420"/>
      <c r="M88" s="420"/>
      <c r="N88" s="420"/>
      <c r="O88" s="420"/>
      <c r="P88" s="420"/>
      <c r="Q88" s="420"/>
      <c r="R88" s="420"/>
      <c r="S88" s="420"/>
      <c r="T88" s="420"/>
      <c r="U88" s="420"/>
      <c r="V88" s="420"/>
      <c r="W88" s="420"/>
      <c r="X88" s="420"/>
      <c r="Y88" s="420"/>
      <c r="Z88" s="420"/>
      <c r="AA88" s="420">
        <f>J88*Z61</f>
        <v>5980</v>
      </c>
    </row>
    <row r="89" spans="1:27" s="410" customFormat="1" ht="27.6" hidden="1">
      <c r="A89" s="413">
        <f>'5.Tiên lượng'!A183</f>
        <v>0</v>
      </c>
      <c r="B89" s="414"/>
      <c r="C89" s="413" t="str">
        <f>'5.Tiên lượng'!C183</f>
        <v>BB.11221</v>
      </c>
      <c r="D89" s="413"/>
      <c r="E89" s="415" t="str">
        <f>'5.Tiên lượng'!D183</f>
        <v>Lắp đặt ống bê tông bằng cần cẩu, đoạn ống dài 2m - Đường kính 600mm</v>
      </c>
      <c r="F89" s="414" t="str">
        <f>'5.Tiên lượng'!E183</f>
        <v>1 đoạn ống</v>
      </c>
      <c r="G89" s="416">
        <f>'5.Tiên lượng'!M183</f>
        <v>1</v>
      </c>
      <c r="H89" s="416">
        <f>PTVT!G723</f>
        <v>0.35</v>
      </c>
      <c r="I89" s="416">
        <f>'5.Tiên lượng'!W183</f>
        <v>1</v>
      </c>
      <c r="J89" s="419">
        <f t="shared" si="3"/>
        <v>0.35</v>
      </c>
      <c r="K89" s="420"/>
      <c r="L89" s="420"/>
      <c r="M89" s="420"/>
      <c r="N89" s="420"/>
      <c r="O89" s="420"/>
      <c r="P89" s="420"/>
      <c r="Q89" s="420"/>
      <c r="R89" s="420"/>
      <c r="S89" s="420"/>
      <c r="T89" s="420"/>
      <c r="U89" s="420"/>
      <c r="V89" s="420"/>
      <c r="W89" s="420"/>
      <c r="X89" s="420"/>
      <c r="Y89" s="420"/>
      <c r="Z89" s="420"/>
      <c r="AA89" s="420">
        <f>J89*Z61</f>
        <v>8049.9999999999991</v>
      </c>
    </row>
    <row r="90" spans="1:27" s="410" customFormat="1" ht="27.6" hidden="1">
      <c r="A90" s="413">
        <f>'5.Tiên lượng'!A184</f>
        <v>0</v>
      </c>
      <c r="B90" s="414"/>
      <c r="C90" s="413" t="str">
        <f>'5.Tiên lượng'!C184</f>
        <v>BB.11222VD</v>
      </c>
      <c r="D90" s="413"/>
      <c r="E90" s="415" t="str">
        <f>'5.Tiên lượng'!D184</f>
        <v>Lắp đặt ống bê tông bằng cần cẩu, đoạn ống dài 2m - Đường kính 800mm</v>
      </c>
      <c r="F90" s="414" t="str">
        <f>'5.Tiên lượng'!E184</f>
        <v>1 đoạn ống</v>
      </c>
      <c r="G90" s="416">
        <f>'5.Tiên lượng'!M184</f>
        <v>1</v>
      </c>
      <c r="H90" s="416">
        <f>PTVT!G732</f>
        <v>0.63</v>
      </c>
      <c r="I90" s="416">
        <f>'5.Tiên lượng'!W184</f>
        <v>1</v>
      </c>
      <c r="J90" s="419">
        <f t="shared" si="3"/>
        <v>0.63</v>
      </c>
      <c r="K90" s="420"/>
      <c r="L90" s="420"/>
      <c r="M90" s="420"/>
      <c r="N90" s="420"/>
      <c r="O90" s="420"/>
      <c r="P90" s="420"/>
      <c r="Q90" s="420"/>
      <c r="R90" s="420"/>
      <c r="S90" s="420"/>
      <c r="T90" s="420"/>
      <c r="U90" s="420"/>
      <c r="V90" s="420"/>
      <c r="W90" s="420"/>
      <c r="X90" s="420"/>
      <c r="Y90" s="420"/>
      <c r="Z90" s="420"/>
      <c r="AA90" s="420">
        <f>J90*Z61</f>
        <v>14490</v>
      </c>
    </row>
    <row r="91" spans="1:27" s="410" customFormat="1" ht="27.6" hidden="1">
      <c r="A91" s="413">
        <f>'5.Tiên lượng'!A185</f>
        <v>0</v>
      </c>
      <c r="B91" s="414"/>
      <c r="C91" s="413" t="str">
        <f>'5.Tiên lượng'!C185</f>
        <v>BB.13503</v>
      </c>
      <c r="D91" s="413"/>
      <c r="E91" s="415" t="str">
        <f>'5.Tiên lượng'!D185</f>
        <v>Nối ống bê tông bằng phương pháp xảm - Đường kính 400mm</v>
      </c>
      <c r="F91" s="414" t="str">
        <f>'5.Tiên lượng'!E185</f>
        <v>mối nối</v>
      </c>
      <c r="G91" s="416">
        <f>'5.Tiên lượng'!M185</f>
        <v>13</v>
      </c>
      <c r="H91" s="416">
        <f>PTVT!G742</f>
        <v>0.09</v>
      </c>
      <c r="I91" s="416">
        <f>'5.Tiên lượng'!W185</f>
        <v>1</v>
      </c>
      <c r="J91" s="419">
        <f t="shared" si="3"/>
        <v>1.17</v>
      </c>
      <c r="K91" s="420"/>
      <c r="L91" s="420"/>
      <c r="M91" s="420"/>
      <c r="N91" s="420"/>
      <c r="O91" s="420"/>
      <c r="P91" s="420"/>
      <c r="Q91" s="420"/>
      <c r="R91" s="420"/>
      <c r="S91" s="420"/>
      <c r="T91" s="420"/>
      <c r="U91" s="420"/>
      <c r="V91" s="420"/>
      <c r="W91" s="420"/>
      <c r="X91" s="420"/>
      <c r="Y91" s="420"/>
      <c r="Z91" s="420"/>
      <c r="AA91" s="420">
        <f>J91*Z61</f>
        <v>26910</v>
      </c>
    </row>
    <row r="92" spans="1:27" s="410" customFormat="1" ht="27.6" hidden="1">
      <c r="A92" s="413">
        <f>'5.Tiên lượng'!A186</f>
        <v>0</v>
      </c>
      <c r="B92" s="414"/>
      <c r="C92" s="413" t="str">
        <f>'5.Tiên lượng'!C186</f>
        <v>BB.13505</v>
      </c>
      <c r="D92" s="413"/>
      <c r="E92" s="415" t="str">
        <f>'5.Tiên lượng'!D186</f>
        <v>Nối ống bê tông bằng phương pháp xảm - Đường kính 600mm</v>
      </c>
      <c r="F92" s="414" t="str">
        <f>'5.Tiên lượng'!E186</f>
        <v>mối nối</v>
      </c>
      <c r="G92" s="416">
        <f>'5.Tiên lượng'!M186</f>
        <v>2</v>
      </c>
      <c r="H92" s="416">
        <f>PTVT!G749</f>
        <v>0.13</v>
      </c>
      <c r="I92" s="416">
        <f>'5.Tiên lượng'!W186</f>
        <v>1</v>
      </c>
      <c r="J92" s="419">
        <f t="shared" si="3"/>
        <v>0.26</v>
      </c>
      <c r="K92" s="420"/>
      <c r="L92" s="420"/>
      <c r="M92" s="420"/>
      <c r="N92" s="420"/>
      <c r="O92" s="420"/>
      <c r="P92" s="420"/>
      <c r="Q92" s="420"/>
      <c r="R92" s="420"/>
      <c r="S92" s="420"/>
      <c r="T92" s="420"/>
      <c r="U92" s="420"/>
      <c r="V92" s="420"/>
      <c r="W92" s="420"/>
      <c r="X92" s="420"/>
      <c r="Y92" s="420"/>
      <c r="Z92" s="420"/>
      <c r="AA92" s="420">
        <f>J92*Z61</f>
        <v>5980</v>
      </c>
    </row>
    <row r="93" spans="1:27" s="410" customFormat="1" ht="27.6" hidden="1">
      <c r="A93" s="413">
        <f>'5.Tiên lượng'!A187</f>
        <v>0</v>
      </c>
      <c r="B93" s="414"/>
      <c r="C93" s="413" t="str">
        <f>'5.Tiên lượng'!C187</f>
        <v>BB.13507</v>
      </c>
      <c r="D93" s="413"/>
      <c r="E93" s="415" t="str">
        <f>'5.Tiên lượng'!D187</f>
        <v>Nối ống bê tông bằng phương pháp xảm - Đường kính 800mm</v>
      </c>
      <c r="F93" s="414" t="str">
        <f>'5.Tiên lượng'!E187</f>
        <v>mối nối</v>
      </c>
      <c r="G93" s="416">
        <f>'5.Tiên lượng'!M187</f>
        <v>1</v>
      </c>
      <c r="H93" s="416">
        <f>PTVT!G756</f>
        <v>0.18</v>
      </c>
      <c r="I93" s="416">
        <f>'5.Tiên lượng'!W187</f>
        <v>1</v>
      </c>
      <c r="J93" s="419">
        <f t="shared" si="3"/>
        <v>0.18</v>
      </c>
      <c r="K93" s="420"/>
      <c r="L93" s="420"/>
      <c r="M93" s="420"/>
      <c r="N93" s="420"/>
      <c r="O93" s="420"/>
      <c r="P93" s="420"/>
      <c r="Q93" s="420"/>
      <c r="R93" s="420"/>
      <c r="S93" s="420"/>
      <c r="T93" s="420"/>
      <c r="U93" s="420"/>
      <c r="V93" s="420"/>
      <c r="W93" s="420"/>
      <c r="X93" s="420"/>
      <c r="Y93" s="420"/>
      <c r="Z93" s="420"/>
      <c r="AA93" s="420">
        <f>J93*Z61</f>
        <v>4140</v>
      </c>
    </row>
    <row r="94" spans="1:27" s="410" customFormat="1" ht="27.6" hidden="1">
      <c r="A94" s="413">
        <f>'5.Tiên lượng'!A188</f>
        <v>0</v>
      </c>
      <c r="B94" s="414"/>
      <c r="C94" s="413" t="str">
        <f>'5.Tiên lượng'!C188</f>
        <v>BB.33011</v>
      </c>
      <c r="D94" s="413"/>
      <c r="E94" s="415" t="str">
        <f>'5.Tiên lượng'!D188</f>
        <v>Khối xây gia cố bằng đá hộc - Chiều dày ≤60cm, vữa XM M100, PCB40</v>
      </c>
      <c r="F94" s="414" t="str">
        <f>'5.Tiên lượng'!E188</f>
        <v>100m</v>
      </c>
      <c r="G94" s="416">
        <f>'5.Tiên lượng'!M188</f>
        <v>8.199999999999999E-2</v>
      </c>
      <c r="H94" s="416">
        <f>PTVT!G763</f>
        <v>32.39</v>
      </c>
      <c r="I94" s="416">
        <f>'5.Tiên lượng'!W188</f>
        <v>1</v>
      </c>
      <c r="J94" s="419">
        <f t="shared" si="3"/>
        <v>2.6559799999999996</v>
      </c>
      <c r="K94" s="420"/>
      <c r="L94" s="420"/>
      <c r="M94" s="420"/>
      <c r="N94" s="420"/>
      <c r="O94" s="420"/>
      <c r="P94" s="420"/>
      <c r="Q94" s="420"/>
      <c r="R94" s="420"/>
      <c r="S94" s="420"/>
      <c r="T94" s="420"/>
      <c r="U94" s="420"/>
      <c r="V94" s="420"/>
      <c r="W94" s="420"/>
      <c r="X94" s="420"/>
      <c r="Y94" s="420"/>
      <c r="Z94" s="420"/>
      <c r="AA94" s="420">
        <f>J94*Z61</f>
        <v>61087.539999999994</v>
      </c>
    </row>
    <row r="95" spans="1:27" s="410" customFormat="1" ht="27.6" hidden="1">
      <c r="A95" s="413">
        <f>'5.Tiên lượng'!A192</f>
        <v>0</v>
      </c>
      <c r="B95" s="414"/>
      <c r="C95" s="413" t="str">
        <f>'5.Tiên lượng'!C192</f>
        <v>AF.12151</v>
      </c>
      <c r="D95" s="413"/>
      <c r="E95" s="415" t="str">
        <f>'5.Tiên lượng'!D192</f>
        <v>BTXM đầu cống - Chiều dày ≤45cm, chiều cao ≤6m, M150, đá 2x4, PCB40</v>
      </c>
      <c r="F95" s="414" t="str">
        <f>'5.Tiên lượng'!E192</f>
        <v>m3</v>
      </c>
      <c r="G95" s="416">
        <f>'5.Tiên lượng'!M192</f>
        <v>2.29</v>
      </c>
      <c r="H95" s="416">
        <f>PTVT!G776</f>
        <v>2.4900000000000002</v>
      </c>
      <c r="I95" s="416">
        <f>'5.Tiên lượng'!W192</f>
        <v>1</v>
      </c>
      <c r="J95" s="419">
        <f t="shared" si="3"/>
        <v>5.7021000000000006</v>
      </c>
      <c r="K95" s="420"/>
      <c r="L95" s="420"/>
      <c r="M95" s="420"/>
      <c r="N95" s="420"/>
      <c r="O95" s="420"/>
      <c r="P95" s="420"/>
      <c r="Q95" s="420"/>
      <c r="R95" s="420"/>
      <c r="S95" s="420"/>
      <c r="T95" s="420"/>
      <c r="U95" s="420"/>
      <c r="V95" s="420"/>
      <c r="W95" s="420"/>
      <c r="X95" s="420"/>
      <c r="Y95" s="420"/>
      <c r="Z95" s="420"/>
      <c r="AA95" s="420">
        <f>J95*Z61</f>
        <v>131148.30000000002</v>
      </c>
    </row>
    <row r="96" spans="1:27" s="410" customFormat="1" ht="27.6" hidden="1">
      <c r="A96" s="413">
        <f>'5.Tiên lượng'!A193</f>
        <v>0</v>
      </c>
      <c r="B96" s="414"/>
      <c r="C96" s="413" t="str">
        <f>'5.Tiên lượng'!C193</f>
        <v>AF.12152</v>
      </c>
      <c r="D96" s="413"/>
      <c r="E96" s="415" t="str">
        <f>'5.Tiên lượng'!D193</f>
        <v>BTXM thân cống - Chiều dày ≤45cm, chiều cao ≤6m, M200, đá 2x4, PCB40</v>
      </c>
      <c r="F96" s="414" t="str">
        <f>'5.Tiên lượng'!E193</f>
        <v>m3</v>
      </c>
      <c r="G96" s="416">
        <f>'5.Tiên lượng'!M193</f>
        <v>1.0900000000000001</v>
      </c>
      <c r="H96" s="416">
        <f>PTVT!G788</f>
        <v>2.4900000000000002</v>
      </c>
      <c r="I96" s="416">
        <f>'5.Tiên lượng'!W193</f>
        <v>1</v>
      </c>
      <c r="J96" s="419">
        <f t="shared" si="3"/>
        <v>2.7141000000000006</v>
      </c>
      <c r="K96" s="420"/>
      <c r="L96" s="420"/>
      <c r="M96" s="420"/>
      <c r="N96" s="420"/>
      <c r="O96" s="420"/>
      <c r="P96" s="420"/>
      <c r="Q96" s="420"/>
      <c r="R96" s="420"/>
      <c r="S96" s="420"/>
      <c r="T96" s="420"/>
      <c r="U96" s="420"/>
      <c r="V96" s="420"/>
      <c r="W96" s="420"/>
      <c r="X96" s="420"/>
      <c r="Y96" s="420"/>
      <c r="Z96" s="420"/>
      <c r="AA96" s="420">
        <f>J96*Z61</f>
        <v>62424.300000000017</v>
      </c>
    </row>
    <row r="97" spans="1:27" s="410" customFormat="1" hidden="1">
      <c r="A97" s="413">
        <f>'5.Tiên lượng'!A197</f>
        <v>0</v>
      </c>
      <c r="B97" s="414"/>
      <c r="C97" s="413" t="str">
        <f>'5.Tiên lượng'!C197</f>
        <v>AF.14232</v>
      </c>
      <c r="D97" s="413"/>
      <c r="E97" s="415" t="str">
        <f>'5.Tiên lượng'!D197</f>
        <v>BTCT mũ mố, M200, đá 2x4, PCB40</v>
      </c>
      <c r="F97" s="414" t="str">
        <f>'5.Tiên lượng'!E197</f>
        <v>m3</v>
      </c>
      <c r="G97" s="416">
        <f>'5.Tiên lượng'!M197</f>
        <v>0.79</v>
      </c>
      <c r="H97" s="416">
        <f>PTVT!G828</f>
        <v>2.58</v>
      </c>
      <c r="I97" s="416">
        <f>'5.Tiên lượng'!W197</f>
        <v>1</v>
      </c>
      <c r="J97" s="419">
        <f t="shared" si="3"/>
        <v>2.0382000000000002</v>
      </c>
      <c r="K97" s="420"/>
      <c r="L97" s="420"/>
      <c r="M97" s="420"/>
      <c r="N97" s="420"/>
      <c r="O97" s="420"/>
      <c r="P97" s="420"/>
      <c r="Q97" s="420"/>
      <c r="R97" s="420"/>
      <c r="S97" s="420"/>
      <c r="T97" s="420"/>
      <c r="U97" s="420"/>
      <c r="V97" s="420"/>
      <c r="W97" s="420"/>
      <c r="X97" s="420"/>
      <c r="Y97" s="420"/>
      <c r="Z97" s="420"/>
      <c r="AA97" s="420">
        <f>J97*Z61</f>
        <v>46878.600000000006</v>
      </c>
    </row>
    <row r="98" spans="1:27" s="410" customFormat="1" hidden="1">
      <c r="A98" s="413">
        <f>'5.Tiên lượng'!A198</f>
        <v>0</v>
      </c>
      <c r="B98" s="414"/>
      <c r="C98" s="413" t="str">
        <f>'5.Tiên lượng'!C198</f>
        <v>AG.13231</v>
      </c>
      <c r="D98" s="413"/>
      <c r="E98" s="415" t="str">
        <f>'5.Tiên lượng'!D198</f>
        <v>Cốt thép tấm bản mặt</v>
      </c>
      <c r="F98" s="414" t="str">
        <f>'5.Tiên lượng'!E198</f>
        <v>tấn</v>
      </c>
      <c r="G98" s="416">
        <f>'5.Tiên lượng'!M198</f>
        <v>0.20314999999999997</v>
      </c>
      <c r="H98" s="416">
        <f>PTVT!G839</f>
        <v>16.25</v>
      </c>
      <c r="I98" s="416">
        <f>'5.Tiên lượng'!W198</f>
        <v>1</v>
      </c>
      <c r="J98" s="419">
        <f t="shared" si="3"/>
        <v>3.3011874999999997</v>
      </c>
      <c r="K98" s="420"/>
      <c r="L98" s="420"/>
      <c r="M98" s="420"/>
      <c r="N98" s="420"/>
      <c r="O98" s="420"/>
      <c r="P98" s="420"/>
      <c r="Q98" s="420"/>
      <c r="R98" s="420"/>
      <c r="S98" s="420"/>
      <c r="T98" s="420"/>
      <c r="U98" s="420"/>
      <c r="V98" s="420"/>
      <c r="W98" s="420"/>
      <c r="X98" s="420"/>
      <c r="Y98" s="420"/>
      <c r="Z98" s="420"/>
      <c r="AA98" s="420">
        <f>J98*Z61</f>
        <v>75927.3125</v>
      </c>
    </row>
    <row r="99" spans="1:27" s="410" customFormat="1" ht="27.6" hidden="1">
      <c r="A99" s="413">
        <f>'5.Tiên lượng'!A205</f>
        <v>0</v>
      </c>
      <c r="B99" s="414"/>
      <c r="C99" s="413" t="str">
        <f>'5.Tiên lượng'!C205</f>
        <v>BB.11211VD</v>
      </c>
      <c r="D99" s="413"/>
      <c r="E99" s="415" t="str">
        <f>'5.Tiên lượng'!D205</f>
        <v>Tháo dỡ ống bê tông bằng cần cẩu, đoạn ống dài 1m - Đường kính 400mm</v>
      </c>
      <c r="F99" s="414" t="str">
        <f>'5.Tiên lượng'!E205</f>
        <v>1 đoạn ống</v>
      </c>
      <c r="G99" s="416">
        <f>'5.Tiên lượng'!M205</f>
        <v>5</v>
      </c>
      <c r="H99" s="416">
        <f>PTVT!G871</f>
        <v>0.26</v>
      </c>
      <c r="I99" s="416">
        <f>'5.Tiên lượng'!W205</f>
        <v>1</v>
      </c>
      <c r="J99" s="419">
        <f t="shared" si="3"/>
        <v>1.3</v>
      </c>
      <c r="K99" s="420"/>
      <c r="L99" s="420"/>
      <c r="M99" s="420"/>
      <c r="N99" s="420"/>
      <c r="O99" s="420"/>
      <c r="P99" s="420"/>
      <c r="Q99" s="420"/>
      <c r="R99" s="420"/>
      <c r="S99" s="420"/>
      <c r="T99" s="420"/>
      <c r="U99" s="420"/>
      <c r="V99" s="420"/>
      <c r="W99" s="420"/>
      <c r="X99" s="420"/>
      <c r="Y99" s="420"/>
      <c r="Z99" s="420"/>
      <c r="AA99" s="420">
        <f>J99*Z61</f>
        <v>29900</v>
      </c>
    </row>
    <row r="100" spans="1:27">
      <c r="A100" s="246" t="s">
        <v>759</v>
      </c>
      <c r="B100" s="265">
        <v>6</v>
      </c>
      <c r="C100" s="246" t="s">
        <v>629</v>
      </c>
      <c r="D100" s="246">
        <f>'Giá NC'!D10</f>
        <v>0</v>
      </c>
      <c r="E100" s="266" t="str">
        <f>'Giá NC'!E10</f>
        <v>Nhân công bậc 4,0/7 - Nhóm 2</v>
      </c>
      <c r="F100" s="265" t="s">
        <v>895</v>
      </c>
      <c r="G100" s="417"/>
      <c r="H100" s="417"/>
      <c r="I100" s="417"/>
      <c r="J100" s="268">
        <f>SUM(J101:J112)</f>
        <v>173.1611666</v>
      </c>
      <c r="K100" s="421">
        <f>'Giá NC'!G10</f>
        <v>268125</v>
      </c>
      <c r="L100" s="421">
        <f>J100*K100</f>
        <v>46428837.794624999</v>
      </c>
      <c r="M100" s="421">
        <f>'Giá NC'!H10</f>
        <v>293092</v>
      </c>
      <c r="N100" s="421">
        <f>J100*M100</f>
        <v>50752152.641127199</v>
      </c>
      <c r="O100" s="421">
        <f>M100-K100</f>
        <v>24967</v>
      </c>
      <c r="P100" s="421">
        <f>J100*O100</f>
        <v>4323314.8465021998</v>
      </c>
      <c r="Q100" s="421">
        <v>1</v>
      </c>
      <c r="R100" s="421">
        <f>M100*Q100</f>
        <v>293092</v>
      </c>
      <c r="S100" s="421">
        <f>J100*R100</f>
        <v>50752152.641127199</v>
      </c>
      <c r="T100" s="421">
        <v>0</v>
      </c>
      <c r="U100" s="421">
        <v>0</v>
      </c>
      <c r="V100" s="421">
        <v>0</v>
      </c>
      <c r="W100" s="421">
        <v>0</v>
      </c>
      <c r="X100" s="421">
        <f>'Giá NC'!K10</f>
        <v>293092</v>
      </c>
      <c r="Y100" s="421">
        <f>J100*X100</f>
        <v>50752152.641127199</v>
      </c>
      <c r="Z100" s="421">
        <f>X100-K100</f>
        <v>24967</v>
      </c>
      <c r="AA100" s="421">
        <f>J100*Z100</f>
        <v>4323314.8465021998</v>
      </c>
    </row>
    <row r="101" spans="1:27" s="410" customFormat="1" hidden="1">
      <c r="A101" s="413">
        <f>'5.Tiên lượng'!A56</f>
        <v>0</v>
      </c>
      <c r="B101" s="414"/>
      <c r="C101" s="413" t="str">
        <f>'5.Tiên lượng'!C56</f>
        <v>AF.82411</v>
      </c>
      <c r="D101" s="413"/>
      <c r="E101" s="415" t="str">
        <f>'5.Tiên lượng'!D56</f>
        <v>Ván khuôn thép mặt đường bê tông</v>
      </c>
      <c r="F101" s="414" t="str">
        <f>'5.Tiên lượng'!E56</f>
        <v>100m2</v>
      </c>
      <c r="G101" s="416">
        <f>'5.Tiên lượng'!M56</f>
        <v>3.6397000000000004</v>
      </c>
      <c r="H101" s="416">
        <f>PTVT!G165</f>
        <v>11.5</v>
      </c>
      <c r="I101" s="416">
        <f>'5.Tiên lượng'!W56</f>
        <v>1</v>
      </c>
      <c r="J101" s="419">
        <f t="shared" ref="J101:J112" si="4">PRODUCT(G101,H101,I101)</f>
        <v>41.856550000000006</v>
      </c>
      <c r="K101" s="420"/>
      <c r="L101" s="420"/>
      <c r="M101" s="420"/>
      <c r="N101" s="420"/>
      <c r="O101" s="420"/>
      <c r="P101" s="420"/>
      <c r="Q101" s="420"/>
      <c r="R101" s="420"/>
      <c r="S101" s="420"/>
      <c r="T101" s="420"/>
      <c r="U101" s="420"/>
      <c r="V101" s="420"/>
      <c r="W101" s="420"/>
      <c r="X101" s="420"/>
      <c r="Y101" s="420"/>
      <c r="Z101" s="420"/>
      <c r="AA101" s="420">
        <f>J101*Z100</f>
        <v>1045032.4838500002</v>
      </c>
    </row>
    <row r="102" spans="1:27" s="410" customFormat="1" hidden="1">
      <c r="A102" s="413">
        <f>'5.Tiên lượng'!A65</f>
        <v>0</v>
      </c>
      <c r="B102" s="414"/>
      <c r="C102" s="413" t="str">
        <f>'5.Tiên lượng'!C65</f>
        <v>AF.82411</v>
      </c>
      <c r="D102" s="413"/>
      <c r="E102" s="415" t="str">
        <f>'5.Tiên lượng'!D65</f>
        <v>Ván khuôn thép mặt đường bê tông</v>
      </c>
      <c r="F102" s="414" t="str">
        <f>'5.Tiên lượng'!E65</f>
        <v>100m2</v>
      </c>
      <c r="G102" s="416">
        <f>'5.Tiên lượng'!M65</f>
        <v>0.14080000000000001</v>
      </c>
      <c r="H102" s="416">
        <f>PTVT!G210</f>
        <v>11.5</v>
      </c>
      <c r="I102" s="416">
        <f>'5.Tiên lượng'!W65</f>
        <v>1</v>
      </c>
      <c r="J102" s="419">
        <f t="shared" si="4"/>
        <v>1.6192000000000002</v>
      </c>
      <c r="K102" s="420"/>
      <c r="L102" s="420"/>
      <c r="M102" s="420"/>
      <c r="N102" s="420"/>
      <c r="O102" s="420"/>
      <c r="P102" s="420"/>
      <c r="Q102" s="420"/>
      <c r="R102" s="420"/>
      <c r="S102" s="420"/>
      <c r="T102" s="420"/>
      <c r="U102" s="420"/>
      <c r="V102" s="420"/>
      <c r="W102" s="420"/>
      <c r="X102" s="420"/>
      <c r="Y102" s="420"/>
      <c r="Z102" s="420"/>
      <c r="AA102" s="420">
        <f>J102*Z100</f>
        <v>40426.566400000003</v>
      </c>
    </row>
    <row r="103" spans="1:27" s="410" customFormat="1" ht="41.4" hidden="1">
      <c r="A103" s="413">
        <f>'5.Tiên lượng'!A111</f>
        <v>0</v>
      </c>
      <c r="B103" s="414"/>
      <c r="C103" s="413" t="str">
        <f>'5.Tiên lượng'!C111</f>
        <v>LS.11110(ĐM.1322)</v>
      </c>
      <c r="D103" s="413"/>
      <c r="E103" s="415" t="str">
        <f>'5.Tiên lượng'!D111</f>
        <v>Cào bóc tái sinh nguội tại chỗ bằng máy cào bóc tái sinh WR2400 trên mặt đường láng nhựa, chiều dày 18cm (4% xi măng rải thủ công)</v>
      </c>
      <c r="F103" s="414" t="str">
        <f>'5.Tiên lượng'!E111</f>
        <v>100m3</v>
      </c>
      <c r="G103" s="416">
        <f>'5.Tiên lượng'!M111</f>
        <v>19.253299999999999</v>
      </c>
      <c r="H103" s="416">
        <f>PTVT!G381</f>
        <v>4.67</v>
      </c>
      <c r="I103" s="416">
        <f>'5.Tiên lượng'!W111</f>
        <v>0.9</v>
      </c>
      <c r="J103" s="419">
        <f t="shared" si="4"/>
        <v>80.921619899999996</v>
      </c>
      <c r="K103" s="420"/>
      <c r="L103" s="420"/>
      <c r="M103" s="420"/>
      <c r="N103" s="420"/>
      <c r="O103" s="420"/>
      <c r="P103" s="420"/>
      <c r="Q103" s="420"/>
      <c r="R103" s="420"/>
      <c r="S103" s="420"/>
      <c r="T103" s="420"/>
      <c r="U103" s="420"/>
      <c r="V103" s="420"/>
      <c r="W103" s="420"/>
      <c r="X103" s="420"/>
      <c r="Y103" s="420"/>
      <c r="Z103" s="420"/>
      <c r="AA103" s="420">
        <f>J103*Z100</f>
        <v>2020370.0840433</v>
      </c>
    </row>
    <row r="104" spans="1:27" s="410" customFormat="1" ht="41.4" hidden="1">
      <c r="A104" s="413">
        <f>'5.Tiên lượng'!A118</f>
        <v>0</v>
      </c>
      <c r="B104" s="414"/>
      <c r="C104" s="413" t="str">
        <f>'5.Tiên lượng'!C118</f>
        <v>LS.11110(ĐM.1322)</v>
      </c>
      <c r="D104" s="413"/>
      <c r="E104" s="415" t="str">
        <f>'5.Tiên lượng'!D118</f>
        <v>Cào bóc tái sinh nguội tại chỗ bằng máy cào bóc tái sinh WR2400 trên mặt đường láng nhựa, chiều dày 18cm (4% xi măng rải thủ công)</v>
      </c>
      <c r="F104" s="414" t="str">
        <f>'5.Tiên lượng'!E118</f>
        <v>100m3</v>
      </c>
      <c r="G104" s="416">
        <f>'5.Tiên lượng'!M118</f>
        <v>0.2389</v>
      </c>
      <c r="H104" s="416">
        <f>PTVT!G422</f>
        <v>4.67</v>
      </c>
      <c r="I104" s="416">
        <f>'5.Tiên lượng'!W118</f>
        <v>0.9</v>
      </c>
      <c r="J104" s="419">
        <f t="shared" si="4"/>
        <v>1.0040967000000001</v>
      </c>
      <c r="K104" s="420"/>
      <c r="L104" s="420"/>
      <c r="M104" s="420"/>
      <c r="N104" s="420"/>
      <c r="O104" s="420"/>
      <c r="P104" s="420"/>
      <c r="Q104" s="420"/>
      <c r="R104" s="420"/>
      <c r="S104" s="420"/>
      <c r="T104" s="420"/>
      <c r="U104" s="420"/>
      <c r="V104" s="420"/>
      <c r="W104" s="420"/>
      <c r="X104" s="420"/>
      <c r="Y104" s="420"/>
      <c r="Z104" s="420"/>
      <c r="AA104" s="420">
        <f>J104*Z100</f>
        <v>25069.282308900001</v>
      </c>
    </row>
    <row r="105" spans="1:27" s="410" customFormat="1" hidden="1">
      <c r="A105" s="413">
        <f>'5.Tiên lượng'!A127</f>
        <v>0</v>
      </c>
      <c r="B105" s="414"/>
      <c r="C105" s="413" t="str">
        <f>'5.Tiên lượng'!C127</f>
        <v>AK.98110(VD)</v>
      </c>
      <c r="D105" s="413"/>
      <c r="E105" s="415" t="str">
        <f>'5.Tiên lượng'!D127</f>
        <v>Đá dăm đệm rãnh, đá (1x2)cm, dày 10cm</v>
      </c>
      <c r="F105" s="414" t="str">
        <f>'5.Tiên lượng'!E127</f>
        <v>m3</v>
      </c>
      <c r="G105" s="416">
        <f>'5.Tiên lượng'!M127</f>
        <v>7.43</v>
      </c>
      <c r="H105" s="416">
        <f>PTVT!G462</f>
        <v>1.48</v>
      </c>
      <c r="I105" s="416">
        <f>'5.Tiên lượng'!W127</f>
        <v>0.8</v>
      </c>
      <c r="J105" s="419">
        <f t="shared" si="4"/>
        <v>8.7971199999999996</v>
      </c>
      <c r="K105" s="420"/>
      <c r="L105" s="420"/>
      <c r="M105" s="420"/>
      <c r="N105" s="420"/>
      <c r="O105" s="420"/>
      <c r="P105" s="420"/>
      <c r="Q105" s="420"/>
      <c r="R105" s="420"/>
      <c r="S105" s="420"/>
      <c r="T105" s="420"/>
      <c r="U105" s="420"/>
      <c r="V105" s="420"/>
      <c r="W105" s="420"/>
      <c r="X105" s="420"/>
      <c r="Y105" s="420"/>
      <c r="Z105" s="420"/>
      <c r="AA105" s="420">
        <f>J105*Z100</f>
        <v>219637.69503999999</v>
      </c>
    </row>
    <row r="106" spans="1:27" s="410" customFormat="1" hidden="1">
      <c r="A106" s="413">
        <f>'5.Tiên lượng'!A135</f>
        <v>0</v>
      </c>
      <c r="B106" s="414"/>
      <c r="C106" s="413" t="str">
        <f>'5.Tiên lượng'!C135</f>
        <v>AF.82511</v>
      </c>
      <c r="D106" s="413"/>
      <c r="E106" s="415" t="str">
        <f>'5.Tiên lượng'!D135</f>
        <v>Ván khuôn thép mũ  mố</v>
      </c>
      <c r="F106" s="414" t="str">
        <f>'5.Tiên lượng'!E135</f>
        <v>100m2</v>
      </c>
      <c r="G106" s="416">
        <f>'5.Tiên lượng'!M135</f>
        <v>0.93220000000000003</v>
      </c>
      <c r="H106" s="416">
        <f>PTVT!G525</f>
        <v>12.25</v>
      </c>
      <c r="I106" s="416">
        <f>'5.Tiên lượng'!W135</f>
        <v>1</v>
      </c>
      <c r="J106" s="419">
        <f t="shared" si="4"/>
        <v>11.419450000000001</v>
      </c>
      <c r="K106" s="420"/>
      <c r="L106" s="420"/>
      <c r="M106" s="420"/>
      <c r="N106" s="420"/>
      <c r="O106" s="420"/>
      <c r="P106" s="420"/>
      <c r="Q106" s="420"/>
      <c r="R106" s="420"/>
      <c r="S106" s="420"/>
      <c r="T106" s="420"/>
      <c r="U106" s="420"/>
      <c r="V106" s="420"/>
      <c r="W106" s="420"/>
      <c r="X106" s="420"/>
      <c r="Y106" s="420"/>
      <c r="Z106" s="420"/>
      <c r="AA106" s="420">
        <f>J106*Z100</f>
        <v>285109.40815000003</v>
      </c>
    </row>
    <row r="107" spans="1:27" s="410" customFormat="1" hidden="1">
      <c r="A107" s="413">
        <f>'5.Tiên lượng'!A143</f>
        <v>0</v>
      </c>
      <c r="B107" s="414"/>
      <c r="C107" s="413" t="str">
        <f>'5.Tiên lượng'!C143</f>
        <v>AG.32511</v>
      </c>
      <c r="D107" s="413"/>
      <c r="E107" s="415" t="str">
        <f>'5.Tiên lượng'!D143</f>
        <v>Ván khuôn thép tấm đậy</v>
      </c>
      <c r="F107" s="414" t="str">
        <f>'5.Tiên lượng'!E143</f>
        <v>100m2</v>
      </c>
      <c r="G107" s="416">
        <f>'5.Tiên lượng'!M143</f>
        <v>0.35389999999999999</v>
      </c>
      <c r="H107" s="416">
        <f>PTVT!G560</f>
        <v>23.06</v>
      </c>
      <c r="I107" s="416">
        <f>'5.Tiên lượng'!W143</f>
        <v>1</v>
      </c>
      <c r="J107" s="419">
        <f t="shared" si="4"/>
        <v>8.1609339999999992</v>
      </c>
      <c r="K107" s="420"/>
      <c r="L107" s="420"/>
      <c r="M107" s="420"/>
      <c r="N107" s="420"/>
      <c r="O107" s="420"/>
      <c r="P107" s="420"/>
      <c r="Q107" s="420"/>
      <c r="R107" s="420"/>
      <c r="S107" s="420"/>
      <c r="T107" s="420"/>
      <c r="U107" s="420"/>
      <c r="V107" s="420"/>
      <c r="W107" s="420"/>
      <c r="X107" s="420"/>
      <c r="Y107" s="420"/>
      <c r="Z107" s="420"/>
      <c r="AA107" s="420">
        <f>J107*Z100</f>
        <v>203754.03917799998</v>
      </c>
    </row>
    <row r="108" spans="1:27" s="410" customFormat="1" hidden="1">
      <c r="A108" s="413">
        <f>'5.Tiên lượng'!A156</f>
        <v>0</v>
      </c>
      <c r="B108" s="414"/>
      <c r="C108" s="413" t="str">
        <f>'5.Tiên lượng'!C156</f>
        <v>AK.98110</v>
      </c>
      <c r="D108" s="413"/>
      <c r="E108" s="415" t="str">
        <f>'5.Tiên lượng'!D156</f>
        <v>Cấp phối đá dăm đệm móng, dày 5cm</v>
      </c>
      <c r="F108" s="414" t="str">
        <f>'5.Tiên lượng'!E156</f>
        <v>m3</v>
      </c>
      <c r="G108" s="416">
        <f>'5.Tiên lượng'!M156</f>
        <v>0.66</v>
      </c>
      <c r="H108" s="416">
        <f>PTVT!G615</f>
        <v>1.48</v>
      </c>
      <c r="I108" s="416">
        <f>'5.Tiên lượng'!W156</f>
        <v>0.8</v>
      </c>
      <c r="J108" s="419">
        <f t="shared" si="4"/>
        <v>0.78144000000000002</v>
      </c>
      <c r="K108" s="420"/>
      <c r="L108" s="420"/>
      <c r="M108" s="420"/>
      <c r="N108" s="420"/>
      <c r="O108" s="420"/>
      <c r="P108" s="420"/>
      <c r="Q108" s="420"/>
      <c r="R108" s="420"/>
      <c r="S108" s="420"/>
      <c r="T108" s="420"/>
      <c r="U108" s="420"/>
      <c r="V108" s="420"/>
      <c r="W108" s="420"/>
      <c r="X108" s="420"/>
      <c r="Y108" s="420"/>
      <c r="Z108" s="420"/>
      <c r="AA108" s="420">
        <f>J108*Z100</f>
        <v>19510.212480000002</v>
      </c>
    </row>
    <row r="109" spans="1:27" s="410" customFormat="1" hidden="1">
      <c r="A109" s="413">
        <f>'5.Tiên lượng'!A158</f>
        <v>0</v>
      </c>
      <c r="B109" s="414"/>
      <c r="C109" s="413" t="str">
        <f>'5.Tiên lượng'!C158</f>
        <v>AF.82511</v>
      </c>
      <c r="D109" s="413"/>
      <c r="E109" s="415" t="str">
        <f>'5.Tiên lượng'!D158</f>
        <v>Ván khuôn thép rãnh</v>
      </c>
      <c r="F109" s="414" t="str">
        <f>'5.Tiên lượng'!E158</f>
        <v>100m2</v>
      </c>
      <c r="G109" s="416">
        <f>'5.Tiên lượng'!M158</f>
        <v>0.61380000000000001</v>
      </c>
      <c r="H109" s="416">
        <f>PTVT!G623</f>
        <v>12.25</v>
      </c>
      <c r="I109" s="416">
        <f>'5.Tiên lượng'!W158</f>
        <v>1</v>
      </c>
      <c r="J109" s="419">
        <f t="shared" si="4"/>
        <v>7.51905</v>
      </c>
      <c r="K109" s="420"/>
      <c r="L109" s="420"/>
      <c r="M109" s="420"/>
      <c r="N109" s="420"/>
      <c r="O109" s="420"/>
      <c r="P109" s="420"/>
      <c r="Q109" s="420"/>
      <c r="R109" s="420"/>
      <c r="S109" s="420"/>
      <c r="T109" s="420"/>
      <c r="U109" s="420"/>
      <c r="V109" s="420"/>
      <c r="W109" s="420"/>
      <c r="X109" s="420"/>
      <c r="Y109" s="420"/>
      <c r="Z109" s="420"/>
      <c r="AA109" s="420">
        <f>J109*Z100</f>
        <v>187728.12135</v>
      </c>
    </row>
    <row r="110" spans="1:27" s="410" customFormat="1" hidden="1">
      <c r="A110" s="413">
        <f>'5.Tiên lượng'!A179</f>
        <v>0</v>
      </c>
      <c r="B110" s="414"/>
      <c r="C110" s="413" t="str">
        <f>'5.Tiên lượng'!C179</f>
        <v>AK.98110</v>
      </c>
      <c r="D110" s="413"/>
      <c r="E110" s="415" t="str">
        <f>'5.Tiên lượng'!D179</f>
        <v>Đá dăm đệm móng, đá (2x4)cm, dày 5cm</v>
      </c>
      <c r="F110" s="414" t="str">
        <f>'5.Tiên lượng'!E179</f>
        <v>m3</v>
      </c>
      <c r="G110" s="416">
        <f>'5.Tiên lượng'!M179</f>
        <v>5.35</v>
      </c>
      <c r="H110" s="416">
        <f>PTVT!G690</f>
        <v>1.48</v>
      </c>
      <c r="I110" s="416">
        <f>'5.Tiên lượng'!W179</f>
        <v>0.8</v>
      </c>
      <c r="J110" s="419">
        <f t="shared" si="4"/>
        <v>6.3343999999999996</v>
      </c>
      <c r="K110" s="420"/>
      <c r="L110" s="420"/>
      <c r="M110" s="420"/>
      <c r="N110" s="420"/>
      <c r="O110" s="420"/>
      <c r="P110" s="420"/>
      <c r="Q110" s="420"/>
      <c r="R110" s="420"/>
      <c r="S110" s="420"/>
      <c r="T110" s="420"/>
      <c r="U110" s="420"/>
      <c r="V110" s="420"/>
      <c r="W110" s="420"/>
      <c r="X110" s="420"/>
      <c r="Y110" s="420"/>
      <c r="Z110" s="420"/>
      <c r="AA110" s="420">
        <f>J110*Z100</f>
        <v>158150.96479999999</v>
      </c>
    </row>
    <row r="111" spans="1:27" s="410" customFormat="1" hidden="1">
      <c r="A111" s="413">
        <f>'5.Tiên lượng'!A200</f>
        <v>0</v>
      </c>
      <c r="B111" s="414"/>
      <c r="C111" s="413" t="str">
        <f>'5.Tiên lượng'!C200</f>
        <v>AG.32511</v>
      </c>
      <c r="D111" s="413"/>
      <c r="E111" s="415" t="str">
        <f>'5.Tiên lượng'!D200</f>
        <v>Ván khuôn thép tấm bản</v>
      </c>
      <c r="F111" s="414" t="str">
        <f>'5.Tiên lượng'!E200</f>
        <v>100m2</v>
      </c>
      <c r="G111" s="416">
        <f>'5.Tiên lượng'!M200</f>
        <v>6.0100000000000001E-2</v>
      </c>
      <c r="H111" s="416">
        <f>PTVT!G849</f>
        <v>23.06</v>
      </c>
      <c r="I111" s="416">
        <f>'5.Tiên lượng'!W200</f>
        <v>1</v>
      </c>
      <c r="J111" s="419">
        <f t="shared" si="4"/>
        <v>1.3859059999999999</v>
      </c>
      <c r="K111" s="420"/>
      <c r="L111" s="420"/>
      <c r="M111" s="420"/>
      <c r="N111" s="420"/>
      <c r="O111" s="420"/>
      <c r="P111" s="420"/>
      <c r="Q111" s="420"/>
      <c r="R111" s="420"/>
      <c r="S111" s="420"/>
      <c r="T111" s="420"/>
      <c r="U111" s="420"/>
      <c r="V111" s="420"/>
      <c r="W111" s="420"/>
      <c r="X111" s="420"/>
      <c r="Y111" s="420"/>
      <c r="Z111" s="420"/>
      <c r="AA111" s="420">
        <f>J111*Z100</f>
        <v>34601.915101999999</v>
      </c>
    </row>
    <row r="112" spans="1:27" s="410" customFormat="1" hidden="1">
      <c r="A112" s="413">
        <f>'5.Tiên lượng'!A202</f>
        <v>0</v>
      </c>
      <c r="B112" s="414"/>
      <c r="C112" s="413" t="str">
        <f>'5.Tiên lượng'!C202</f>
        <v>AF.82511</v>
      </c>
      <c r="D112" s="413"/>
      <c r="E112" s="415" t="str">
        <f>'5.Tiên lượng'!D202</f>
        <v>Ván khuôn thép cống</v>
      </c>
      <c r="F112" s="414" t="str">
        <f>'5.Tiên lượng'!E202</f>
        <v>100m2</v>
      </c>
      <c r="G112" s="416">
        <f>'5.Tiên lượng'!M202</f>
        <v>0.27440000000000003</v>
      </c>
      <c r="H112" s="416">
        <f>PTVT!G860</f>
        <v>12.25</v>
      </c>
      <c r="I112" s="416">
        <f>'5.Tiên lượng'!W202</f>
        <v>1</v>
      </c>
      <c r="J112" s="419">
        <f t="shared" si="4"/>
        <v>3.3614000000000006</v>
      </c>
      <c r="K112" s="420"/>
      <c r="L112" s="420"/>
      <c r="M112" s="420"/>
      <c r="N112" s="420"/>
      <c r="O112" s="420"/>
      <c r="P112" s="420"/>
      <c r="Q112" s="420"/>
      <c r="R112" s="420"/>
      <c r="S112" s="420"/>
      <c r="T112" s="420"/>
      <c r="U112" s="420"/>
      <c r="V112" s="420"/>
      <c r="W112" s="420"/>
      <c r="X112" s="420"/>
      <c r="Y112" s="420"/>
      <c r="Z112" s="420"/>
      <c r="AA112" s="420">
        <f>J112*Z100</f>
        <v>83924.073800000013</v>
      </c>
    </row>
    <row r="113" spans="1:27">
      <c r="A113" s="423"/>
      <c r="B113" s="424"/>
      <c r="C113" s="423"/>
      <c r="D113" s="423"/>
      <c r="E113" s="425" t="s">
        <v>588</v>
      </c>
      <c r="F113" s="424"/>
      <c r="G113" s="426"/>
      <c r="H113" s="426"/>
      <c r="I113" s="426"/>
      <c r="J113" s="427"/>
      <c r="K113" s="428"/>
      <c r="L113" s="428">
        <f>SUMIF(A6:A112,"VT",L6:L112)</f>
        <v>652836227.46495485</v>
      </c>
      <c r="M113" s="428"/>
      <c r="N113" s="428">
        <f>SUMIF(A6:A112,"VT",N6:N112)</f>
        <v>711539651.13550603</v>
      </c>
      <c r="O113" s="428"/>
      <c r="P113" s="428">
        <f>SUMIF(A6:A112,"VT",P6:P112)</f>
        <v>58703423.670551248</v>
      </c>
      <c r="Q113" s="428"/>
      <c r="R113" s="428"/>
      <c r="S113" s="428">
        <f>SUMIF(A6:A112,"VT",S6:S112)</f>
        <v>711539651.13550603</v>
      </c>
      <c r="T113" s="428"/>
      <c r="U113" s="428">
        <f>SUMIF(A6:A112,"VT",U6:U112)</f>
        <v>0</v>
      </c>
      <c r="V113" s="428"/>
      <c r="W113" s="428">
        <f>SUMIF(A6:A112,"VT",W6:W112)</f>
        <v>0</v>
      </c>
      <c r="X113" s="428"/>
      <c r="Y113" s="428">
        <f>SUMIF(A6:A112,"VT",Y6:Y112)</f>
        <v>711539651.13550603</v>
      </c>
      <c r="Z113" s="428"/>
      <c r="AA113" s="428">
        <f>SUMIF(A6:A112,"VT",AA6:AA112)</f>
        <v>58703423.670551248</v>
      </c>
    </row>
    <row r="114" spans="1:27">
      <c r="A114" s="360"/>
      <c r="B114" s="360"/>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row>
  </sheetData>
  <mergeCells count="28">
    <mergeCell ref="A1:AA1"/>
    <mergeCell ref="A2:AA2"/>
    <mergeCell ref="A3:AA3"/>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Z4:Z5"/>
    <mergeCell ref="AA4:AA5"/>
    <mergeCell ref="U4:U5"/>
    <mergeCell ref="V4:V5"/>
    <mergeCell ref="W4:W5"/>
    <mergeCell ref="X4:X5"/>
    <mergeCell ref="Y4:Y5"/>
  </mergeCells>
  <pageMargins left="0.75" right="0.75" top="0.79" bottom="0.79" header="0.3" footer="0.3"/>
  <pageSetup paperSize="9" orientation="landscape" useFirstPageNumber="1"/>
  <headerFooter>
    <oddFooter>&amp;CTrang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7"/>
  </sheetPr>
  <dimension ref="A1:V13"/>
  <sheetViews>
    <sheetView showZeros="0" topLeftCell="B1" workbookViewId="0">
      <selection activeCell="D9" sqref="D9"/>
    </sheetView>
  </sheetViews>
  <sheetFormatPr defaultColWidth="9.21875" defaultRowHeight="13.8"/>
  <cols>
    <col min="1" max="1" width="9.21875" style="146" hidden="1" customWidth="1"/>
    <col min="2" max="2" width="5" style="146" customWidth="1"/>
    <col min="3" max="3" width="8.21875" style="146" customWidth="1"/>
    <col min="4" max="4" width="33.77734375" style="146" customWidth="1"/>
    <col min="5" max="5" width="7.44140625" style="146" hidden="1" customWidth="1"/>
    <col min="6" max="6" width="6.44140625" style="146" customWidth="1"/>
    <col min="7" max="7" width="9.44140625" style="146" customWidth="1"/>
    <col min="8" max="8" width="9.44140625" style="146" hidden="1" customWidth="1"/>
    <col min="9" max="9" width="9.21875" style="146"/>
    <col min="10" max="10" width="9.44140625" style="146" hidden="1" customWidth="1"/>
    <col min="11" max="11" width="8.44140625" style="146" hidden="1" customWidth="1"/>
    <col min="12" max="12" width="8.44140625" style="146" customWidth="1"/>
    <col min="13" max="13" width="9.21875" style="146"/>
    <col min="14" max="14" width="10.44140625" style="146" customWidth="1"/>
    <col min="15" max="15" width="8.21875" style="146" hidden="1" customWidth="1"/>
    <col min="16" max="16" width="12" style="146" customWidth="1"/>
    <col min="17" max="17" width="10.44140625" style="146" customWidth="1"/>
    <col min="18" max="22" width="9.21875" style="146" hidden="1" customWidth="1"/>
    <col min="23" max="16384" width="9.21875" style="146"/>
  </cols>
  <sheetData>
    <row r="1" spans="1:17" ht="17.399999999999999">
      <c r="A1" s="935" t="s">
        <v>902</v>
      </c>
      <c r="B1" s="935" t="s">
        <v>902</v>
      </c>
      <c r="C1" s="935" t="s">
        <v>902</v>
      </c>
      <c r="D1" s="935" t="s">
        <v>902</v>
      </c>
      <c r="E1" s="935" t="s">
        <v>902</v>
      </c>
      <c r="F1" s="935" t="s">
        <v>902</v>
      </c>
      <c r="G1" s="935" t="s">
        <v>902</v>
      </c>
      <c r="H1" s="935" t="s">
        <v>902</v>
      </c>
      <c r="I1" s="935" t="s">
        <v>902</v>
      </c>
      <c r="J1" s="935" t="s">
        <v>902</v>
      </c>
      <c r="K1" s="935" t="s">
        <v>902</v>
      </c>
      <c r="L1" s="935" t="s">
        <v>902</v>
      </c>
      <c r="M1" s="935" t="s">
        <v>902</v>
      </c>
      <c r="N1" s="935" t="s">
        <v>902</v>
      </c>
      <c r="O1" s="935" t="s">
        <v>902</v>
      </c>
      <c r="P1" s="935" t="s">
        <v>902</v>
      </c>
      <c r="Q1" s="935" t="s">
        <v>902</v>
      </c>
    </row>
    <row r="2" spans="1:17">
      <c r="A2" s="937" t="s">
        <v>762</v>
      </c>
      <c r="B2" s="937" t="s">
        <v>762</v>
      </c>
      <c r="C2" s="937" t="s">
        <v>762</v>
      </c>
      <c r="D2" s="937" t="s">
        <v>762</v>
      </c>
      <c r="E2" s="937" t="s">
        <v>762</v>
      </c>
      <c r="F2" s="937" t="s">
        <v>762</v>
      </c>
      <c r="G2" s="937" t="s">
        <v>762</v>
      </c>
      <c r="H2" s="937" t="s">
        <v>762</v>
      </c>
      <c r="I2" s="937" t="s">
        <v>762</v>
      </c>
      <c r="J2" s="937" t="s">
        <v>762</v>
      </c>
      <c r="K2" s="937" t="s">
        <v>762</v>
      </c>
      <c r="L2" s="937" t="s">
        <v>762</v>
      </c>
      <c r="M2" s="937" t="s">
        <v>762</v>
      </c>
      <c r="N2" s="937" t="s">
        <v>762</v>
      </c>
      <c r="O2" s="937" t="s">
        <v>762</v>
      </c>
      <c r="P2" s="937" t="s">
        <v>762</v>
      </c>
      <c r="Q2" s="937" t="s">
        <v>762</v>
      </c>
    </row>
    <row r="3" spans="1:17">
      <c r="A3" s="938" t="s">
        <v>763</v>
      </c>
      <c r="B3" s="938" t="s">
        <v>763</v>
      </c>
      <c r="C3" s="938" t="s">
        <v>763</v>
      </c>
      <c r="D3" s="938" t="s">
        <v>763</v>
      </c>
      <c r="E3" s="938" t="s">
        <v>763</v>
      </c>
      <c r="F3" s="938" t="s">
        <v>763</v>
      </c>
      <c r="G3" s="938" t="s">
        <v>763</v>
      </c>
      <c r="H3" s="938" t="s">
        <v>763</v>
      </c>
      <c r="I3" s="938" t="s">
        <v>763</v>
      </c>
      <c r="J3" s="938" t="s">
        <v>763</v>
      </c>
      <c r="K3" s="938" t="s">
        <v>763</v>
      </c>
      <c r="L3" s="938" t="s">
        <v>763</v>
      </c>
      <c r="M3" s="938" t="s">
        <v>763</v>
      </c>
      <c r="N3" s="938" t="s">
        <v>763</v>
      </c>
      <c r="O3" s="938" t="s">
        <v>763</v>
      </c>
      <c r="P3" s="938" t="s">
        <v>763</v>
      </c>
      <c r="Q3" s="938" t="s">
        <v>763</v>
      </c>
    </row>
    <row r="4" spans="1:17">
      <c r="C4" s="221"/>
      <c r="P4" s="445"/>
      <c r="Q4" s="446">
        <v>0</v>
      </c>
    </row>
    <row r="5" spans="1:17">
      <c r="B5" s="439">
        <v>26</v>
      </c>
      <c r="C5" s="221"/>
      <c r="P5" s="445"/>
      <c r="Q5" s="446">
        <v>0</v>
      </c>
    </row>
    <row r="6" spans="1:17">
      <c r="B6" s="969" t="s">
        <v>5</v>
      </c>
      <c r="C6" s="972" t="s">
        <v>903</v>
      </c>
      <c r="D6" s="969" t="s">
        <v>894</v>
      </c>
      <c r="E6" s="969" t="s">
        <v>594</v>
      </c>
      <c r="F6" s="969" t="s">
        <v>904</v>
      </c>
      <c r="G6" s="969" t="s">
        <v>905</v>
      </c>
      <c r="H6" s="939" t="s">
        <v>906</v>
      </c>
      <c r="I6" s="939"/>
      <c r="J6" s="939"/>
      <c r="K6" s="939"/>
      <c r="L6" s="939"/>
      <c r="M6" s="939"/>
      <c r="N6" s="939"/>
      <c r="O6" s="939"/>
      <c r="P6" s="969" t="s">
        <v>907</v>
      </c>
      <c r="Q6" s="969" t="s">
        <v>908</v>
      </c>
    </row>
    <row r="7" spans="1:17" ht="29.25" customHeight="1">
      <c r="B7" s="970"/>
      <c r="C7" s="973"/>
      <c r="D7" s="970"/>
      <c r="E7" s="970"/>
      <c r="F7" s="970"/>
      <c r="G7" s="970"/>
      <c r="H7" s="152" t="s">
        <v>909</v>
      </c>
      <c r="I7" s="152" t="s">
        <v>910</v>
      </c>
      <c r="J7" s="152" t="s">
        <v>911</v>
      </c>
      <c r="K7" s="152" t="s">
        <v>912</v>
      </c>
      <c r="L7" s="152" t="s">
        <v>913</v>
      </c>
      <c r="M7" s="152" t="s">
        <v>914</v>
      </c>
      <c r="N7" s="152" t="s">
        <v>915</v>
      </c>
      <c r="O7" s="152" t="s">
        <v>916</v>
      </c>
      <c r="P7" s="970"/>
      <c r="Q7" s="970"/>
    </row>
    <row r="8" spans="1:17">
      <c r="B8" s="971"/>
      <c r="C8" s="974"/>
      <c r="D8" s="971"/>
      <c r="E8" s="971"/>
      <c r="F8" s="971"/>
      <c r="G8" s="971"/>
      <c r="H8" s="440"/>
      <c r="I8" s="440"/>
      <c r="J8" s="440"/>
      <c r="K8" s="440"/>
      <c r="L8" s="440"/>
      <c r="M8" s="440"/>
      <c r="N8" s="440"/>
      <c r="O8" s="440"/>
      <c r="P8" s="971"/>
      <c r="Q8" s="971"/>
    </row>
    <row r="9" spans="1:17">
      <c r="A9" s="222"/>
      <c r="B9" s="223">
        <v>1</v>
      </c>
      <c r="C9" s="441" t="s">
        <v>598</v>
      </c>
      <c r="D9" s="222" t="s">
        <v>793</v>
      </c>
      <c r="E9" s="222" t="s">
        <v>895</v>
      </c>
      <c r="F9" s="442"/>
      <c r="G9" s="280">
        <f>F9*Q5</f>
        <v>0</v>
      </c>
      <c r="H9" s="280">
        <f>H8*Q4</f>
        <v>0</v>
      </c>
      <c r="I9" s="280">
        <f>I8*Q4</f>
        <v>0</v>
      </c>
      <c r="J9" s="280">
        <f>J8*Q4</f>
        <v>0</v>
      </c>
      <c r="K9" s="280">
        <f>K8*Q4</f>
        <v>0</v>
      </c>
      <c r="L9" s="280">
        <f>G9*L8</f>
        <v>0</v>
      </c>
      <c r="M9" s="280">
        <f>G9*M8</f>
        <v>0</v>
      </c>
      <c r="N9" s="280">
        <f>G9*N8</f>
        <v>0</v>
      </c>
      <c r="O9" s="280">
        <f>G9*O8</f>
        <v>0</v>
      </c>
      <c r="P9" s="280">
        <f t="shared" ref="P9:P13" si="0">SUM(G9:O9)</f>
        <v>0</v>
      </c>
      <c r="Q9" s="280">
        <f>ROUND(P9/B5,0)</f>
        <v>0</v>
      </c>
    </row>
    <row r="10" spans="1:17">
      <c r="A10" s="287"/>
      <c r="B10" s="389">
        <v>2</v>
      </c>
      <c r="C10" s="443" t="s">
        <v>601</v>
      </c>
      <c r="D10" s="287" t="s">
        <v>896</v>
      </c>
      <c r="E10" s="287" t="s">
        <v>895</v>
      </c>
      <c r="F10" s="402"/>
      <c r="G10" s="284">
        <f>F10*Q5</f>
        <v>0</v>
      </c>
      <c r="H10" s="284">
        <f>H8*Q4</f>
        <v>0</v>
      </c>
      <c r="I10" s="284">
        <f>I8*Q4</f>
        <v>0</v>
      </c>
      <c r="J10" s="284">
        <f>J8*Q4</f>
        <v>0</v>
      </c>
      <c r="K10" s="284">
        <f>K8*Q4</f>
        <v>0</v>
      </c>
      <c r="L10" s="284">
        <f>G10*L8</f>
        <v>0</v>
      </c>
      <c r="M10" s="284">
        <f>G10*M8</f>
        <v>0</v>
      </c>
      <c r="N10" s="284">
        <f>G10*N8</f>
        <v>0</v>
      </c>
      <c r="O10" s="284">
        <f>G10*O8</f>
        <v>0</v>
      </c>
      <c r="P10" s="284">
        <f t="shared" si="0"/>
        <v>0</v>
      </c>
      <c r="Q10" s="284">
        <f>ROUND(P10/B5,0)</f>
        <v>0</v>
      </c>
    </row>
    <row r="11" spans="1:17">
      <c r="A11" s="287"/>
      <c r="B11" s="389">
        <v>3</v>
      </c>
      <c r="C11" s="443" t="s">
        <v>605</v>
      </c>
      <c r="D11" s="287" t="s">
        <v>897</v>
      </c>
      <c r="E11" s="287" t="s">
        <v>895</v>
      </c>
      <c r="F11" s="402"/>
      <c r="G11" s="284">
        <f>F11*Q5</f>
        <v>0</v>
      </c>
      <c r="H11" s="284">
        <f>H8*Q4</f>
        <v>0</v>
      </c>
      <c r="I11" s="284">
        <f>I8*Q4</f>
        <v>0</v>
      </c>
      <c r="J11" s="284">
        <f>J8*Q4</f>
        <v>0</v>
      </c>
      <c r="K11" s="284">
        <f>K8*Q4</f>
        <v>0</v>
      </c>
      <c r="L11" s="284">
        <f>G11*L8</f>
        <v>0</v>
      </c>
      <c r="M11" s="284">
        <f>G11*M8</f>
        <v>0</v>
      </c>
      <c r="N11" s="284">
        <f>G11*N8</f>
        <v>0</v>
      </c>
      <c r="O11" s="284">
        <f>G11*O8</f>
        <v>0</v>
      </c>
      <c r="P11" s="284">
        <f t="shared" si="0"/>
        <v>0</v>
      </c>
      <c r="Q11" s="284">
        <f>ROUND(P11/B5,0)</f>
        <v>0</v>
      </c>
    </row>
    <row r="12" spans="1:17">
      <c r="A12" s="287"/>
      <c r="B12" s="389">
        <v>4</v>
      </c>
      <c r="C12" s="443" t="s">
        <v>622</v>
      </c>
      <c r="D12" s="287" t="s">
        <v>898</v>
      </c>
      <c r="E12" s="287" t="s">
        <v>895</v>
      </c>
      <c r="F12" s="402"/>
      <c r="G12" s="284">
        <f>F12*Q5</f>
        <v>0</v>
      </c>
      <c r="H12" s="284">
        <f>H8*Q4</f>
        <v>0</v>
      </c>
      <c r="I12" s="284">
        <f>I8*Q4</f>
        <v>0</v>
      </c>
      <c r="J12" s="284">
        <f>J8*Q4</f>
        <v>0</v>
      </c>
      <c r="K12" s="284">
        <f>K8*Q4</f>
        <v>0</v>
      </c>
      <c r="L12" s="284">
        <f>G12*L8</f>
        <v>0</v>
      </c>
      <c r="M12" s="284">
        <f>G12*M8</f>
        <v>0</v>
      </c>
      <c r="N12" s="284">
        <f>G12*N8</f>
        <v>0</v>
      </c>
      <c r="O12" s="284">
        <f>G12*O8</f>
        <v>0</v>
      </c>
      <c r="P12" s="284">
        <f t="shared" si="0"/>
        <v>0</v>
      </c>
      <c r="Q12" s="284">
        <f>ROUND(P12/B5,0)</f>
        <v>0</v>
      </c>
    </row>
    <row r="13" spans="1:17">
      <c r="A13" s="288"/>
      <c r="B13" s="407">
        <v>5</v>
      </c>
      <c r="C13" s="444" t="s">
        <v>629</v>
      </c>
      <c r="D13" s="288" t="s">
        <v>899</v>
      </c>
      <c r="E13" s="288" t="s">
        <v>895</v>
      </c>
      <c r="F13" s="409"/>
      <c r="G13" s="286">
        <f>F13*Q5</f>
        <v>0</v>
      </c>
      <c r="H13" s="286">
        <f>H8*Q4</f>
        <v>0</v>
      </c>
      <c r="I13" s="286">
        <f>I8*Q4</f>
        <v>0</v>
      </c>
      <c r="J13" s="286">
        <f>J8*Q4</f>
        <v>0</v>
      </c>
      <c r="K13" s="286">
        <f>K8*Q4</f>
        <v>0</v>
      </c>
      <c r="L13" s="286">
        <f>G13*L8</f>
        <v>0</v>
      </c>
      <c r="M13" s="286">
        <f>G13*M8</f>
        <v>0</v>
      </c>
      <c r="N13" s="286">
        <f>G13*N8</f>
        <v>0</v>
      </c>
      <c r="O13" s="286">
        <f>G13*O8</f>
        <v>0</v>
      </c>
      <c r="P13" s="286">
        <f t="shared" si="0"/>
        <v>0</v>
      </c>
      <c r="Q13" s="286">
        <f>ROUND(P13/B5,0)</f>
        <v>0</v>
      </c>
    </row>
  </sheetData>
  <mergeCells count="12">
    <mergeCell ref="A1:Q1"/>
    <mergeCell ref="A2:Q2"/>
    <mergeCell ref="A3:Q3"/>
    <mergeCell ref="H6:O6"/>
    <mergeCell ref="B6:B8"/>
    <mergeCell ref="C6:C8"/>
    <mergeCell ref="D6:D8"/>
    <mergeCell ref="E6:E8"/>
    <mergeCell ref="F6:F8"/>
    <mergeCell ref="G6:G8"/>
    <mergeCell ref="P6:P8"/>
    <mergeCell ref="Q6:Q8"/>
  </mergeCells>
  <pageMargins left="1.18" right="0.59" top="0.79" bottom="0.79" header="0.3" footer="0.3"/>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5"/>
  </sheetPr>
  <dimension ref="A1:O44"/>
  <sheetViews>
    <sheetView showZeros="0" topLeftCell="B1" workbookViewId="0">
      <selection activeCell="O5" sqref="O5"/>
    </sheetView>
  </sheetViews>
  <sheetFormatPr defaultColWidth="9.21875" defaultRowHeight="13.8"/>
  <cols>
    <col min="1" max="1" width="2.44140625" style="146" hidden="1" customWidth="1"/>
    <col min="2" max="2" width="4.44140625" style="146" customWidth="1"/>
    <col min="3" max="3" width="8.44140625" style="146" customWidth="1"/>
    <col min="4" max="4" width="9.44140625" style="146" hidden="1" customWidth="1"/>
    <col min="5" max="5" width="35.77734375" style="146" customWidth="1"/>
    <col min="6" max="6" width="9.44140625" style="146" customWidth="1"/>
    <col min="7" max="7" width="15.44140625" style="146" customWidth="1"/>
    <col min="8" max="8" width="17.44140625" style="146" hidden="1" customWidth="1"/>
    <col min="9" max="9" width="10.44140625" style="146" hidden="1" customWidth="1"/>
    <col min="10" max="10" width="13.21875" style="146" hidden="1" customWidth="1"/>
    <col min="11" max="11" width="9.44140625" style="146" hidden="1" customWidth="1"/>
    <col min="12" max="12" width="9" style="146" hidden="1" customWidth="1"/>
    <col min="13" max="13" width="12.44140625" style="146" hidden="1" customWidth="1"/>
    <col min="14" max="14" width="12.77734375" style="146" hidden="1" customWidth="1"/>
    <col min="15" max="15" width="15.44140625" style="146" customWidth="1"/>
    <col min="16" max="16384" width="9.21875" style="146"/>
  </cols>
  <sheetData>
    <row r="1" spans="1:15" ht="17.399999999999999">
      <c r="B1" s="935" t="s">
        <v>917</v>
      </c>
      <c r="C1" s="935"/>
      <c r="D1" s="935"/>
      <c r="E1" s="935"/>
      <c r="F1" s="935"/>
      <c r="G1" s="935"/>
      <c r="H1" s="935"/>
      <c r="I1" s="935"/>
      <c r="J1" s="935"/>
      <c r="K1" s="935"/>
      <c r="L1" s="935"/>
      <c r="M1" s="935"/>
      <c r="N1" s="935"/>
      <c r="O1" s="935"/>
    </row>
    <row r="2" spans="1:15">
      <c r="B2" s="967" t="s">
        <v>918</v>
      </c>
      <c r="C2" s="967"/>
      <c r="D2" s="967"/>
      <c r="E2" s="967"/>
      <c r="F2" s="967"/>
      <c r="G2" s="967"/>
      <c r="H2" s="967"/>
      <c r="I2" s="967"/>
      <c r="J2" s="967"/>
      <c r="K2" s="967"/>
      <c r="L2" s="967"/>
      <c r="M2" s="967"/>
      <c r="N2" s="967"/>
      <c r="O2" s="967"/>
    </row>
    <row r="3" spans="1:15">
      <c r="B3" s="975" t="s">
        <v>685</v>
      </c>
      <c r="C3" s="975"/>
      <c r="D3" s="975"/>
      <c r="E3" s="975"/>
      <c r="F3" s="975"/>
      <c r="G3" s="975"/>
      <c r="H3" s="975"/>
      <c r="I3" s="975"/>
      <c r="J3" s="975"/>
      <c r="K3" s="975"/>
      <c r="L3" s="975"/>
      <c r="M3" s="975"/>
      <c r="N3" s="975"/>
      <c r="O3" s="975"/>
    </row>
    <row r="4" spans="1:15" ht="20.25" customHeight="1">
      <c r="B4" s="429" t="s">
        <v>5</v>
      </c>
      <c r="C4" s="429" t="s">
        <v>893</v>
      </c>
      <c r="D4" s="429"/>
      <c r="E4" s="429" t="s">
        <v>919</v>
      </c>
      <c r="F4" s="429" t="s">
        <v>322</v>
      </c>
      <c r="G4" s="429" t="s">
        <v>687</v>
      </c>
      <c r="H4" s="429" t="s">
        <v>920</v>
      </c>
      <c r="I4" s="429" t="s">
        <v>596</v>
      </c>
      <c r="J4" s="429" t="s">
        <v>689</v>
      </c>
      <c r="K4" s="429" t="s">
        <v>921</v>
      </c>
      <c r="L4" s="429" t="s">
        <v>922</v>
      </c>
      <c r="M4" s="429" t="s">
        <v>923</v>
      </c>
      <c r="N4" s="429" t="s">
        <v>924</v>
      </c>
      <c r="O4" s="429" t="s">
        <v>697</v>
      </c>
    </row>
    <row r="5" spans="1:15">
      <c r="A5" s="222"/>
      <c r="B5" s="223">
        <v>1</v>
      </c>
      <c r="C5" s="222" t="s">
        <v>673</v>
      </c>
      <c r="D5" s="222"/>
      <c r="E5" s="222" t="s">
        <v>925</v>
      </c>
      <c r="F5" s="223" t="s">
        <v>926</v>
      </c>
      <c r="G5" s="430">
        <v>21146.666666666701</v>
      </c>
      <c r="H5" s="431">
        <v>21147</v>
      </c>
      <c r="I5" s="436">
        <v>1</v>
      </c>
      <c r="J5" s="280">
        <f t="shared" ref="J5:J44" si="0">H5*I5</f>
        <v>21147</v>
      </c>
      <c r="K5" s="280">
        <v>0</v>
      </c>
      <c r="L5" s="280">
        <v>0</v>
      </c>
      <c r="M5" s="280">
        <v>0</v>
      </c>
      <c r="N5" s="280">
        <f t="shared" ref="N5:N44" si="1">SUM(K5:M5)</f>
        <v>0</v>
      </c>
      <c r="O5" s="280">
        <f>'7.Tính giá CM'!J6</f>
        <v>21146.666666666668</v>
      </c>
    </row>
    <row r="6" spans="1:15">
      <c r="A6" s="287"/>
      <c r="B6" s="389">
        <v>2</v>
      </c>
      <c r="C6" s="287" t="s">
        <v>665</v>
      </c>
      <c r="D6" s="287"/>
      <c r="E6" s="287" t="s">
        <v>927</v>
      </c>
      <c r="F6" s="389" t="s">
        <v>926</v>
      </c>
      <c r="G6" s="395">
        <v>1532614.2333333299</v>
      </c>
      <c r="H6" s="432">
        <v>1627656</v>
      </c>
      <c r="I6" s="437">
        <v>1</v>
      </c>
      <c r="J6" s="284">
        <f t="shared" si="0"/>
        <v>1627656</v>
      </c>
      <c r="K6" s="284">
        <v>0</v>
      </c>
      <c r="L6" s="284">
        <v>0</v>
      </c>
      <c r="M6" s="284">
        <v>0</v>
      </c>
      <c r="N6" s="284">
        <f t="shared" si="1"/>
        <v>0</v>
      </c>
      <c r="O6" s="284">
        <f>'7.Tính giá CM'!J13</f>
        <v>1611810.0333333332</v>
      </c>
    </row>
    <row r="7" spans="1:15">
      <c r="A7" s="287"/>
      <c r="B7" s="389">
        <v>3</v>
      </c>
      <c r="C7" s="287" t="s">
        <v>660</v>
      </c>
      <c r="D7" s="287"/>
      <c r="E7" s="287" t="s">
        <v>928</v>
      </c>
      <c r="F7" s="389" t="s">
        <v>926</v>
      </c>
      <c r="G7" s="395">
        <v>1963068.6973333301</v>
      </c>
      <c r="H7" s="432">
        <v>2088524</v>
      </c>
      <c r="I7" s="437">
        <v>1</v>
      </c>
      <c r="J7" s="284">
        <f t="shared" si="0"/>
        <v>2088524</v>
      </c>
      <c r="K7" s="284">
        <v>0</v>
      </c>
      <c r="L7" s="284">
        <v>0</v>
      </c>
      <c r="M7" s="284">
        <v>0</v>
      </c>
      <c r="N7" s="284">
        <f t="shared" si="1"/>
        <v>0</v>
      </c>
      <c r="O7" s="284">
        <f>'7.Tính giá CM'!J23</f>
        <v>2048480.7533333334</v>
      </c>
    </row>
    <row r="8" spans="1:15">
      <c r="A8" s="287"/>
      <c r="B8" s="389">
        <v>4</v>
      </c>
      <c r="C8" s="287" t="s">
        <v>637</v>
      </c>
      <c r="D8" s="287"/>
      <c r="E8" s="287" t="s">
        <v>929</v>
      </c>
      <c r="F8" s="389" t="s">
        <v>926</v>
      </c>
      <c r="G8" s="395">
        <v>469142.142666667</v>
      </c>
      <c r="H8" s="432">
        <v>478341</v>
      </c>
      <c r="I8" s="437">
        <v>1</v>
      </c>
      <c r="J8" s="284">
        <f t="shared" si="0"/>
        <v>478341</v>
      </c>
      <c r="K8" s="284">
        <v>0</v>
      </c>
      <c r="L8" s="284">
        <v>0</v>
      </c>
      <c r="M8" s="284">
        <v>0</v>
      </c>
      <c r="N8" s="284">
        <f t="shared" si="1"/>
        <v>0</v>
      </c>
      <c r="O8" s="284">
        <f>'7.Tính giá CM'!J33</f>
        <v>491957.28666666668</v>
      </c>
    </row>
    <row r="9" spans="1:15">
      <c r="A9" s="287"/>
      <c r="B9" s="389">
        <v>5</v>
      </c>
      <c r="C9" s="287" t="s">
        <v>633</v>
      </c>
      <c r="D9" s="287"/>
      <c r="E9" s="287" t="s">
        <v>930</v>
      </c>
      <c r="F9" s="389" t="s">
        <v>926</v>
      </c>
      <c r="G9" s="395">
        <v>263524.69340666698</v>
      </c>
      <c r="H9" s="433">
        <v>262996</v>
      </c>
      <c r="I9" s="437">
        <v>1</v>
      </c>
      <c r="J9" s="284">
        <f t="shared" si="0"/>
        <v>262996</v>
      </c>
      <c r="K9" s="284">
        <v>0</v>
      </c>
      <c r="L9" s="284">
        <v>0</v>
      </c>
      <c r="M9" s="284">
        <v>0</v>
      </c>
      <c r="N9" s="284">
        <f t="shared" si="1"/>
        <v>0</v>
      </c>
      <c r="O9" s="284">
        <f>'7.Tính giá CM'!J42</f>
        <v>286284.61192166666</v>
      </c>
    </row>
    <row r="10" spans="1:15">
      <c r="A10" s="287"/>
      <c r="B10" s="389">
        <v>6</v>
      </c>
      <c r="C10" s="287" t="s">
        <v>624</v>
      </c>
      <c r="D10" s="287"/>
      <c r="E10" s="287" t="s">
        <v>931</v>
      </c>
      <c r="F10" s="389" t="s">
        <v>926</v>
      </c>
      <c r="G10" s="395">
        <v>254878.35930000001</v>
      </c>
      <c r="H10" s="433">
        <v>254585</v>
      </c>
      <c r="I10" s="437">
        <v>1</v>
      </c>
      <c r="J10" s="284">
        <f t="shared" si="0"/>
        <v>254585</v>
      </c>
      <c r="K10" s="284">
        <v>0</v>
      </c>
      <c r="L10" s="284">
        <v>0</v>
      </c>
      <c r="M10" s="284">
        <v>0</v>
      </c>
      <c r="N10" s="284">
        <f t="shared" si="1"/>
        <v>0</v>
      </c>
      <c r="O10" s="284">
        <f>'7.Tính giá CM'!J51</f>
        <v>276870.75847500004</v>
      </c>
    </row>
    <row r="11" spans="1:15">
      <c r="A11" s="287"/>
      <c r="B11" s="389">
        <v>7</v>
      </c>
      <c r="C11" s="287" t="s">
        <v>676</v>
      </c>
      <c r="D11" s="287"/>
      <c r="E11" s="287" t="s">
        <v>932</v>
      </c>
      <c r="F11" s="389" t="s">
        <v>926</v>
      </c>
      <c r="G11" s="395">
        <v>353771.75799999997</v>
      </c>
      <c r="H11" s="432">
        <v>358371</v>
      </c>
      <c r="I11" s="437">
        <v>1</v>
      </c>
      <c r="J11" s="284">
        <f t="shared" si="0"/>
        <v>358371</v>
      </c>
      <c r="K11" s="284">
        <v>0</v>
      </c>
      <c r="L11" s="284">
        <v>0</v>
      </c>
      <c r="M11" s="284">
        <v>0</v>
      </c>
      <c r="N11" s="284">
        <f t="shared" si="1"/>
        <v>0</v>
      </c>
      <c r="O11" s="284">
        <f>'7.Tính giá CM'!J60</f>
        <v>375695.83</v>
      </c>
    </row>
    <row r="12" spans="1:15">
      <c r="A12" s="287"/>
      <c r="B12" s="389">
        <v>8</v>
      </c>
      <c r="C12" s="287" t="s">
        <v>625</v>
      </c>
      <c r="D12" s="287"/>
      <c r="E12" s="287" t="s">
        <v>933</v>
      </c>
      <c r="F12" s="389" t="s">
        <v>926</v>
      </c>
      <c r="G12" s="395">
        <v>258903.14301999999</v>
      </c>
      <c r="H12" s="433">
        <v>258492</v>
      </c>
      <c r="I12" s="437">
        <v>1</v>
      </c>
      <c r="J12" s="284">
        <f t="shared" si="0"/>
        <v>258492</v>
      </c>
      <c r="K12" s="284">
        <v>0</v>
      </c>
      <c r="L12" s="284">
        <v>0</v>
      </c>
      <c r="M12" s="284">
        <v>0</v>
      </c>
      <c r="N12" s="284">
        <f t="shared" si="1"/>
        <v>0</v>
      </c>
      <c r="O12" s="284">
        <f>'7.Tính giá CM'!J69</f>
        <v>281279.30186500004</v>
      </c>
    </row>
    <row r="13" spans="1:15">
      <c r="A13" s="287"/>
      <c r="B13" s="389">
        <v>9</v>
      </c>
      <c r="C13" s="287" t="s">
        <v>675</v>
      </c>
      <c r="D13" s="287"/>
      <c r="E13" s="287" t="s">
        <v>934</v>
      </c>
      <c r="F13" s="389" t="s">
        <v>926</v>
      </c>
      <c r="G13" s="395">
        <v>2469839.2450000001</v>
      </c>
      <c r="H13" s="432">
        <v>2716948</v>
      </c>
      <c r="I13" s="437">
        <v>1</v>
      </c>
      <c r="J13" s="284">
        <f t="shared" si="0"/>
        <v>2716948</v>
      </c>
      <c r="K13" s="284">
        <v>0</v>
      </c>
      <c r="L13" s="284">
        <v>0</v>
      </c>
      <c r="M13" s="284">
        <v>0</v>
      </c>
      <c r="N13" s="284">
        <f t="shared" si="1"/>
        <v>0</v>
      </c>
      <c r="O13" s="284">
        <f>'7.Tính giá CM'!J78</f>
        <v>2545313.3250000002</v>
      </c>
    </row>
    <row r="14" spans="1:15">
      <c r="A14" s="287"/>
      <c r="B14" s="389">
        <v>10</v>
      </c>
      <c r="C14" s="287" t="s">
        <v>599</v>
      </c>
      <c r="D14" s="287"/>
      <c r="E14" s="287" t="s">
        <v>935</v>
      </c>
      <c r="F14" s="389" t="s">
        <v>926</v>
      </c>
      <c r="G14" s="395">
        <v>3407481.1497142902</v>
      </c>
      <c r="H14" s="432">
        <v>3723020</v>
      </c>
      <c r="I14" s="437">
        <v>1</v>
      </c>
      <c r="J14" s="284">
        <f t="shared" si="0"/>
        <v>3723020</v>
      </c>
      <c r="K14" s="284">
        <v>0</v>
      </c>
      <c r="L14" s="284">
        <v>0</v>
      </c>
      <c r="M14" s="284">
        <v>0</v>
      </c>
      <c r="N14" s="284">
        <f t="shared" si="1"/>
        <v>0</v>
      </c>
      <c r="O14" s="284">
        <f>'7.Tính giá CM'!J87</f>
        <v>3496941.8057142859</v>
      </c>
    </row>
    <row r="15" spans="1:15">
      <c r="A15" s="287"/>
      <c r="B15" s="389">
        <v>11</v>
      </c>
      <c r="C15" s="287" t="s">
        <v>602</v>
      </c>
      <c r="D15" s="287"/>
      <c r="E15" s="287" t="s">
        <v>936</v>
      </c>
      <c r="F15" s="389" t="s">
        <v>926</v>
      </c>
      <c r="G15" s="395">
        <v>4171676.4040000001</v>
      </c>
      <c r="H15" s="432">
        <v>4601266</v>
      </c>
      <c r="I15" s="437">
        <v>1</v>
      </c>
      <c r="J15" s="284">
        <f t="shared" si="0"/>
        <v>4601266</v>
      </c>
      <c r="K15" s="284">
        <v>0</v>
      </c>
      <c r="L15" s="284">
        <v>0</v>
      </c>
      <c r="M15" s="284">
        <v>0</v>
      </c>
      <c r="N15" s="284">
        <f t="shared" si="1"/>
        <v>0</v>
      </c>
      <c r="O15" s="284">
        <f>'7.Tính giá CM'!J96</f>
        <v>4284448.0199999996</v>
      </c>
    </row>
    <row r="16" spans="1:15">
      <c r="A16" s="287"/>
      <c r="B16" s="389">
        <v>12</v>
      </c>
      <c r="C16" s="287" t="s">
        <v>630</v>
      </c>
      <c r="D16" s="287"/>
      <c r="E16" s="287" t="s">
        <v>937</v>
      </c>
      <c r="F16" s="389" t="s">
        <v>926</v>
      </c>
      <c r="G16" s="395">
        <v>392808.80927999999</v>
      </c>
      <c r="H16" s="433">
        <v>389990</v>
      </c>
      <c r="I16" s="437">
        <v>1</v>
      </c>
      <c r="J16" s="284">
        <f t="shared" si="0"/>
        <v>389990</v>
      </c>
      <c r="K16" s="284">
        <v>0</v>
      </c>
      <c r="L16" s="284">
        <v>0</v>
      </c>
      <c r="M16" s="284">
        <v>0</v>
      </c>
      <c r="N16" s="284">
        <f t="shared" si="1"/>
        <v>0</v>
      </c>
      <c r="O16" s="284">
        <f>'7.Tính giá CM'!J105</f>
        <v>426986.04135999997</v>
      </c>
    </row>
    <row r="17" spans="1:15">
      <c r="A17" s="287"/>
      <c r="B17" s="389">
        <v>13</v>
      </c>
      <c r="C17" s="287" t="s">
        <v>609</v>
      </c>
      <c r="D17" s="287"/>
      <c r="E17" s="287" t="s">
        <v>938</v>
      </c>
      <c r="F17" s="389" t="s">
        <v>926</v>
      </c>
      <c r="G17" s="395">
        <v>1086987.4154074099</v>
      </c>
      <c r="H17" s="433">
        <v>0</v>
      </c>
      <c r="I17" s="437">
        <v>1</v>
      </c>
      <c r="J17" s="284">
        <f t="shared" si="0"/>
        <v>0</v>
      </c>
      <c r="K17" s="284">
        <v>0</v>
      </c>
      <c r="L17" s="284">
        <v>0</v>
      </c>
      <c r="M17" s="284">
        <v>0</v>
      </c>
      <c r="N17" s="284">
        <f t="shared" si="1"/>
        <v>0</v>
      </c>
      <c r="O17" s="284">
        <f>'7.Tính giá CM'!J114</f>
        <v>1132157.2474074075</v>
      </c>
    </row>
    <row r="18" spans="1:15">
      <c r="A18" s="287"/>
      <c r="B18" s="389">
        <v>14</v>
      </c>
      <c r="C18" s="287" t="s">
        <v>609</v>
      </c>
      <c r="D18" s="287"/>
      <c r="E18" s="287" t="s">
        <v>938</v>
      </c>
      <c r="F18" s="389" t="s">
        <v>926</v>
      </c>
      <c r="G18" s="395">
        <v>1086987.4154074099</v>
      </c>
      <c r="H18" s="432">
        <v>1185831</v>
      </c>
      <c r="I18" s="437">
        <v>1</v>
      </c>
      <c r="J18" s="284">
        <f t="shared" si="0"/>
        <v>1185831</v>
      </c>
      <c r="K18" s="284">
        <v>0</v>
      </c>
      <c r="L18" s="284">
        <v>0</v>
      </c>
      <c r="M18" s="284">
        <v>0</v>
      </c>
      <c r="N18" s="284">
        <f t="shared" si="1"/>
        <v>0</v>
      </c>
      <c r="O18" s="284">
        <f>'7.Tính giá CM'!J114</f>
        <v>1132157.2474074075</v>
      </c>
    </row>
    <row r="19" spans="1:15">
      <c r="A19" s="287"/>
      <c r="B19" s="389">
        <v>15</v>
      </c>
      <c r="C19" s="287" t="s">
        <v>607</v>
      </c>
      <c r="D19" s="287"/>
      <c r="E19" s="287" t="s">
        <v>939</v>
      </c>
      <c r="F19" s="389" t="s">
        <v>926</v>
      </c>
      <c r="G19" s="395">
        <v>2717265.9248888898</v>
      </c>
      <c r="H19" s="433">
        <v>0</v>
      </c>
      <c r="I19" s="437">
        <v>1</v>
      </c>
      <c r="J19" s="284">
        <f t="shared" si="0"/>
        <v>0</v>
      </c>
      <c r="K19" s="284">
        <v>0</v>
      </c>
      <c r="L19" s="284">
        <v>0</v>
      </c>
      <c r="M19" s="284">
        <v>0</v>
      </c>
      <c r="N19" s="284">
        <f t="shared" si="1"/>
        <v>0</v>
      </c>
      <c r="O19" s="284">
        <f>'7.Tính giá CM'!J123</f>
        <v>2794294.0688888887</v>
      </c>
    </row>
    <row r="20" spans="1:15">
      <c r="A20" s="287"/>
      <c r="B20" s="389">
        <v>16</v>
      </c>
      <c r="C20" s="287" t="s">
        <v>607</v>
      </c>
      <c r="D20" s="287"/>
      <c r="E20" s="287" t="s">
        <v>939</v>
      </c>
      <c r="F20" s="389" t="s">
        <v>926</v>
      </c>
      <c r="G20" s="395">
        <v>2717265.9248888898</v>
      </c>
      <c r="H20" s="432">
        <v>2971978</v>
      </c>
      <c r="I20" s="437">
        <v>1</v>
      </c>
      <c r="J20" s="284">
        <f t="shared" si="0"/>
        <v>2971978</v>
      </c>
      <c r="K20" s="284">
        <v>0</v>
      </c>
      <c r="L20" s="284">
        <v>0</v>
      </c>
      <c r="M20" s="284">
        <v>0</v>
      </c>
      <c r="N20" s="284">
        <f t="shared" si="1"/>
        <v>0</v>
      </c>
      <c r="O20" s="284">
        <f>'7.Tính giá CM'!J123</f>
        <v>2794294.0688888887</v>
      </c>
    </row>
    <row r="21" spans="1:15">
      <c r="A21" s="287"/>
      <c r="B21" s="389">
        <v>17</v>
      </c>
      <c r="C21" s="287" t="s">
        <v>674</v>
      </c>
      <c r="D21" s="287"/>
      <c r="E21" s="287" t="s">
        <v>940</v>
      </c>
      <c r="F21" s="389" t="s">
        <v>926</v>
      </c>
      <c r="G21" s="395">
        <v>1106055.9022222201</v>
      </c>
      <c r="H21" s="432">
        <v>1239114</v>
      </c>
      <c r="I21" s="437">
        <v>1</v>
      </c>
      <c r="J21" s="284">
        <f t="shared" si="0"/>
        <v>1239114</v>
      </c>
      <c r="K21" s="284">
        <v>0</v>
      </c>
      <c r="L21" s="284">
        <v>0</v>
      </c>
      <c r="M21" s="284">
        <v>0</v>
      </c>
      <c r="N21" s="284">
        <f t="shared" si="1"/>
        <v>0</v>
      </c>
      <c r="O21" s="284">
        <f>'7.Tính giá CM'!J132</f>
        <v>1158219.0222222223</v>
      </c>
    </row>
    <row r="22" spans="1:15">
      <c r="A22" s="287"/>
      <c r="B22" s="389">
        <v>18</v>
      </c>
      <c r="C22" s="287" t="s">
        <v>634</v>
      </c>
      <c r="D22" s="287"/>
      <c r="E22" s="287" t="s">
        <v>941</v>
      </c>
      <c r="F22" s="389" t="s">
        <v>926</v>
      </c>
      <c r="G22" s="395">
        <v>1497158.7093333299</v>
      </c>
      <c r="H22" s="432">
        <v>1675837</v>
      </c>
      <c r="I22" s="437">
        <v>1</v>
      </c>
      <c r="J22" s="284">
        <f t="shared" si="0"/>
        <v>1675837</v>
      </c>
      <c r="K22" s="284">
        <v>0</v>
      </c>
      <c r="L22" s="284">
        <v>0</v>
      </c>
      <c r="M22" s="284">
        <v>0</v>
      </c>
      <c r="N22" s="284">
        <f t="shared" si="1"/>
        <v>0</v>
      </c>
      <c r="O22" s="284">
        <f>'7.Tính giá CM'!J141</f>
        <v>1558646.2133333334</v>
      </c>
    </row>
    <row r="23" spans="1:15">
      <c r="A23" s="287"/>
      <c r="B23" s="389">
        <v>19</v>
      </c>
      <c r="C23" s="287" t="s">
        <v>647</v>
      </c>
      <c r="D23" s="287"/>
      <c r="E23" s="287" t="s">
        <v>942</v>
      </c>
      <c r="F23" s="389" t="s">
        <v>926</v>
      </c>
      <c r="G23" s="395">
        <v>2914031.0426666699</v>
      </c>
      <c r="H23" s="432">
        <v>3130727</v>
      </c>
      <c r="I23" s="437">
        <v>1</v>
      </c>
      <c r="J23" s="284">
        <f t="shared" si="0"/>
        <v>3130727</v>
      </c>
      <c r="K23" s="284">
        <v>0</v>
      </c>
      <c r="L23" s="284">
        <v>0</v>
      </c>
      <c r="M23" s="284">
        <v>0</v>
      </c>
      <c r="N23" s="284">
        <f t="shared" si="1"/>
        <v>0</v>
      </c>
      <c r="O23" s="284">
        <f>'7.Tính giá CM'!J150</f>
        <v>2958321.8666666662</v>
      </c>
    </row>
    <row r="24" spans="1:15">
      <c r="A24" s="287"/>
      <c r="B24" s="389">
        <v>20</v>
      </c>
      <c r="C24" s="287" t="s">
        <v>606</v>
      </c>
      <c r="D24" s="287"/>
      <c r="E24" s="287" t="s">
        <v>943</v>
      </c>
      <c r="F24" s="389" t="s">
        <v>926</v>
      </c>
      <c r="G24" s="395">
        <v>3528139.6955555598</v>
      </c>
      <c r="H24" s="433">
        <v>0</v>
      </c>
      <c r="I24" s="437">
        <v>1</v>
      </c>
      <c r="J24" s="284">
        <f t="shared" si="0"/>
        <v>0</v>
      </c>
      <c r="K24" s="284">
        <v>0</v>
      </c>
      <c r="L24" s="284">
        <v>0</v>
      </c>
      <c r="M24" s="284">
        <v>0</v>
      </c>
      <c r="N24" s="284">
        <f t="shared" si="1"/>
        <v>0</v>
      </c>
      <c r="O24" s="284">
        <f>'7.Tính giá CM'!J160</f>
        <v>3572483.6555555556</v>
      </c>
    </row>
    <row r="25" spans="1:15">
      <c r="A25" s="287"/>
      <c r="B25" s="389">
        <v>21</v>
      </c>
      <c r="C25" s="287" t="s">
        <v>606</v>
      </c>
      <c r="D25" s="287"/>
      <c r="E25" s="287" t="s">
        <v>943</v>
      </c>
      <c r="F25" s="389" t="s">
        <v>926</v>
      </c>
      <c r="G25" s="395">
        <v>3528139.6955555598</v>
      </c>
      <c r="H25" s="432">
        <v>3642190</v>
      </c>
      <c r="I25" s="437">
        <v>1</v>
      </c>
      <c r="J25" s="284">
        <f t="shared" si="0"/>
        <v>3642190</v>
      </c>
      <c r="K25" s="284">
        <v>0</v>
      </c>
      <c r="L25" s="284">
        <v>0</v>
      </c>
      <c r="M25" s="284">
        <v>0</v>
      </c>
      <c r="N25" s="284">
        <f t="shared" si="1"/>
        <v>0</v>
      </c>
      <c r="O25" s="284">
        <f>'7.Tính giá CM'!J160</f>
        <v>3572483.6555555556</v>
      </c>
    </row>
    <row r="26" spans="1:15">
      <c r="A26" s="287"/>
      <c r="B26" s="389">
        <v>22</v>
      </c>
      <c r="C26" s="287" t="s">
        <v>645</v>
      </c>
      <c r="D26" s="287"/>
      <c r="E26" s="287" t="s">
        <v>944</v>
      </c>
      <c r="F26" s="389" t="s">
        <v>926</v>
      </c>
      <c r="G26" s="395">
        <v>1959181.2424347801</v>
      </c>
      <c r="H26" s="432">
        <v>2107447</v>
      </c>
      <c r="I26" s="437">
        <v>1</v>
      </c>
      <c r="J26" s="284">
        <f t="shared" si="0"/>
        <v>2107447</v>
      </c>
      <c r="K26" s="284">
        <v>0</v>
      </c>
      <c r="L26" s="284">
        <v>0</v>
      </c>
      <c r="M26" s="284">
        <v>0</v>
      </c>
      <c r="N26" s="284">
        <f t="shared" si="1"/>
        <v>0</v>
      </c>
      <c r="O26" s="284">
        <f>'7.Tính giá CM'!J170</f>
        <v>1989485.4904347826</v>
      </c>
    </row>
    <row r="27" spans="1:15">
      <c r="A27" s="287"/>
      <c r="B27" s="389">
        <v>23</v>
      </c>
      <c r="C27" s="287" t="s">
        <v>623</v>
      </c>
      <c r="D27" s="287"/>
      <c r="E27" s="287" t="s">
        <v>945</v>
      </c>
      <c r="F27" s="389" t="s">
        <v>926</v>
      </c>
      <c r="G27" s="395">
        <v>303162.31046000001</v>
      </c>
      <c r="H27" s="433">
        <v>302516</v>
      </c>
      <c r="I27" s="437">
        <v>1</v>
      </c>
      <c r="J27" s="284">
        <f t="shared" si="0"/>
        <v>302516</v>
      </c>
      <c r="K27" s="284">
        <v>0</v>
      </c>
      <c r="L27" s="284">
        <v>0</v>
      </c>
      <c r="M27" s="284">
        <v>0</v>
      </c>
      <c r="N27" s="284">
        <f t="shared" si="1"/>
        <v>0</v>
      </c>
      <c r="O27" s="284">
        <f>'7.Tính giá CM'!J179</f>
        <v>326305.98864499998</v>
      </c>
    </row>
    <row r="28" spans="1:15">
      <c r="A28" s="287"/>
      <c r="B28" s="389">
        <v>24</v>
      </c>
      <c r="C28" s="287" t="s">
        <v>657</v>
      </c>
      <c r="D28" s="287"/>
      <c r="E28" s="287" t="s">
        <v>946</v>
      </c>
      <c r="F28" s="389" t="s">
        <v>926</v>
      </c>
      <c r="G28" s="395">
        <v>277049.27605647099</v>
      </c>
      <c r="H28" s="433">
        <v>276579</v>
      </c>
      <c r="I28" s="437">
        <v>1</v>
      </c>
      <c r="J28" s="284">
        <f t="shared" si="0"/>
        <v>276579</v>
      </c>
      <c r="K28" s="284">
        <v>0</v>
      </c>
      <c r="L28" s="284">
        <v>0</v>
      </c>
      <c r="M28" s="284">
        <v>0</v>
      </c>
      <c r="N28" s="284">
        <f t="shared" si="1"/>
        <v>0</v>
      </c>
      <c r="O28" s="284">
        <f>'7.Tính giá CM'!J188</f>
        <v>299617.31473647064</v>
      </c>
    </row>
    <row r="29" spans="1:15">
      <c r="A29" s="287"/>
      <c r="B29" s="389">
        <v>25</v>
      </c>
      <c r="C29" s="287" t="s">
        <v>600</v>
      </c>
      <c r="D29" s="287"/>
      <c r="E29" s="287" t="s">
        <v>947</v>
      </c>
      <c r="F29" s="389" t="s">
        <v>926</v>
      </c>
      <c r="G29" s="395">
        <v>1758596.7608571399</v>
      </c>
      <c r="H29" s="432">
        <v>1933474</v>
      </c>
      <c r="I29" s="437">
        <v>1</v>
      </c>
      <c r="J29" s="284">
        <f t="shared" si="0"/>
        <v>1933474</v>
      </c>
      <c r="K29" s="284">
        <v>0</v>
      </c>
      <c r="L29" s="284">
        <v>0</v>
      </c>
      <c r="M29" s="284">
        <v>0</v>
      </c>
      <c r="N29" s="284">
        <f t="shared" si="1"/>
        <v>0</v>
      </c>
      <c r="O29" s="284">
        <f>'7.Tính giá CM'!J197</f>
        <v>1819307.232857143</v>
      </c>
    </row>
    <row r="30" spans="1:15">
      <c r="A30" s="287"/>
      <c r="B30" s="389">
        <v>26</v>
      </c>
      <c r="C30" s="287" t="s">
        <v>603</v>
      </c>
      <c r="D30" s="287"/>
      <c r="E30" s="287" t="s">
        <v>948</v>
      </c>
      <c r="F30" s="389" t="s">
        <v>926</v>
      </c>
      <c r="G30" s="395">
        <v>2999218.6830000002</v>
      </c>
      <c r="H30" s="432">
        <v>3288146</v>
      </c>
      <c r="I30" s="437">
        <v>1</v>
      </c>
      <c r="J30" s="284">
        <f t="shared" si="0"/>
        <v>3288146</v>
      </c>
      <c r="K30" s="284">
        <v>0</v>
      </c>
      <c r="L30" s="284">
        <v>0</v>
      </c>
      <c r="M30" s="284">
        <v>0</v>
      </c>
      <c r="N30" s="284">
        <f t="shared" si="1"/>
        <v>0</v>
      </c>
      <c r="O30" s="284">
        <f>'7.Tính giá CM'!J206</f>
        <v>3083240.1150000002</v>
      </c>
    </row>
    <row r="31" spans="1:15">
      <c r="A31" s="287"/>
      <c r="B31" s="389">
        <v>27</v>
      </c>
      <c r="C31" s="287" t="s">
        <v>683</v>
      </c>
      <c r="D31" s="287"/>
      <c r="E31" s="287" t="s">
        <v>840</v>
      </c>
      <c r="F31" s="389" t="s">
        <v>926</v>
      </c>
      <c r="G31" s="395">
        <v>1929864.1702857099</v>
      </c>
      <c r="H31" s="432">
        <v>2146560</v>
      </c>
      <c r="I31" s="437">
        <v>1</v>
      </c>
      <c r="J31" s="284">
        <f t="shared" si="0"/>
        <v>2146560</v>
      </c>
      <c r="K31" s="284">
        <v>0</v>
      </c>
      <c r="L31" s="284">
        <v>0</v>
      </c>
      <c r="M31" s="284">
        <v>0</v>
      </c>
      <c r="N31" s="284">
        <f t="shared" si="1"/>
        <v>0</v>
      </c>
      <c r="O31" s="284">
        <f>'7.Tính giá CM'!J215</f>
        <v>1974154.9942857143</v>
      </c>
    </row>
    <row r="32" spans="1:15">
      <c r="A32" s="287"/>
      <c r="B32" s="389">
        <v>28</v>
      </c>
      <c r="C32" s="287" t="s">
        <v>652</v>
      </c>
      <c r="D32" s="287"/>
      <c r="E32" s="287" t="s">
        <v>949</v>
      </c>
      <c r="F32" s="389" t="s">
        <v>926</v>
      </c>
      <c r="G32" s="395">
        <v>1425715.5664615401</v>
      </c>
      <c r="H32" s="432">
        <v>1581584</v>
      </c>
      <c r="I32" s="437">
        <v>1</v>
      </c>
      <c r="J32" s="284">
        <f t="shared" si="0"/>
        <v>1581584</v>
      </c>
      <c r="K32" s="284">
        <v>0</v>
      </c>
      <c r="L32" s="284">
        <v>0</v>
      </c>
      <c r="M32" s="284">
        <v>0</v>
      </c>
      <c r="N32" s="284">
        <f t="shared" si="1"/>
        <v>0</v>
      </c>
      <c r="O32" s="284">
        <f>'7.Tính giá CM'!J224</f>
        <v>1457573.8784615383</v>
      </c>
    </row>
    <row r="33" spans="1:15">
      <c r="A33" s="287"/>
      <c r="B33" s="389">
        <v>29</v>
      </c>
      <c r="C33" s="287" t="s">
        <v>610</v>
      </c>
      <c r="D33" s="287"/>
      <c r="E33" s="287" t="s">
        <v>950</v>
      </c>
      <c r="F33" s="389" t="s">
        <v>926</v>
      </c>
      <c r="G33" s="395">
        <v>1089892.2532307699</v>
      </c>
      <c r="H33" s="433">
        <v>0</v>
      </c>
      <c r="I33" s="437">
        <v>1</v>
      </c>
      <c r="J33" s="284">
        <f t="shared" si="0"/>
        <v>0</v>
      </c>
      <c r="K33" s="284">
        <v>0</v>
      </c>
      <c r="L33" s="284">
        <v>0</v>
      </c>
      <c r="M33" s="284">
        <v>0</v>
      </c>
      <c r="N33" s="284">
        <f t="shared" si="1"/>
        <v>0</v>
      </c>
      <c r="O33" s="284">
        <f>'7.Tính giá CM'!J233</f>
        <v>1107763.9892307692</v>
      </c>
    </row>
    <row r="34" spans="1:15">
      <c r="A34" s="287"/>
      <c r="B34" s="389">
        <v>30</v>
      </c>
      <c r="C34" s="287" t="s">
        <v>610</v>
      </c>
      <c r="D34" s="287"/>
      <c r="E34" s="287" t="s">
        <v>950</v>
      </c>
      <c r="F34" s="389" t="s">
        <v>926</v>
      </c>
      <c r="G34" s="395">
        <v>1089892.2532307699</v>
      </c>
      <c r="H34" s="432">
        <v>1177331</v>
      </c>
      <c r="I34" s="437">
        <v>1</v>
      </c>
      <c r="J34" s="284">
        <f t="shared" si="0"/>
        <v>1177331</v>
      </c>
      <c r="K34" s="284">
        <v>0</v>
      </c>
      <c r="L34" s="284">
        <v>0</v>
      </c>
      <c r="M34" s="284">
        <v>0</v>
      </c>
      <c r="N34" s="284">
        <f t="shared" si="1"/>
        <v>0</v>
      </c>
      <c r="O34" s="284">
        <f>'7.Tính giá CM'!J233</f>
        <v>1107763.9892307692</v>
      </c>
    </row>
    <row r="35" spans="1:15">
      <c r="A35" s="287"/>
      <c r="B35" s="389">
        <v>31</v>
      </c>
      <c r="C35" s="287" t="s">
        <v>640</v>
      </c>
      <c r="D35" s="287"/>
      <c r="E35" s="287" t="s">
        <v>951</v>
      </c>
      <c r="F35" s="389" t="s">
        <v>926</v>
      </c>
      <c r="G35" s="395">
        <v>40653159.719999999</v>
      </c>
      <c r="H35" s="432">
        <v>41945728</v>
      </c>
      <c r="I35" s="437">
        <v>1</v>
      </c>
      <c r="J35" s="284">
        <f t="shared" si="0"/>
        <v>41945728</v>
      </c>
      <c r="K35" s="284">
        <v>0</v>
      </c>
      <c r="L35" s="284">
        <v>0</v>
      </c>
      <c r="M35" s="284">
        <v>0</v>
      </c>
      <c r="N35" s="284">
        <f t="shared" si="1"/>
        <v>0</v>
      </c>
      <c r="O35" s="284">
        <f>'7.Tính giá CM'!J242</f>
        <v>40942317.600000001</v>
      </c>
    </row>
    <row r="36" spans="1:15">
      <c r="A36" s="287"/>
      <c r="B36" s="389">
        <v>32</v>
      </c>
      <c r="C36" s="287" t="s">
        <v>643</v>
      </c>
      <c r="D36" s="287"/>
      <c r="E36" s="287" t="s">
        <v>952</v>
      </c>
      <c r="F36" s="389" t="s">
        <v>926</v>
      </c>
      <c r="G36" s="395">
        <v>1638784.24681481</v>
      </c>
      <c r="H36" s="432">
        <v>1749033</v>
      </c>
      <c r="I36" s="437">
        <v>1</v>
      </c>
      <c r="J36" s="284">
        <f t="shared" si="0"/>
        <v>1749033</v>
      </c>
      <c r="K36" s="284">
        <v>0</v>
      </c>
      <c r="L36" s="284">
        <v>0</v>
      </c>
      <c r="M36" s="284">
        <v>0</v>
      </c>
      <c r="N36" s="284">
        <f t="shared" si="1"/>
        <v>0</v>
      </c>
      <c r="O36" s="284">
        <f>'7.Tính giá CM'!J252</f>
        <v>1686285.1748148147</v>
      </c>
    </row>
    <row r="37" spans="1:15">
      <c r="A37" s="287"/>
      <c r="B37" s="389">
        <v>33</v>
      </c>
      <c r="C37" s="287" t="s">
        <v>608</v>
      </c>
      <c r="D37" s="287"/>
      <c r="E37" s="287" t="s">
        <v>953</v>
      </c>
      <c r="F37" s="389" t="s">
        <v>926</v>
      </c>
      <c r="G37" s="395">
        <v>1498752.32622222</v>
      </c>
      <c r="H37" s="433">
        <v>0</v>
      </c>
      <c r="I37" s="437">
        <v>1</v>
      </c>
      <c r="J37" s="284">
        <f t="shared" si="0"/>
        <v>0</v>
      </c>
      <c r="K37" s="284">
        <v>0</v>
      </c>
      <c r="L37" s="284">
        <v>0</v>
      </c>
      <c r="M37" s="284">
        <v>0</v>
      </c>
      <c r="N37" s="284">
        <f t="shared" si="1"/>
        <v>0</v>
      </c>
      <c r="O37" s="284">
        <f>'7.Tính giá CM'!J261</f>
        <v>1553246.5422222223</v>
      </c>
    </row>
    <row r="38" spans="1:15">
      <c r="A38" s="287"/>
      <c r="B38" s="389">
        <v>34</v>
      </c>
      <c r="C38" s="287" t="s">
        <v>608</v>
      </c>
      <c r="D38" s="287"/>
      <c r="E38" s="287" t="s">
        <v>953</v>
      </c>
      <c r="F38" s="389" t="s">
        <v>926</v>
      </c>
      <c r="G38" s="395">
        <v>1498752.32622222</v>
      </c>
      <c r="H38" s="432">
        <v>1643216</v>
      </c>
      <c r="I38" s="437">
        <v>1</v>
      </c>
      <c r="J38" s="284">
        <f t="shared" si="0"/>
        <v>1643216</v>
      </c>
      <c r="K38" s="284">
        <v>0</v>
      </c>
      <c r="L38" s="284">
        <v>0</v>
      </c>
      <c r="M38" s="284">
        <v>0</v>
      </c>
      <c r="N38" s="284">
        <f t="shared" si="1"/>
        <v>0</v>
      </c>
      <c r="O38" s="284">
        <f>'7.Tính giá CM'!J261</f>
        <v>1553246.5422222223</v>
      </c>
    </row>
    <row r="39" spans="1:15">
      <c r="A39" s="287"/>
      <c r="B39" s="389">
        <v>35</v>
      </c>
      <c r="C39" s="287" t="s">
        <v>651</v>
      </c>
      <c r="D39" s="287"/>
      <c r="E39" s="287" t="s">
        <v>954</v>
      </c>
      <c r="F39" s="389" t="s">
        <v>926</v>
      </c>
      <c r="G39" s="395">
        <v>965860.19200000004</v>
      </c>
      <c r="H39" s="432">
        <v>1057100</v>
      </c>
      <c r="I39" s="437">
        <v>1</v>
      </c>
      <c r="J39" s="284">
        <f t="shared" si="0"/>
        <v>1057100</v>
      </c>
      <c r="K39" s="284">
        <v>0</v>
      </c>
      <c r="L39" s="284">
        <v>0</v>
      </c>
      <c r="M39" s="284">
        <v>0</v>
      </c>
      <c r="N39" s="284">
        <f t="shared" si="1"/>
        <v>0</v>
      </c>
      <c r="O39" s="284">
        <f>'7.Tính giá CM'!J270</f>
        <v>1009475.96</v>
      </c>
    </row>
    <row r="40" spans="1:15">
      <c r="A40" s="287"/>
      <c r="B40" s="389">
        <v>36</v>
      </c>
      <c r="C40" s="287" t="s">
        <v>642</v>
      </c>
      <c r="D40" s="287"/>
      <c r="E40" s="287" t="s">
        <v>955</v>
      </c>
      <c r="F40" s="389" t="s">
        <v>926</v>
      </c>
      <c r="G40" s="395">
        <v>1468502.9323076899</v>
      </c>
      <c r="H40" s="432">
        <v>1582553</v>
      </c>
      <c r="I40" s="437">
        <v>1</v>
      </c>
      <c r="J40" s="284">
        <f t="shared" si="0"/>
        <v>1582553</v>
      </c>
      <c r="K40" s="284">
        <v>0</v>
      </c>
      <c r="L40" s="284">
        <v>0</v>
      </c>
      <c r="M40" s="284">
        <v>0</v>
      </c>
      <c r="N40" s="284">
        <f t="shared" si="1"/>
        <v>0</v>
      </c>
      <c r="O40" s="284">
        <f>'7.Tính giá CM'!J279</f>
        <v>1491813.8923076922</v>
      </c>
    </row>
    <row r="41" spans="1:15">
      <c r="A41" s="287"/>
      <c r="B41" s="389">
        <v>37</v>
      </c>
      <c r="C41" s="287" t="s">
        <v>638</v>
      </c>
      <c r="D41" s="287"/>
      <c r="E41" s="287" t="s">
        <v>956</v>
      </c>
      <c r="F41" s="389" t="s">
        <v>926</v>
      </c>
      <c r="G41" s="395">
        <v>965860.19200000004</v>
      </c>
      <c r="H41" s="432">
        <v>1057100</v>
      </c>
      <c r="I41" s="437">
        <v>1</v>
      </c>
      <c r="J41" s="284">
        <f t="shared" si="0"/>
        <v>1057100</v>
      </c>
      <c r="K41" s="284">
        <v>0</v>
      </c>
      <c r="L41" s="284">
        <v>0</v>
      </c>
      <c r="M41" s="284">
        <v>0</v>
      </c>
      <c r="N41" s="284">
        <f t="shared" si="1"/>
        <v>0</v>
      </c>
      <c r="O41" s="284">
        <f>'7.Tính giá CM'!J288</f>
        <v>1009475.96</v>
      </c>
    </row>
    <row r="42" spans="1:15">
      <c r="A42" s="287"/>
      <c r="B42" s="389">
        <v>38</v>
      </c>
      <c r="C42" s="287" t="s">
        <v>613</v>
      </c>
      <c r="D42" s="287"/>
      <c r="E42" s="287" t="s">
        <v>957</v>
      </c>
      <c r="F42" s="389" t="s">
        <v>926</v>
      </c>
      <c r="G42" s="395">
        <v>1318899.50711111</v>
      </c>
      <c r="H42" s="432">
        <v>1459561</v>
      </c>
      <c r="I42" s="437">
        <v>1</v>
      </c>
      <c r="J42" s="284">
        <f t="shared" si="0"/>
        <v>1459561</v>
      </c>
      <c r="K42" s="284">
        <v>0</v>
      </c>
      <c r="L42" s="284">
        <v>0</v>
      </c>
      <c r="M42" s="284">
        <v>0</v>
      </c>
      <c r="N42" s="284">
        <f t="shared" si="1"/>
        <v>0</v>
      </c>
      <c r="O42" s="284">
        <f>'7.Tính giá CM'!J297</f>
        <v>1372616.6911111111</v>
      </c>
    </row>
    <row r="43" spans="1:15">
      <c r="A43" s="287"/>
      <c r="B43" s="389">
        <v>39</v>
      </c>
      <c r="C43" s="287" t="s">
        <v>641</v>
      </c>
      <c r="D43" s="287"/>
      <c r="E43" s="287" t="s">
        <v>958</v>
      </c>
      <c r="F43" s="389" t="s">
        <v>926</v>
      </c>
      <c r="G43" s="395">
        <v>10247292.844888899</v>
      </c>
      <c r="H43" s="432">
        <v>10463988</v>
      </c>
      <c r="I43" s="437">
        <v>1</v>
      </c>
      <c r="J43" s="284">
        <f t="shared" si="0"/>
        <v>10463988</v>
      </c>
      <c r="K43" s="284">
        <v>0</v>
      </c>
      <c r="L43" s="284">
        <v>0</v>
      </c>
      <c r="M43" s="284">
        <v>0</v>
      </c>
      <c r="N43" s="284">
        <f t="shared" si="1"/>
        <v>0</v>
      </c>
      <c r="O43" s="284">
        <f>'7.Tính giá CM'!J306</f>
        <v>10312616.668888887</v>
      </c>
    </row>
    <row r="44" spans="1:15">
      <c r="A44" s="288"/>
      <c r="B44" s="407">
        <v>40</v>
      </c>
      <c r="C44" s="288" t="s">
        <v>644</v>
      </c>
      <c r="D44" s="288"/>
      <c r="E44" s="288" t="s">
        <v>959</v>
      </c>
      <c r="F44" s="407" t="s">
        <v>926</v>
      </c>
      <c r="G44" s="434">
        <v>1220464.9226666701</v>
      </c>
      <c r="H44" s="435">
        <v>1342118</v>
      </c>
      <c r="I44" s="438">
        <v>1</v>
      </c>
      <c r="J44" s="286">
        <f t="shared" si="0"/>
        <v>1342118</v>
      </c>
      <c r="K44" s="286">
        <v>0</v>
      </c>
      <c r="L44" s="286">
        <v>0</v>
      </c>
      <c r="M44" s="286">
        <v>0</v>
      </c>
      <c r="N44" s="286">
        <f t="shared" si="1"/>
        <v>0</v>
      </c>
      <c r="O44" s="286">
        <f>'7.Tính giá CM'!J316</f>
        <v>1270296.9466666668</v>
      </c>
    </row>
  </sheetData>
  <mergeCells count="3">
    <mergeCell ref="B1:O1"/>
    <mergeCell ref="B2:O2"/>
    <mergeCell ref="B3:O3"/>
  </mergeCells>
  <conditionalFormatting sqref="G5:H44">
    <cfRule type="cellIs" dxfId="4" priority="2" stopIfTrue="1" operator="equal">
      <formula>0</formula>
    </cfRule>
  </conditionalFormatting>
  <conditionalFormatting sqref="I5:I45">
    <cfRule type="cellIs" dxfId="3" priority="1" stopIfTrue="1" operator="equal">
      <formula>1</formula>
    </cfRule>
  </conditionalFormatting>
  <printOptions horizontalCentered="1"/>
  <pageMargins left="0.5" right="0.25" top="0.6" bottom="0.5" header="0.3" footer="0.3"/>
  <pageSetup paperSize="9" orientation="portrait" useFirstPageNumber="1"/>
  <headerFooter>
    <oddFooter>&amp;CTrang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5"/>
  </sheetPr>
  <dimension ref="A1:AH262"/>
  <sheetViews>
    <sheetView showZeros="0" topLeftCell="B1" workbookViewId="0">
      <selection activeCell="E6" sqref="E6"/>
    </sheetView>
  </sheetViews>
  <sheetFormatPr defaultColWidth="9.21875" defaultRowHeight="13.8"/>
  <cols>
    <col min="1" max="1" width="4.77734375" style="146" hidden="1" customWidth="1"/>
    <col min="2" max="2" width="4.44140625" style="146" customWidth="1"/>
    <col min="3" max="3" width="8" style="146" customWidth="1"/>
    <col min="4" max="4" width="10.44140625" style="146" hidden="1" customWidth="1"/>
    <col min="5" max="5" width="42.77734375" style="146" customWidth="1"/>
    <col min="6" max="6" width="8.77734375" style="146" customWidth="1"/>
    <col min="7" max="7" width="9.44140625" style="146" hidden="1" customWidth="1"/>
    <col min="8" max="8" width="10" style="146" hidden="1" customWidth="1"/>
    <col min="9" max="9" width="9.21875" style="146" hidden="1" customWidth="1"/>
    <col min="10" max="11" width="12.77734375" style="146" customWidth="1"/>
    <col min="12" max="12" width="14.44140625" style="146" hidden="1" customWidth="1"/>
    <col min="13" max="13" width="9.44140625" style="146" hidden="1" customWidth="1"/>
    <col min="14" max="16" width="12.44140625" style="146" hidden="1" customWidth="1"/>
    <col min="17" max="17" width="9.21875" style="146" hidden="1" customWidth="1"/>
    <col min="18" max="18" width="12.44140625" style="146" hidden="1" customWidth="1"/>
    <col min="19" max="19" width="11.44140625" style="146" hidden="1" customWidth="1"/>
    <col min="20" max="20" width="11.77734375" style="146" hidden="1" customWidth="1"/>
    <col min="21" max="21" width="13.44140625" style="146" hidden="1" customWidth="1"/>
    <col min="22" max="22" width="9.77734375" style="146" hidden="1" customWidth="1"/>
    <col min="23" max="23" width="12.21875" style="146" hidden="1" customWidth="1"/>
    <col min="24" max="24" width="12.77734375" style="146" customWidth="1"/>
    <col min="25" max="25" width="13.44140625" style="146" hidden="1" customWidth="1"/>
    <col min="26" max="27" width="12.77734375" style="146" customWidth="1"/>
    <col min="28" max="34" width="9.21875" style="146" hidden="1" customWidth="1"/>
    <col min="35" max="16384" width="9.21875" style="146"/>
  </cols>
  <sheetData>
    <row r="1" spans="1:27" ht="17.399999999999999">
      <c r="A1" s="935" t="s">
        <v>960</v>
      </c>
      <c r="B1" s="935" t="s">
        <v>960</v>
      </c>
      <c r="C1" s="935" t="s">
        <v>960</v>
      </c>
      <c r="D1" s="935" t="s">
        <v>960</v>
      </c>
      <c r="E1" s="935" t="s">
        <v>960</v>
      </c>
      <c r="F1" s="935" t="s">
        <v>960</v>
      </c>
      <c r="G1" s="935" t="s">
        <v>960</v>
      </c>
      <c r="H1" s="935" t="s">
        <v>960</v>
      </c>
      <c r="I1" s="935" t="s">
        <v>960</v>
      </c>
      <c r="J1" s="935" t="s">
        <v>960</v>
      </c>
      <c r="K1" s="935" t="s">
        <v>960</v>
      </c>
      <c r="L1" s="935" t="s">
        <v>960</v>
      </c>
      <c r="M1" s="935" t="s">
        <v>960</v>
      </c>
      <c r="N1" s="935" t="s">
        <v>960</v>
      </c>
      <c r="O1" s="935" t="s">
        <v>960</v>
      </c>
      <c r="P1" s="935" t="s">
        <v>960</v>
      </c>
      <c r="Q1" s="935" t="s">
        <v>960</v>
      </c>
      <c r="R1" s="935" t="s">
        <v>960</v>
      </c>
      <c r="S1" s="935" t="s">
        <v>960</v>
      </c>
      <c r="T1" s="935" t="s">
        <v>960</v>
      </c>
      <c r="U1" s="935" t="s">
        <v>960</v>
      </c>
      <c r="V1" s="935" t="s">
        <v>960</v>
      </c>
      <c r="W1" s="935" t="s">
        <v>960</v>
      </c>
      <c r="X1" s="935" t="s">
        <v>960</v>
      </c>
      <c r="Y1" s="935" t="s">
        <v>960</v>
      </c>
      <c r="Z1" s="935" t="s">
        <v>960</v>
      </c>
      <c r="AA1" s="935" t="s">
        <v>960</v>
      </c>
    </row>
    <row r="2" spans="1:27">
      <c r="A2" s="936" t="s">
        <v>254</v>
      </c>
      <c r="B2" s="937" t="s">
        <v>254</v>
      </c>
      <c r="C2" s="937" t="s">
        <v>254</v>
      </c>
      <c r="D2" s="937" t="s">
        <v>254</v>
      </c>
      <c r="E2" s="937" t="s">
        <v>254</v>
      </c>
      <c r="F2" s="937" t="s">
        <v>254</v>
      </c>
      <c r="G2" s="937" t="s">
        <v>254</v>
      </c>
      <c r="H2" s="937" t="s">
        <v>254</v>
      </c>
      <c r="I2" s="937" t="s">
        <v>254</v>
      </c>
      <c r="J2" s="937" t="s">
        <v>254</v>
      </c>
      <c r="K2" s="937" t="s">
        <v>254</v>
      </c>
      <c r="L2" s="937" t="s">
        <v>254</v>
      </c>
      <c r="M2" s="937" t="s">
        <v>254</v>
      </c>
      <c r="N2" s="937" t="s">
        <v>254</v>
      </c>
      <c r="O2" s="937" t="s">
        <v>254</v>
      </c>
      <c r="P2" s="937" t="s">
        <v>254</v>
      </c>
      <c r="Q2" s="937" t="s">
        <v>254</v>
      </c>
      <c r="R2" s="937" t="s">
        <v>254</v>
      </c>
      <c r="S2" s="937" t="s">
        <v>254</v>
      </c>
      <c r="T2" s="937" t="s">
        <v>254</v>
      </c>
      <c r="U2" s="937" t="s">
        <v>254</v>
      </c>
      <c r="V2" s="937" t="s">
        <v>254</v>
      </c>
      <c r="W2" s="937" t="s">
        <v>254</v>
      </c>
      <c r="X2" s="937" t="s">
        <v>254</v>
      </c>
      <c r="Y2" s="937" t="s">
        <v>254</v>
      </c>
      <c r="Z2" s="937" t="s">
        <v>254</v>
      </c>
      <c r="AA2" s="937" t="s">
        <v>254</v>
      </c>
    </row>
    <row r="3" spans="1:27">
      <c r="A3" s="937" t="s">
        <v>302</v>
      </c>
      <c r="B3" s="937" t="s">
        <v>302</v>
      </c>
      <c r="C3" s="937" t="s">
        <v>302</v>
      </c>
      <c r="D3" s="937" t="s">
        <v>302</v>
      </c>
      <c r="E3" s="937" t="s">
        <v>302</v>
      </c>
      <c r="F3" s="937" t="s">
        <v>302</v>
      </c>
      <c r="G3" s="937" t="s">
        <v>302</v>
      </c>
      <c r="H3" s="937" t="s">
        <v>302</v>
      </c>
      <c r="I3" s="937" t="s">
        <v>302</v>
      </c>
      <c r="J3" s="937" t="s">
        <v>302</v>
      </c>
      <c r="K3" s="937" t="s">
        <v>302</v>
      </c>
      <c r="L3" s="937" t="s">
        <v>302</v>
      </c>
      <c r="M3" s="937" t="s">
        <v>302</v>
      </c>
      <c r="N3" s="937" t="s">
        <v>302</v>
      </c>
      <c r="O3" s="937" t="s">
        <v>302</v>
      </c>
      <c r="P3" s="937" t="s">
        <v>302</v>
      </c>
      <c r="Q3" s="937" t="s">
        <v>302</v>
      </c>
      <c r="R3" s="937" t="s">
        <v>302</v>
      </c>
      <c r="S3" s="937" t="s">
        <v>302</v>
      </c>
      <c r="T3" s="937" t="s">
        <v>302</v>
      </c>
      <c r="U3" s="937" t="s">
        <v>302</v>
      </c>
      <c r="V3" s="937" t="s">
        <v>302</v>
      </c>
      <c r="W3" s="937" t="s">
        <v>302</v>
      </c>
      <c r="X3" s="937" t="s">
        <v>302</v>
      </c>
      <c r="Y3" s="937" t="s">
        <v>302</v>
      </c>
      <c r="Z3" s="937" t="s">
        <v>302</v>
      </c>
      <c r="AA3" s="937" t="s">
        <v>302</v>
      </c>
    </row>
    <row r="4" spans="1:27">
      <c r="A4" s="411"/>
      <c r="B4" s="934" t="s">
        <v>5</v>
      </c>
      <c r="C4" s="934" t="s">
        <v>592</v>
      </c>
      <c r="D4" s="205"/>
      <c r="E4" s="934" t="s">
        <v>754</v>
      </c>
      <c r="F4" s="934" t="s">
        <v>594</v>
      </c>
      <c r="G4" s="934" t="s">
        <v>755</v>
      </c>
      <c r="H4" s="934" t="s">
        <v>595</v>
      </c>
      <c r="I4" s="934" t="s">
        <v>596</v>
      </c>
      <c r="J4" s="934" t="s">
        <v>756</v>
      </c>
      <c r="K4" s="934" t="s">
        <v>687</v>
      </c>
      <c r="L4" s="934" t="s">
        <v>261</v>
      </c>
      <c r="M4" s="934" t="s">
        <v>688</v>
      </c>
      <c r="N4" s="934" t="s">
        <v>261</v>
      </c>
      <c r="O4" s="934" t="s">
        <v>757</v>
      </c>
      <c r="P4" s="934" t="s">
        <v>261</v>
      </c>
      <c r="Q4" s="934" t="s">
        <v>596</v>
      </c>
      <c r="R4" s="934" t="s">
        <v>689</v>
      </c>
      <c r="S4" s="934" t="s">
        <v>261</v>
      </c>
      <c r="T4" s="934" t="s">
        <v>757</v>
      </c>
      <c r="U4" s="934" t="s">
        <v>261</v>
      </c>
      <c r="V4" s="934" t="s">
        <v>924</v>
      </c>
      <c r="W4" s="934" t="s">
        <v>261</v>
      </c>
      <c r="X4" s="934" t="s">
        <v>697</v>
      </c>
      <c r="Y4" s="934" t="s">
        <v>261</v>
      </c>
      <c r="Z4" s="934" t="s">
        <v>757</v>
      </c>
      <c r="AA4" s="934" t="s">
        <v>261</v>
      </c>
    </row>
    <row r="5" spans="1:27" ht="7.35" customHeight="1">
      <c r="A5" s="411"/>
      <c r="B5" s="934"/>
      <c r="C5" s="934"/>
      <c r="D5" s="205"/>
      <c r="E5" s="934"/>
      <c r="F5" s="934"/>
      <c r="G5" s="934" t="s">
        <v>755</v>
      </c>
      <c r="H5" s="934" t="s">
        <v>595</v>
      </c>
      <c r="I5" s="934" t="s">
        <v>596</v>
      </c>
      <c r="J5" s="934" t="s">
        <v>756</v>
      </c>
      <c r="K5" s="934"/>
      <c r="L5" s="934"/>
      <c r="M5" s="934"/>
      <c r="N5" s="934"/>
      <c r="O5" s="934"/>
      <c r="P5" s="934"/>
      <c r="Q5" s="934"/>
      <c r="R5" s="934"/>
      <c r="S5" s="934"/>
      <c r="T5" s="934"/>
      <c r="U5" s="934"/>
      <c r="V5" s="934"/>
      <c r="W5" s="934"/>
      <c r="X5" s="934"/>
      <c r="Y5" s="934"/>
      <c r="Z5" s="934"/>
      <c r="AA5" s="934"/>
    </row>
    <row r="6" spans="1:27">
      <c r="A6" s="234" t="s">
        <v>759</v>
      </c>
      <c r="B6" s="256">
        <v>1</v>
      </c>
      <c r="C6" s="234" t="s">
        <v>673</v>
      </c>
      <c r="D6" s="234">
        <f>'Giá Máy'!D5</f>
        <v>0</v>
      </c>
      <c r="E6" s="257" t="str">
        <f>'Giá Máy'!E5</f>
        <v>Búa căn khí nén 3m3/ph</v>
      </c>
      <c r="F6" s="256" t="s">
        <v>926</v>
      </c>
      <c r="G6" s="412"/>
      <c r="H6" s="412"/>
      <c r="I6" s="412"/>
      <c r="J6" s="259">
        <f>SUM(J7:J8)</f>
        <v>1.5786</v>
      </c>
      <c r="K6" s="418">
        <f>'Giá Máy'!G5</f>
        <v>21146.666666666701</v>
      </c>
      <c r="L6" s="418">
        <f>J6*K6</f>
        <v>33382.128000000055</v>
      </c>
      <c r="M6" s="418">
        <f>'Giá Máy'!H5</f>
        <v>21147</v>
      </c>
      <c r="N6" s="418">
        <f>J6*M6</f>
        <v>33382.654199999997</v>
      </c>
      <c r="O6" s="418">
        <f>M6-K6</f>
        <v>0.33333333329937886</v>
      </c>
      <c r="P6" s="418">
        <f>J6*O6</f>
        <v>0.52619999994639943</v>
      </c>
      <c r="Q6" s="418">
        <v>1</v>
      </c>
      <c r="R6" s="418">
        <f>M6*Q6</f>
        <v>21147</v>
      </c>
      <c r="S6" s="418">
        <f>J6*R6</f>
        <v>33382.654199999997</v>
      </c>
      <c r="T6" s="418">
        <v>0.33333333329937898</v>
      </c>
      <c r="U6" s="418">
        <v>0.52619999994639899</v>
      </c>
      <c r="V6" s="418">
        <f>'Giá Máy'!N5</f>
        <v>0</v>
      </c>
      <c r="W6" s="418">
        <f>J6*V6</f>
        <v>0</v>
      </c>
      <c r="X6" s="418">
        <f>'Giá Máy'!O5</f>
        <v>21146.666666666668</v>
      </c>
      <c r="Y6" s="418">
        <f>J6*X6</f>
        <v>33382.128000000004</v>
      </c>
      <c r="Z6" s="418">
        <f>X6-K6</f>
        <v>-3.2741809263825417E-11</v>
      </c>
      <c r="AA6" s="418">
        <f>J6*Z6</f>
        <v>-5.1686220103874802E-11</v>
      </c>
    </row>
    <row r="7" spans="1:27" s="410" customFormat="1" ht="27.6" hidden="1">
      <c r="A7" s="413"/>
      <c r="B7" s="414"/>
      <c r="C7" s="413" t="str">
        <f>'5.Tiên lượng'!C165</f>
        <v>AA.22121</v>
      </c>
      <c r="D7" s="413"/>
      <c r="E7" s="415" t="str">
        <f>'5.Tiên lượng'!D165</f>
        <v>Phá dỡ kết cấu gạch đá bằng búa căn khí nén 3m3/ph</v>
      </c>
      <c r="F7" s="414" t="str">
        <f>'5.Tiên lượng'!E165</f>
        <v>m3</v>
      </c>
      <c r="G7" s="416">
        <f>'5.Tiên lượng'!M165</f>
        <v>8.4240000000000013</v>
      </c>
      <c r="H7" s="416">
        <f>PTVT!G649</f>
        <v>0.15</v>
      </c>
      <c r="I7" s="416">
        <f>'5.Tiên lượng'!X165</f>
        <v>1</v>
      </c>
      <c r="J7" s="419">
        <f t="shared" ref="J7:J8" si="0">PRODUCT(G7,H7,I7)</f>
        <v>1.2636000000000001</v>
      </c>
      <c r="K7" s="420"/>
      <c r="L7" s="420"/>
      <c r="M7" s="420"/>
      <c r="N7" s="420"/>
      <c r="O7" s="420"/>
      <c r="P7" s="420"/>
      <c r="Q7" s="420"/>
      <c r="R7" s="420"/>
      <c r="S7" s="420"/>
      <c r="T7" s="420"/>
      <c r="U7" s="420"/>
      <c r="V7" s="420"/>
      <c r="W7" s="420"/>
      <c r="X7" s="420"/>
      <c r="Y7" s="420"/>
      <c r="Z7" s="420"/>
      <c r="AA7" s="420"/>
    </row>
    <row r="8" spans="1:27" s="410" customFormat="1" ht="27.6" hidden="1">
      <c r="A8" s="413"/>
      <c r="B8" s="414"/>
      <c r="C8" s="413" t="str">
        <f>'5.Tiên lượng'!C206</f>
        <v>AA.22121</v>
      </c>
      <c r="D8" s="413"/>
      <c r="E8" s="415" t="str">
        <f>'5.Tiên lượng'!D206</f>
        <v>Phá dỡ kết cấu gạch đá bằng búa căn khí nén 3m3/ph</v>
      </c>
      <c r="F8" s="414" t="str">
        <f>'5.Tiên lượng'!E206</f>
        <v>m3</v>
      </c>
      <c r="G8" s="416">
        <f>'5.Tiên lượng'!M206</f>
        <v>2.1</v>
      </c>
      <c r="H8" s="416">
        <f>PTVT!G879</f>
        <v>0.15</v>
      </c>
      <c r="I8" s="416">
        <f>'5.Tiên lượng'!X206</f>
        <v>1</v>
      </c>
      <c r="J8" s="419">
        <f t="shared" si="0"/>
        <v>0.315</v>
      </c>
      <c r="K8" s="420"/>
      <c r="L8" s="420"/>
      <c r="M8" s="420"/>
      <c r="N8" s="420"/>
      <c r="O8" s="420"/>
      <c r="P8" s="420"/>
      <c r="Q8" s="420"/>
      <c r="R8" s="420"/>
      <c r="S8" s="420"/>
      <c r="T8" s="420"/>
      <c r="U8" s="420"/>
      <c r="V8" s="420"/>
      <c r="W8" s="420"/>
      <c r="X8" s="420"/>
      <c r="Y8" s="420"/>
      <c r="Z8" s="420"/>
      <c r="AA8" s="420"/>
    </row>
    <row r="9" spans="1:27">
      <c r="A9" s="246" t="s">
        <v>759</v>
      </c>
      <c r="B9" s="265">
        <v>2</v>
      </c>
      <c r="C9" s="246" t="s">
        <v>665</v>
      </c>
      <c r="D9" s="246">
        <f>'Giá Máy'!D6</f>
        <v>0</v>
      </c>
      <c r="E9" s="266" t="str">
        <f>'Giá Máy'!E6</f>
        <v>Cần cẩu bánh hơi 6T</v>
      </c>
      <c r="F9" s="265" t="s">
        <v>926</v>
      </c>
      <c r="G9" s="417"/>
      <c r="H9" s="417"/>
      <c r="I9" s="417"/>
      <c r="J9" s="268">
        <f>SUM(J10:J18)</f>
        <v>2.7410000000000001</v>
      </c>
      <c r="K9" s="421">
        <f>'Giá Máy'!G6</f>
        <v>1532614.2333333299</v>
      </c>
      <c r="L9" s="421">
        <f>J9*K9</f>
        <v>4200895.6135666575</v>
      </c>
      <c r="M9" s="421">
        <f>'Giá Máy'!H6</f>
        <v>1627656</v>
      </c>
      <c r="N9" s="421">
        <f>J9*M9</f>
        <v>4461405.0959999999</v>
      </c>
      <c r="O9" s="421">
        <f>M9-K9</f>
        <v>95041.766666670097</v>
      </c>
      <c r="P9" s="421">
        <f>J9*O9</f>
        <v>260509.48243334275</v>
      </c>
      <c r="Q9" s="421">
        <v>1</v>
      </c>
      <c r="R9" s="421">
        <f>M9*Q9</f>
        <v>1627656</v>
      </c>
      <c r="S9" s="421">
        <f>J9*R9</f>
        <v>4461405.0959999999</v>
      </c>
      <c r="T9" s="421">
        <v>95041.766666670097</v>
      </c>
      <c r="U9" s="421">
        <v>260509.48243334299</v>
      </c>
      <c r="V9" s="421">
        <f>'Giá Máy'!N6</f>
        <v>0</v>
      </c>
      <c r="W9" s="421">
        <f>J9*V9</f>
        <v>0</v>
      </c>
      <c r="X9" s="421">
        <f>'Giá Máy'!O6</f>
        <v>1611810.0333333332</v>
      </c>
      <c r="Y9" s="421">
        <f>J9*X9</f>
        <v>4417971.3013666663</v>
      </c>
      <c r="Z9" s="421">
        <f>X9-K9</f>
        <v>79195.800000003306</v>
      </c>
      <c r="AA9" s="421">
        <f>J9*Z9</f>
        <v>217075.68780000907</v>
      </c>
    </row>
    <row r="10" spans="1:27" s="410" customFormat="1" ht="27.6" hidden="1">
      <c r="A10" s="413"/>
      <c r="B10" s="414"/>
      <c r="C10" s="413" t="str">
        <f>'5.Tiên lượng'!C139</f>
        <v>AG.41610</v>
      </c>
      <c r="D10" s="413"/>
      <c r="E10" s="415" t="str">
        <f>'5.Tiên lượng'!D139</f>
        <v>Lắp đặt cấu kiện bê tông đúc sẵn trọng lượng từ 50kg đến 200kg bằng cần cẩu</v>
      </c>
      <c r="F10" s="414" t="str">
        <f>'5.Tiên lượng'!E139</f>
        <v>1cấu kiện</v>
      </c>
      <c r="G10" s="416">
        <f>'5.Tiên lượng'!M139</f>
        <v>79</v>
      </c>
      <c r="H10" s="416">
        <f>PTVT!G544</f>
        <v>1.4999999999999999E-2</v>
      </c>
      <c r="I10" s="416">
        <f>'5.Tiên lượng'!X139</f>
        <v>1</v>
      </c>
      <c r="J10" s="419">
        <f t="shared" ref="J10:J18" si="1">PRODUCT(G10,H10,I10)</f>
        <v>1.1850000000000001</v>
      </c>
      <c r="K10" s="420"/>
      <c r="L10" s="420"/>
      <c r="M10" s="420"/>
      <c r="N10" s="420"/>
      <c r="O10" s="420"/>
      <c r="P10" s="420"/>
      <c r="Q10" s="420"/>
      <c r="R10" s="420"/>
      <c r="S10" s="420"/>
      <c r="T10" s="420"/>
      <c r="U10" s="420"/>
      <c r="V10" s="420"/>
      <c r="W10" s="420"/>
      <c r="X10" s="420"/>
      <c r="Y10" s="420"/>
      <c r="Z10" s="420"/>
      <c r="AA10" s="420"/>
    </row>
    <row r="11" spans="1:27" s="410" customFormat="1" ht="27.6" hidden="1">
      <c r="A11" s="413"/>
      <c r="B11" s="414"/>
      <c r="C11" s="413" t="str">
        <f>'5.Tiên lượng'!C180</f>
        <v>BB.11211VD</v>
      </c>
      <c r="D11" s="413"/>
      <c r="E11" s="415" t="str">
        <f>'5.Tiên lượng'!D180</f>
        <v>Lắp đặt ống bê tông bằng cần cẩu, đoạn ống dài 1m - Đường kính 400mm</v>
      </c>
      <c r="F11" s="414" t="str">
        <f>'5.Tiên lượng'!E180</f>
        <v>1 đoạn ống</v>
      </c>
      <c r="G11" s="416">
        <f>'5.Tiên lượng'!M180</f>
        <v>3</v>
      </c>
      <c r="H11" s="416">
        <f>PTVT!G698</f>
        <v>3.6999999999999998E-2</v>
      </c>
      <c r="I11" s="416">
        <f>'5.Tiên lượng'!X180</f>
        <v>1</v>
      </c>
      <c r="J11" s="419">
        <f t="shared" si="1"/>
        <v>0.11099999999999999</v>
      </c>
      <c r="K11" s="420"/>
      <c r="L11" s="420"/>
      <c r="M11" s="420"/>
      <c r="N11" s="420"/>
      <c r="O11" s="420"/>
      <c r="P11" s="420"/>
      <c r="Q11" s="420"/>
      <c r="R11" s="420"/>
      <c r="S11" s="420"/>
      <c r="T11" s="420"/>
      <c r="U11" s="420"/>
      <c r="V11" s="420"/>
      <c r="W11" s="420"/>
      <c r="X11" s="420"/>
      <c r="Y11" s="420"/>
      <c r="Z11" s="420"/>
      <c r="AA11" s="420"/>
    </row>
    <row r="12" spans="1:27" s="410" customFormat="1" ht="27.6" hidden="1">
      <c r="A12" s="413"/>
      <c r="B12" s="414"/>
      <c r="C12" s="413" t="str">
        <f>'5.Tiên lượng'!C181</f>
        <v>BB.11221VD</v>
      </c>
      <c r="D12" s="413"/>
      <c r="E12" s="415" t="str">
        <f>'5.Tiên lượng'!D181</f>
        <v>Lắp đặt ống bê tông bằng cần cẩu, đoạn ống dài 2m - Đường kính 400mm</v>
      </c>
      <c r="F12" s="414" t="str">
        <f>'5.Tiên lượng'!E181</f>
        <v>1 đoạn ống</v>
      </c>
      <c r="G12" s="416">
        <f>'5.Tiên lượng'!M181</f>
        <v>15</v>
      </c>
      <c r="H12" s="416">
        <f>PTVT!G707</f>
        <v>5.6000000000000001E-2</v>
      </c>
      <c r="I12" s="416">
        <f>'5.Tiên lượng'!X181</f>
        <v>1</v>
      </c>
      <c r="J12" s="419">
        <f t="shared" si="1"/>
        <v>0.84</v>
      </c>
      <c r="K12" s="420"/>
      <c r="L12" s="420"/>
      <c r="M12" s="420"/>
      <c r="N12" s="420"/>
      <c r="O12" s="420"/>
      <c r="P12" s="420"/>
      <c r="Q12" s="420"/>
      <c r="R12" s="420"/>
      <c r="S12" s="420"/>
      <c r="T12" s="420"/>
      <c r="U12" s="420"/>
      <c r="V12" s="420"/>
      <c r="W12" s="420"/>
      <c r="X12" s="420"/>
      <c r="Y12" s="420"/>
      <c r="Z12" s="420"/>
      <c r="AA12" s="420"/>
    </row>
    <row r="13" spans="1:27" s="410" customFormat="1" ht="27.6" hidden="1">
      <c r="A13" s="413"/>
      <c r="B13" s="414"/>
      <c r="C13" s="413" t="str">
        <f>'5.Tiên lượng'!C182</f>
        <v>BB.11211</v>
      </c>
      <c r="D13" s="413"/>
      <c r="E13" s="415" t="str">
        <f>'5.Tiên lượng'!D182</f>
        <v>Lắp đặt ống bê tông bằng cần cẩu, đoạn ống dài 1m - Đường kính 600mm</v>
      </c>
      <c r="F13" s="414" t="str">
        <f>'5.Tiên lượng'!E182</f>
        <v>1 đoạn ống</v>
      </c>
      <c r="G13" s="416">
        <f>'5.Tiên lượng'!M182</f>
        <v>1</v>
      </c>
      <c r="H13" s="416">
        <f>PTVT!G716</f>
        <v>3.6999999999999998E-2</v>
      </c>
      <c r="I13" s="416">
        <f>'5.Tiên lượng'!X182</f>
        <v>1</v>
      </c>
      <c r="J13" s="419">
        <f t="shared" si="1"/>
        <v>3.6999999999999998E-2</v>
      </c>
      <c r="K13" s="420"/>
      <c r="L13" s="420"/>
      <c r="M13" s="420"/>
      <c r="N13" s="420"/>
      <c r="O13" s="420"/>
      <c r="P13" s="420"/>
      <c r="Q13" s="420"/>
      <c r="R13" s="420"/>
      <c r="S13" s="420"/>
      <c r="T13" s="420"/>
      <c r="U13" s="420"/>
      <c r="V13" s="420"/>
      <c r="W13" s="420"/>
      <c r="X13" s="420"/>
      <c r="Y13" s="420"/>
      <c r="Z13" s="420"/>
      <c r="AA13" s="420"/>
    </row>
    <row r="14" spans="1:27" s="410" customFormat="1" ht="27.6" hidden="1">
      <c r="A14" s="413"/>
      <c r="B14" s="414"/>
      <c r="C14" s="413" t="str">
        <f>'5.Tiên lượng'!C183</f>
        <v>BB.11221</v>
      </c>
      <c r="D14" s="413"/>
      <c r="E14" s="415" t="str">
        <f>'5.Tiên lượng'!D183</f>
        <v>Lắp đặt ống bê tông bằng cần cẩu, đoạn ống dài 2m - Đường kính 600mm</v>
      </c>
      <c r="F14" s="414" t="str">
        <f>'5.Tiên lượng'!E183</f>
        <v>1 đoạn ống</v>
      </c>
      <c r="G14" s="416">
        <f>'5.Tiên lượng'!M183</f>
        <v>1</v>
      </c>
      <c r="H14" s="416">
        <f>PTVT!G725</f>
        <v>5.6000000000000001E-2</v>
      </c>
      <c r="I14" s="416">
        <f>'5.Tiên lượng'!X183</f>
        <v>1</v>
      </c>
      <c r="J14" s="419">
        <f t="shared" si="1"/>
        <v>5.6000000000000001E-2</v>
      </c>
      <c r="K14" s="420"/>
      <c r="L14" s="420"/>
      <c r="M14" s="420"/>
      <c r="N14" s="420"/>
      <c r="O14" s="420"/>
      <c r="P14" s="420"/>
      <c r="Q14" s="420"/>
      <c r="R14" s="420"/>
      <c r="S14" s="420"/>
      <c r="T14" s="420"/>
      <c r="U14" s="420"/>
      <c r="V14" s="420"/>
      <c r="W14" s="420"/>
      <c r="X14" s="420"/>
      <c r="Y14" s="420"/>
      <c r="Z14" s="420"/>
      <c r="AA14" s="420"/>
    </row>
    <row r="15" spans="1:27" s="410" customFormat="1" ht="27.6" hidden="1">
      <c r="A15" s="413"/>
      <c r="B15" s="414"/>
      <c r="C15" s="413" t="str">
        <f>'5.Tiên lượng'!C184</f>
        <v>BB.11222VD</v>
      </c>
      <c r="D15" s="413"/>
      <c r="E15" s="415" t="str">
        <f>'5.Tiên lượng'!D184</f>
        <v>Lắp đặt ống bê tông bằng cần cẩu, đoạn ống dài 2m - Đường kính 800mm</v>
      </c>
      <c r="F15" s="414" t="str">
        <f>'5.Tiên lượng'!E184</f>
        <v>1 đoạn ống</v>
      </c>
      <c r="G15" s="416">
        <f>'5.Tiên lượng'!M184</f>
        <v>1</v>
      </c>
      <c r="H15" s="416">
        <f>PTVT!G734</f>
        <v>0.06</v>
      </c>
      <c r="I15" s="416">
        <f>'5.Tiên lượng'!X184</f>
        <v>1</v>
      </c>
      <c r="J15" s="419">
        <f t="shared" si="1"/>
        <v>0.06</v>
      </c>
      <c r="K15" s="420"/>
      <c r="L15" s="420"/>
      <c r="M15" s="420"/>
      <c r="N15" s="420"/>
      <c r="O15" s="420"/>
      <c r="P15" s="420"/>
      <c r="Q15" s="420"/>
      <c r="R15" s="420"/>
      <c r="S15" s="420"/>
      <c r="T15" s="420"/>
      <c r="U15" s="420"/>
      <c r="V15" s="420"/>
      <c r="W15" s="420"/>
      <c r="X15" s="420"/>
      <c r="Y15" s="420"/>
      <c r="Z15" s="420"/>
      <c r="AA15" s="420"/>
    </row>
    <row r="16" spans="1:27" s="410" customFormat="1" hidden="1">
      <c r="A16" s="413"/>
      <c r="B16" s="414"/>
      <c r="C16" s="413" t="str">
        <f>'5.Tiên lượng'!C196</f>
        <v>AG.41610</v>
      </c>
      <c r="D16" s="413"/>
      <c r="E16" s="415" t="str">
        <f>'5.Tiên lượng'!D196</f>
        <v>Lắp đặt tấm bản mặt bằng cần cẩu</v>
      </c>
      <c r="F16" s="414" t="str">
        <f>'5.Tiên lượng'!E196</f>
        <v>1cấu kiện</v>
      </c>
      <c r="G16" s="416">
        <f>'5.Tiên lượng'!M196</f>
        <v>8</v>
      </c>
      <c r="H16" s="416">
        <f>PTVT!G819</f>
        <v>1.4999999999999999E-2</v>
      </c>
      <c r="I16" s="416">
        <f>'5.Tiên lượng'!X196</f>
        <v>2</v>
      </c>
      <c r="J16" s="419">
        <f t="shared" si="1"/>
        <v>0.24</v>
      </c>
      <c r="K16" s="420"/>
      <c r="L16" s="420"/>
      <c r="M16" s="420"/>
      <c r="N16" s="420"/>
      <c r="O16" s="420"/>
      <c r="P16" s="420"/>
      <c r="Q16" s="420"/>
      <c r="R16" s="420"/>
      <c r="S16" s="420"/>
      <c r="T16" s="420"/>
      <c r="U16" s="420"/>
      <c r="V16" s="420"/>
      <c r="W16" s="420"/>
      <c r="X16" s="420"/>
      <c r="Y16" s="420"/>
      <c r="Z16" s="420"/>
      <c r="AA16" s="420"/>
    </row>
    <row r="17" spans="1:27" s="410" customFormat="1" hidden="1">
      <c r="A17" s="413"/>
      <c r="B17" s="414"/>
      <c r="C17" s="413" t="str">
        <f>'5.Tiên lượng'!C204</f>
        <v>AG.41610</v>
      </c>
      <c r="D17" s="413"/>
      <c r="E17" s="415" t="str">
        <f>'5.Tiên lượng'!D204</f>
        <v>Tháo dỡ tấm bản mặt cầu cũ bằng cần cẩu</v>
      </c>
      <c r="F17" s="414" t="str">
        <f>'5.Tiên lượng'!E204</f>
        <v>1cấu kiện</v>
      </c>
      <c r="G17" s="416">
        <f>'5.Tiên lượng'!M204</f>
        <v>3</v>
      </c>
      <c r="H17" s="416">
        <f>PTVT!G868</f>
        <v>1.4999999999999999E-2</v>
      </c>
      <c r="I17" s="416">
        <f>'5.Tiên lượng'!X204</f>
        <v>0.6</v>
      </c>
      <c r="J17" s="419">
        <f t="shared" si="1"/>
        <v>2.7E-2</v>
      </c>
      <c r="K17" s="420"/>
      <c r="L17" s="420"/>
      <c r="M17" s="420"/>
      <c r="N17" s="420"/>
      <c r="O17" s="420"/>
      <c r="P17" s="420"/>
      <c r="Q17" s="420"/>
      <c r="R17" s="420"/>
      <c r="S17" s="420"/>
      <c r="T17" s="420"/>
      <c r="U17" s="420"/>
      <c r="V17" s="420"/>
      <c r="W17" s="420"/>
      <c r="X17" s="420"/>
      <c r="Y17" s="420"/>
      <c r="Z17" s="420"/>
      <c r="AA17" s="420"/>
    </row>
    <row r="18" spans="1:27" s="410" customFormat="1" ht="27.6" hidden="1">
      <c r="A18" s="413"/>
      <c r="B18" s="414"/>
      <c r="C18" s="413" t="str">
        <f>'5.Tiên lượng'!C205</f>
        <v>BB.11211VD</v>
      </c>
      <c r="D18" s="413"/>
      <c r="E18" s="415" t="str">
        <f>'5.Tiên lượng'!D205</f>
        <v>Tháo dỡ ống bê tông bằng cần cẩu, đoạn ống dài 1m - Đường kính 400mm</v>
      </c>
      <c r="F18" s="414" t="str">
        <f>'5.Tiên lượng'!E205</f>
        <v>1 đoạn ống</v>
      </c>
      <c r="G18" s="416">
        <f>'5.Tiên lượng'!M205</f>
        <v>5</v>
      </c>
      <c r="H18" s="416">
        <f>PTVT!G873</f>
        <v>3.6999999999999998E-2</v>
      </c>
      <c r="I18" s="416">
        <f>'5.Tiên lượng'!X205</f>
        <v>1</v>
      </c>
      <c r="J18" s="419">
        <f t="shared" si="1"/>
        <v>0.185</v>
      </c>
      <c r="K18" s="420"/>
      <c r="L18" s="420"/>
      <c r="M18" s="420"/>
      <c r="N18" s="420"/>
      <c r="O18" s="420"/>
      <c r="P18" s="420"/>
      <c r="Q18" s="420"/>
      <c r="R18" s="420"/>
      <c r="S18" s="420"/>
      <c r="T18" s="420"/>
      <c r="U18" s="420"/>
      <c r="V18" s="420"/>
      <c r="W18" s="420"/>
      <c r="X18" s="420"/>
      <c r="Y18" s="420"/>
      <c r="Z18" s="420"/>
      <c r="AA18" s="420"/>
    </row>
    <row r="19" spans="1:27">
      <c r="A19" s="246" t="s">
        <v>759</v>
      </c>
      <c r="B19" s="265">
        <v>3</v>
      </c>
      <c r="C19" s="246" t="s">
        <v>660</v>
      </c>
      <c r="D19" s="246">
        <f>'Giá Máy'!D7</f>
        <v>0</v>
      </c>
      <c r="E19" s="266" t="str">
        <f>'Giá Máy'!E7</f>
        <v>Cần cẩu bánh hơi 16T</v>
      </c>
      <c r="F19" s="265" t="s">
        <v>926</v>
      </c>
      <c r="G19" s="417"/>
      <c r="H19" s="417"/>
      <c r="I19" s="417"/>
      <c r="J19" s="268">
        <f>SUM(J20:J21)</f>
        <v>0.30149999999999999</v>
      </c>
      <c r="K19" s="421">
        <f>'Giá Máy'!G7</f>
        <v>1963068.6973333301</v>
      </c>
      <c r="L19" s="421">
        <f>J19*K19</f>
        <v>591865.21224599902</v>
      </c>
      <c r="M19" s="421">
        <f>'Giá Máy'!H7</f>
        <v>2088524</v>
      </c>
      <c r="N19" s="421">
        <f>J19*M19</f>
        <v>629689.98600000003</v>
      </c>
      <c r="O19" s="421">
        <f>M19-K19</f>
        <v>125455.30266666994</v>
      </c>
      <c r="P19" s="421">
        <f>J19*O19</f>
        <v>37824.773754000984</v>
      </c>
      <c r="Q19" s="421">
        <v>1</v>
      </c>
      <c r="R19" s="421">
        <f>M19*Q19</f>
        <v>2088524</v>
      </c>
      <c r="S19" s="421">
        <f>J19*R19</f>
        <v>629689.98600000003</v>
      </c>
      <c r="T19" s="421">
        <v>125455.30266667</v>
      </c>
      <c r="U19" s="421">
        <v>37824.773754000998</v>
      </c>
      <c r="V19" s="421">
        <f>'Giá Máy'!N7</f>
        <v>0</v>
      </c>
      <c r="W19" s="421">
        <f>J19*V19</f>
        <v>0</v>
      </c>
      <c r="X19" s="421">
        <f>'Giá Máy'!O7</f>
        <v>2048480.7533333334</v>
      </c>
      <c r="Y19" s="421">
        <f>J19*X19</f>
        <v>617616.94712999999</v>
      </c>
      <c r="Z19" s="421">
        <f>X19-K19</f>
        <v>85412.056000003358</v>
      </c>
      <c r="AA19" s="421">
        <f>J19*Z19</f>
        <v>25751.734884001013</v>
      </c>
    </row>
    <row r="20" spans="1:27" s="410" customFormat="1" ht="41.4" hidden="1">
      <c r="A20" s="413"/>
      <c r="B20" s="414"/>
      <c r="C20" s="413" t="str">
        <f>'5.Tiên lượng'!C132</f>
        <v>AF.14212</v>
      </c>
      <c r="D20" s="413"/>
      <c r="E20" s="415" t="str">
        <f>'5.Tiên lượng'!D132</f>
        <v>Bê tông mũ mố, mũ trụ trên cạn SX bằng máy trộn, đổ bằng thủ công, bê tông M200, đá 1x2, PCB40</v>
      </c>
      <c r="F20" s="414" t="str">
        <f>'5.Tiên lượng'!E132</f>
        <v>m3</v>
      </c>
      <c r="G20" s="416">
        <f>'5.Tiên lượng'!M132</f>
        <v>5.91</v>
      </c>
      <c r="H20" s="416">
        <f>PTVT!G508</f>
        <v>4.4999999999999998E-2</v>
      </c>
      <c r="I20" s="416">
        <f>'5.Tiên lượng'!X132</f>
        <v>1</v>
      </c>
      <c r="J20" s="419">
        <f t="shared" ref="J20:J21" si="2">PRODUCT(G20,H20,I20)</f>
        <v>0.26595000000000002</v>
      </c>
      <c r="K20" s="420"/>
      <c r="L20" s="420"/>
      <c r="M20" s="420"/>
      <c r="N20" s="420"/>
      <c r="O20" s="420"/>
      <c r="P20" s="420"/>
      <c r="Q20" s="420"/>
      <c r="R20" s="420"/>
      <c r="S20" s="420"/>
      <c r="T20" s="420"/>
      <c r="U20" s="420"/>
      <c r="V20" s="420"/>
      <c r="W20" s="420"/>
      <c r="X20" s="420"/>
      <c r="Y20" s="420"/>
      <c r="Z20" s="420"/>
      <c r="AA20" s="420"/>
    </row>
    <row r="21" spans="1:27" s="410" customFormat="1" hidden="1">
      <c r="A21" s="413"/>
      <c r="B21" s="414"/>
      <c r="C21" s="413" t="str">
        <f>'5.Tiên lượng'!C197</f>
        <v>AF.14232</v>
      </c>
      <c r="D21" s="413"/>
      <c r="E21" s="415" t="str">
        <f>'5.Tiên lượng'!D197</f>
        <v>BTCT mũ mố, M200, đá 2x4, PCB40</v>
      </c>
      <c r="F21" s="414" t="str">
        <f>'5.Tiên lượng'!E197</f>
        <v>m3</v>
      </c>
      <c r="G21" s="416">
        <f>'5.Tiên lượng'!M197</f>
        <v>0.79</v>
      </c>
      <c r="H21" s="416">
        <f>PTVT!G832</f>
        <v>4.4999999999999998E-2</v>
      </c>
      <c r="I21" s="416">
        <f>'5.Tiên lượng'!X197</f>
        <v>1</v>
      </c>
      <c r="J21" s="419">
        <f t="shared" si="2"/>
        <v>3.5549999999999998E-2</v>
      </c>
      <c r="K21" s="420"/>
      <c r="L21" s="420"/>
      <c r="M21" s="420"/>
      <c r="N21" s="420"/>
      <c r="O21" s="420"/>
      <c r="P21" s="420"/>
      <c r="Q21" s="420"/>
      <c r="R21" s="420"/>
      <c r="S21" s="420"/>
      <c r="T21" s="420"/>
      <c r="U21" s="420"/>
      <c r="V21" s="420"/>
      <c r="W21" s="420"/>
      <c r="X21" s="420"/>
      <c r="Y21" s="420"/>
      <c r="Z21" s="420"/>
      <c r="AA21" s="420"/>
    </row>
    <row r="22" spans="1:27">
      <c r="A22" s="246" t="s">
        <v>759</v>
      </c>
      <c r="B22" s="265">
        <v>4</v>
      </c>
      <c r="C22" s="246" t="s">
        <v>637</v>
      </c>
      <c r="D22" s="246">
        <f>'Giá Máy'!D8</f>
        <v>0</v>
      </c>
      <c r="E22" s="266" t="str">
        <f>'Giá Máy'!E8</f>
        <v>Máy cắt bê tông 12CV (MCD 218)</v>
      </c>
      <c r="F22" s="265" t="s">
        <v>926</v>
      </c>
      <c r="G22" s="417"/>
      <c r="H22" s="417"/>
      <c r="I22" s="417"/>
      <c r="J22" s="268">
        <f>SUM(J23:J23)</f>
        <v>5.3663400000000001</v>
      </c>
      <c r="K22" s="421">
        <f>'Giá Máy'!G8</f>
        <v>469142.142666667</v>
      </c>
      <c r="L22" s="421">
        <f>J22*K22</f>
        <v>2517576.245877842</v>
      </c>
      <c r="M22" s="421">
        <f>'Giá Máy'!H8</f>
        <v>478341</v>
      </c>
      <c r="N22" s="421">
        <f>J22*M22</f>
        <v>2566940.4419400003</v>
      </c>
      <c r="O22" s="421">
        <f>M22-K22</f>
        <v>9198.8573333329987</v>
      </c>
      <c r="P22" s="421">
        <f>J22*O22</f>
        <v>49364.196062158204</v>
      </c>
      <c r="Q22" s="421">
        <v>1</v>
      </c>
      <c r="R22" s="421">
        <f>M22*Q22</f>
        <v>478341</v>
      </c>
      <c r="S22" s="421">
        <f>J22*R22</f>
        <v>2566940.4419400003</v>
      </c>
      <c r="T22" s="421">
        <v>9198.8573333330005</v>
      </c>
      <c r="U22" s="421">
        <v>49364.196062158197</v>
      </c>
      <c r="V22" s="421">
        <f>'Giá Máy'!N8</f>
        <v>0</v>
      </c>
      <c r="W22" s="421">
        <f>J22*V22</f>
        <v>0</v>
      </c>
      <c r="X22" s="421">
        <f>'Giá Máy'!O8</f>
        <v>491957.28666666668</v>
      </c>
      <c r="Y22" s="421">
        <f>J22*X22</f>
        <v>2640010.0657307999</v>
      </c>
      <c r="Z22" s="421">
        <f>X22-K22</f>
        <v>22815.14399999968</v>
      </c>
      <c r="AA22" s="421">
        <f>J22*Z22</f>
        <v>122433.81985295829</v>
      </c>
    </row>
    <row r="23" spans="1:27" s="410" customFormat="1" hidden="1">
      <c r="A23" s="413"/>
      <c r="B23" s="414"/>
      <c r="C23" s="413" t="str">
        <f>'5.Tiên lượng'!C70</f>
        <v>AL.24310</v>
      </c>
      <c r="D23" s="413"/>
      <c r="E23" s="415" t="str">
        <f>'5.Tiên lượng'!D70</f>
        <v>Cắt khe</v>
      </c>
      <c r="F23" s="414" t="str">
        <f>'5.Tiên lượng'!E70</f>
        <v>100m</v>
      </c>
      <c r="G23" s="416">
        <f>'5.Tiên lượng'!M70</f>
        <v>21.295000000000002</v>
      </c>
      <c r="H23" s="416">
        <f>PTVT!G259</f>
        <v>0.252</v>
      </c>
      <c r="I23" s="416">
        <f>'5.Tiên lượng'!X70</f>
        <v>1</v>
      </c>
      <c r="J23" s="419">
        <f>PRODUCT(G23,H23,I23)</f>
        <v>5.3663400000000001</v>
      </c>
      <c r="K23" s="420"/>
      <c r="L23" s="420"/>
      <c r="M23" s="420"/>
      <c r="N23" s="420"/>
      <c r="O23" s="420"/>
      <c r="P23" s="420"/>
      <c r="Q23" s="420"/>
      <c r="R23" s="420"/>
      <c r="S23" s="420"/>
      <c r="T23" s="420"/>
      <c r="U23" s="420"/>
      <c r="V23" s="420"/>
      <c r="W23" s="420"/>
      <c r="X23" s="420"/>
      <c r="Y23" s="420"/>
      <c r="Z23" s="420"/>
      <c r="AA23" s="420"/>
    </row>
    <row r="24" spans="1:27">
      <c r="A24" s="246" t="s">
        <v>759</v>
      </c>
      <c r="B24" s="265">
        <v>5</v>
      </c>
      <c r="C24" s="246" t="s">
        <v>633</v>
      </c>
      <c r="D24" s="246">
        <f>'Giá Máy'!D9</f>
        <v>0</v>
      </c>
      <c r="E24" s="266" t="str">
        <f>'Giá Máy'!E9</f>
        <v>Máy cắt uốn cốt thép 5kW</v>
      </c>
      <c r="F24" s="265" t="s">
        <v>926</v>
      </c>
      <c r="G24" s="417"/>
      <c r="H24" s="417"/>
      <c r="I24" s="417"/>
      <c r="J24" s="268">
        <f>SUM(J25:J30)</f>
        <v>26.891404000000001</v>
      </c>
      <c r="K24" s="421">
        <f>'Giá Máy'!G9</f>
        <v>263524.69340666698</v>
      </c>
      <c r="L24" s="421">
        <f>J24*K24</f>
        <v>7086548.9943748182</v>
      </c>
      <c r="M24" s="421">
        <f>'Giá Máy'!H9</f>
        <v>262996</v>
      </c>
      <c r="N24" s="421">
        <f>J24*M24</f>
        <v>7072331.6863840008</v>
      </c>
      <c r="O24" s="421">
        <f>M24-K24</f>
        <v>-528.69340666697826</v>
      </c>
      <c r="P24" s="421">
        <f>J24*O24</f>
        <v>-14217.307990818006</v>
      </c>
      <c r="Q24" s="421">
        <v>1</v>
      </c>
      <c r="R24" s="421">
        <f>M24*Q24</f>
        <v>262996</v>
      </c>
      <c r="S24" s="421">
        <f>J24*R24</f>
        <v>7072331.6863840008</v>
      </c>
      <c r="T24" s="421">
        <v>-528.69340666697803</v>
      </c>
      <c r="U24" s="421">
        <v>-14217.307990818001</v>
      </c>
      <c r="V24" s="421">
        <f>'Giá Máy'!N9</f>
        <v>0</v>
      </c>
      <c r="W24" s="421">
        <f>J24*V24</f>
        <v>0</v>
      </c>
      <c r="X24" s="421">
        <f>'Giá Máy'!O9</f>
        <v>286284.61192166666</v>
      </c>
      <c r="Y24" s="421">
        <f>J24*X24</f>
        <v>7698595.1581687545</v>
      </c>
      <c r="Z24" s="421">
        <f>X24-K24</f>
        <v>22759.918514999677</v>
      </c>
      <c r="AA24" s="421">
        <f>J24*Z24</f>
        <v>612046.16379393637</v>
      </c>
    </row>
    <row r="25" spans="1:27" s="410" customFormat="1" hidden="1">
      <c r="A25" s="413"/>
      <c r="B25" s="414"/>
      <c r="C25" s="413" t="str">
        <f>'5.Tiên lượng'!C67</f>
        <v>AL.24111</v>
      </c>
      <c r="D25" s="413"/>
      <c r="E25" s="415" t="str">
        <f>'5.Tiên lượng'!D67</f>
        <v>Thi công khe co không có thanh TL</v>
      </c>
      <c r="F25" s="414" t="str">
        <f>'5.Tiên lượng'!E67</f>
        <v>m</v>
      </c>
      <c r="G25" s="416">
        <f>'5.Tiên lượng'!M67</f>
        <v>1026</v>
      </c>
      <c r="H25" s="416">
        <f>PTVT!G223</f>
        <v>1.2999999999999999E-2</v>
      </c>
      <c r="I25" s="416">
        <f>'5.Tiên lượng'!X67</f>
        <v>1</v>
      </c>
      <c r="J25" s="419">
        <f t="shared" ref="J25:J30" si="3">PRODUCT(G25,H25,I25)</f>
        <v>13.337999999999999</v>
      </c>
      <c r="K25" s="420"/>
      <c r="L25" s="420"/>
      <c r="M25" s="420"/>
      <c r="N25" s="420"/>
      <c r="O25" s="420"/>
      <c r="P25" s="420"/>
      <c r="Q25" s="420"/>
      <c r="R25" s="420"/>
      <c r="S25" s="420"/>
      <c r="T25" s="420"/>
      <c r="U25" s="420"/>
      <c r="V25" s="420"/>
      <c r="W25" s="420"/>
      <c r="X25" s="420"/>
      <c r="Y25" s="420"/>
      <c r="Z25" s="420"/>
      <c r="AA25" s="420"/>
    </row>
    <row r="26" spans="1:27" s="410" customFormat="1" hidden="1">
      <c r="A26" s="413"/>
      <c r="B26" s="414"/>
      <c r="C26" s="413" t="str">
        <f>'5.Tiên lượng'!C68</f>
        <v>AL.24112(VD)</v>
      </c>
      <c r="D26" s="413"/>
      <c r="E26" s="415" t="str">
        <f>'5.Tiên lượng'!D68</f>
        <v>Thi công khe giãn</v>
      </c>
      <c r="F26" s="414" t="str">
        <f>'5.Tiên lượng'!E68</f>
        <v>m</v>
      </c>
      <c r="G26" s="416">
        <f>'5.Tiên lượng'!M68</f>
        <v>103.46</v>
      </c>
      <c r="H26" s="416">
        <f>PTVT!G238</f>
        <v>2.5999999999999999E-2</v>
      </c>
      <c r="I26" s="416">
        <f>'5.Tiên lượng'!X68</f>
        <v>1</v>
      </c>
      <c r="J26" s="419">
        <f t="shared" si="3"/>
        <v>2.6899599999999997</v>
      </c>
      <c r="K26" s="420"/>
      <c r="L26" s="420"/>
      <c r="M26" s="420"/>
      <c r="N26" s="420"/>
      <c r="O26" s="420"/>
      <c r="P26" s="420"/>
      <c r="Q26" s="420"/>
      <c r="R26" s="420"/>
      <c r="S26" s="420"/>
      <c r="T26" s="420"/>
      <c r="U26" s="420"/>
      <c r="V26" s="420"/>
      <c r="W26" s="420"/>
      <c r="X26" s="420"/>
      <c r="Y26" s="420"/>
      <c r="Z26" s="420"/>
      <c r="AA26" s="420"/>
    </row>
    <row r="27" spans="1:27" s="410" customFormat="1" hidden="1">
      <c r="A27" s="413"/>
      <c r="B27" s="414"/>
      <c r="C27" s="413" t="str">
        <f>'5.Tiên lượng'!C69</f>
        <v>AL.24113(VD)</v>
      </c>
      <c r="D27" s="413"/>
      <c r="E27" s="415" t="str">
        <f>'5.Tiên lượng'!D69</f>
        <v>Thi công  khe dọc</v>
      </c>
      <c r="F27" s="414" t="str">
        <f>'5.Tiên lượng'!E69</f>
        <v>m</v>
      </c>
      <c r="G27" s="416">
        <f>'5.Tiên lượng'!M69</f>
        <v>1000.04</v>
      </c>
      <c r="H27" s="416">
        <f>PTVT!G249</f>
        <v>0.01</v>
      </c>
      <c r="I27" s="416">
        <f>'5.Tiên lượng'!X69</f>
        <v>1</v>
      </c>
      <c r="J27" s="419">
        <f t="shared" si="3"/>
        <v>10.000399999999999</v>
      </c>
      <c r="K27" s="420"/>
      <c r="L27" s="420"/>
      <c r="M27" s="420"/>
      <c r="N27" s="420"/>
      <c r="O27" s="420"/>
      <c r="P27" s="420"/>
      <c r="Q27" s="420"/>
      <c r="R27" s="420"/>
      <c r="S27" s="420"/>
      <c r="T27" s="420"/>
      <c r="U27" s="420"/>
      <c r="V27" s="420"/>
      <c r="W27" s="420"/>
      <c r="X27" s="420"/>
      <c r="Y27" s="420"/>
      <c r="Z27" s="420"/>
      <c r="AA27" s="420"/>
    </row>
    <row r="28" spans="1:27" s="410" customFormat="1" hidden="1">
      <c r="A28" s="413"/>
      <c r="B28" s="414"/>
      <c r="C28" s="413" t="str">
        <f>'5.Tiên lượng'!C133</f>
        <v>AF.61110</v>
      </c>
      <c r="D28" s="413"/>
      <c r="E28" s="415" t="str">
        <f>'5.Tiên lượng'!D133</f>
        <v>Lắp dựng cốt thép móng, ĐK ≤10mm</v>
      </c>
      <c r="F28" s="414" t="str">
        <f>'5.Tiên lượng'!E133</f>
        <v>tấn</v>
      </c>
      <c r="G28" s="416">
        <f>'5.Tiên lượng'!M133</f>
        <v>0.24490000000000001</v>
      </c>
      <c r="H28" s="416">
        <f>PTVT!G517</f>
        <v>0.4</v>
      </c>
      <c r="I28" s="416">
        <f>'5.Tiên lượng'!X133</f>
        <v>1</v>
      </c>
      <c r="J28" s="419">
        <f t="shared" si="3"/>
        <v>9.7960000000000005E-2</v>
      </c>
      <c r="K28" s="420"/>
      <c r="L28" s="420"/>
      <c r="M28" s="420"/>
      <c r="N28" s="420"/>
      <c r="O28" s="420"/>
      <c r="P28" s="420"/>
      <c r="Q28" s="420"/>
      <c r="R28" s="420"/>
      <c r="S28" s="420"/>
      <c r="T28" s="420"/>
      <c r="U28" s="420"/>
      <c r="V28" s="420"/>
      <c r="W28" s="420"/>
      <c r="X28" s="420"/>
      <c r="Y28" s="420"/>
      <c r="Z28" s="420"/>
      <c r="AA28" s="420"/>
    </row>
    <row r="29" spans="1:27" s="410" customFormat="1" hidden="1">
      <c r="A29" s="413"/>
      <c r="B29" s="414"/>
      <c r="C29" s="413" t="str">
        <f>'5.Tiên lượng'!C141</f>
        <v>AG.13231</v>
      </c>
      <c r="D29" s="413"/>
      <c r="E29" s="415" t="str">
        <f>'5.Tiên lượng'!D141</f>
        <v>Cốt thép tấm đậy</v>
      </c>
      <c r="F29" s="414" t="str">
        <f>'5.Tiên lượng'!E141</f>
        <v>tấn</v>
      </c>
      <c r="G29" s="416">
        <f>'5.Tiên lượng'!M141</f>
        <v>1.7095600000000002</v>
      </c>
      <c r="H29" s="416">
        <f>PTVT!G552</f>
        <v>0.4</v>
      </c>
      <c r="I29" s="416">
        <f>'5.Tiên lượng'!X141</f>
        <v>1</v>
      </c>
      <c r="J29" s="419">
        <f t="shared" si="3"/>
        <v>0.6838240000000001</v>
      </c>
      <c r="K29" s="420"/>
      <c r="L29" s="420"/>
      <c r="M29" s="420"/>
      <c r="N29" s="420"/>
      <c r="O29" s="420"/>
      <c r="P29" s="420"/>
      <c r="Q29" s="420"/>
      <c r="R29" s="420"/>
      <c r="S29" s="420"/>
      <c r="T29" s="420"/>
      <c r="U29" s="420"/>
      <c r="V29" s="420"/>
      <c r="W29" s="420"/>
      <c r="X29" s="420"/>
      <c r="Y29" s="420"/>
      <c r="Z29" s="420"/>
      <c r="AA29" s="420"/>
    </row>
    <row r="30" spans="1:27" s="410" customFormat="1" hidden="1">
      <c r="A30" s="413"/>
      <c r="B30" s="414"/>
      <c r="C30" s="413" t="str">
        <f>'5.Tiên lượng'!C198</f>
        <v>AG.13231</v>
      </c>
      <c r="D30" s="413"/>
      <c r="E30" s="415" t="str">
        <f>'5.Tiên lượng'!D198</f>
        <v>Cốt thép tấm bản mặt</v>
      </c>
      <c r="F30" s="414" t="str">
        <f>'5.Tiên lượng'!E198</f>
        <v>tấn</v>
      </c>
      <c r="G30" s="416">
        <f>'5.Tiên lượng'!M198</f>
        <v>0.20314999999999997</v>
      </c>
      <c r="H30" s="416">
        <f>PTVT!G841</f>
        <v>0.4</v>
      </c>
      <c r="I30" s="416">
        <f>'5.Tiên lượng'!X198</f>
        <v>1</v>
      </c>
      <c r="J30" s="419">
        <f t="shared" si="3"/>
        <v>8.1259999999999999E-2</v>
      </c>
      <c r="K30" s="420"/>
      <c r="L30" s="420"/>
      <c r="M30" s="420"/>
      <c r="N30" s="420"/>
      <c r="O30" s="420"/>
      <c r="P30" s="420"/>
      <c r="Q30" s="420"/>
      <c r="R30" s="420"/>
      <c r="S30" s="420"/>
      <c r="T30" s="420"/>
      <c r="U30" s="420"/>
      <c r="V30" s="420"/>
      <c r="W30" s="420"/>
      <c r="X30" s="420"/>
      <c r="Y30" s="420"/>
      <c r="Z30" s="420"/>
      <c r="AA30" s="420"/>
    </row>
    <row r="31" spans="1:27">
      <c r="A31" s="246" t="s">
        <v>759</v>
      </c>
      <c r="B31" s="265">
        <v>6</v>
      </c>
      <c r="C31" s="246" t="s">
        <v>624</v>
      </c>
      <c r="D31" s="246">
        <f>'Giá Máy'!D10</f>
        <v>0</v>
      </c>
      <c r="E31" s="266" t="str">
        <f>'Giá Máy'!E10</f>
        <v>Máy đầm bàn 1kW</v>
      </c>
      <c r="F31" s="265" t="s">
        <v>926</v>
      </c>
      <c r="G31" s="417"/>
      <c r="H31" s="417"/>
      <c r="I31" s="417"/>
      <c r="J31" s="268">
        <f>SUM(J32:J33)</f>
        <v>81.239199999999997</v>
      </c>
      <c r="K31" s="421">
        <f>'Giá Máy'!G10</f>
        <v>254878.35930000001</v>
      </c>
      <c r="L31" s="421">
        <f>J31*K31</f>
        <v>20706114.006844562</v>
      </c>
      <c r="M31" s="421">
        <f>'Giá Máy'!H10</f>
        <v>254585</v>
      </c>
      <c r="N31" s="421">
        <f>J31*M31</f>
        <v>20682281.732000001</v>
      </c>
      <c r="O31" s="421">
        <f>M31-K31</f>
        <v>-293.35930000001099</v>
      </c>
      <c r="P31" s="421">
        <f>J31*O31</f>
        <v>-23832.274844560892</v>
      </c>
      <c r="Q31" s="421">
        <v>1</v>
      </c>
      <c r="R31" s="421">
        <f>M31*Q31</f>
        <v>254585</v>
      </c>
      <c r="S31" s="421">
        <f>J31*R31</f>
        <v>20682281.732000001</v>
      </c>
      <c r="T31" s="421">
        <v>-293.35930000001099</v>
      </c>
      <c r="U31" s="421">
        <v>-23832.2748445609</v>
      </c>
      <c r="V31" s="421">
        <f>'Giá Máy'!N10</f>
        <v>0</v>
      </c>
      <c r="W31" s="421">
        <f>J31*V31</f>
        <v>0</v>
      </c>
      <c r="X31" s="421">
        <f>'Giá Máy'!O10</f>
        <v>276870.75847500004</v>
      </c>
      <c r="Y31" s="421">
        <f>J31*X31</f>
        <v>22492758.921902221</v>
      </c>
      <c r="Z31" s="421">
        <f>X31-K31</f>
        <v>21992.399175000028</v>
      </c>
      <c r="AA31" s="421">
        <f>J31*Z31</f>
        <v>1786644.9150576622</v>
      </c>
    </row>
    <row r="32" spans="1:27" s="410" customFormat="1" ht="41.4" hidden="1">
      <c r="A32" s="413"/>
      <c r="B32" s="414"/>
      <c r="C32" s="413" t="str">
        <f>'5.Tiên lượng'!C46</f>
        <v>AF.15433</v>
      </c>
      <c r="D32" s="413"/>
      <c r="E32" s="415" t="str">
        <f>'5.Tiên lượng'!D46</f>
        <v>Bê tông sản xuất bằng máy trộn và đổ bằng thủ công, bê tông mặt đường dày mặt đường ≤25cm, bê tông M250, đá 2x4, PCB40</v>
      </c>
      <c r="F32" s="414" t="str">
        <f>'5.Tiên lượng'!E46</f>
        <v>m3</v>
      </c>
      <c r="G32" s="416">
        <f>'5.Tiên lượng'!M46</f>
        <v>900.03599999999994</v>
      </c>
      <c r="H32" s="416">
        <f>PTVT!G126</f>
        <v>8.8999999999999996E-2</v>
      </c>
      <c r="I32" s="416">
        <f>'5.Tiên lượng'!X46</f>
        <v>1</v>
      </c>
      <c r="J32" s="419">
        <f t="shared" ref="J32:J33" si="4">PRODUCT(G32,H32,I32)</f>
        <v>80.103203999999991</v>
      </c>
      <c r="K32" s="420"/>
      <c r="L32" s="420"/>
      <c r="M32" s="420"/>
      <c r="N32" s="420"/>
      <c r="O32" s="420"/>
      <c r="P32" s="420"/>
      <c r="Q32" s="420"/>
      <c r="R32" s="420"/>
      <c r="S32" s="420"/>
      <c r="T32" s="420"/>
      <c r="U32" s="420"/>
      <c r="V32" s="420"/>
      <c r="W32" s="420"/>
      <c r="X32" s="420"/>
      <c r="Y32" s="420"/>
      <c r="Z32" s="420"/>
      <c r="AA32" s="420"/>
    </row>
    <row r="33" spans="1:27" s="410" customFormat="1" ht="41.4" hidden="1">
      <c r="A33" s="413"/>
      <c r="B33" s="414"/>
      <c r="C33" s="413" t="str">
        <f>'5.Tiên lượng'!C59</f>
        <v>AF.15433</v>
      </c>
      <c r="D33" s="413"/>
      <c r="E33" s="415" t="str">
        <f>'5.Tiên lượng'!D59</f>
        <v>Bê tông sản xuất bằng máy trộn và đổ bằng thủ công, bê tông mặt đường dày mặt đường ≤25cm, bê tông M250, đá 2x4, PCB40</v>
      </c>
      <c r="F33" s="414" t="str">
        <f>'5.Tiên lượng'!E59</f>
        <v>m3</v>
      </c>
      <c r="G33" s="416">
        <f>'5.Tiên lượng'!M59</f>
        <v>12.764000000000001</v>
      </c>
      <c r="H33" s="416">
        <f>PTVT!G183</f>
        <v>8.8999999999999996E-2</v>
      </c>
      <c r="I33" s="416">
        <f>'5.Tiên lượng'!X59</f>
        <v>1</v>
      </c>
      <c r="J33" s="419">
        <f t="shared" si="4"/>
        <v>1.135996</v>
      </c>
      <c r="K33" s="420"/>
      <c r="L33" s="420"/>
      <c r="M33" s="420"/>
      <c r="N33" s="420"/>
      <c r="O33" s="420"/>
      <c r="P33" s="420"/>
      <c r="Q33" s="420"/>
      <c r="R33" s="420"/>
      <c r="S33" s="420"/>
      <c r="T33" s="420"/>
      <c r="U33" s="420"/>
      <c r="V33" s="420"/>
      <c r="W33" s="420"/>
      <c r="X33" s="420"/>
      <c r="Y33" s="420"/>
      <c r="Z33" s="420"/>
      <c r="AA33" s="420"/>
    </row>
    <row r="34" spans="1:27">
      <c r="A34" s="246" t="s">
        <v>759</v>
      </c>
      <c r="B34" s="265">
        <v>7</v>
      </c>
      <c r="C34" s="246" t="s">
        <v>676</v>
      </c>
      <c r="D34" s="246">
        <f>'Giá Máy'!D11</f>
        <v>0</v>
      </c>
      <c r="E34" s="266" t="str">
        <f>'Giá Máy'!E11</f>
        <v>Máy đầm đất cầm tay 70kg</v>
      </c>
      <c r="F34" s="265" t="s">
        <v>926</v>
      </c>
      <c r="G34" s="417"/>
      <c r="H34" s="417"/>
      <c r="I34" s="417"/>
      <c r="J34" s="268">
        <f>SUM(J35:J35)</f>
        <v>1.410318</v>
      </c>
      <c r="K34" s="421">
        <f>'Giá Máy'!G11</f>
        <v>353771.75799999997</v>
      </c>
      <c r="L34" s="421">
        <f>J34*K34</f>
        <v>498930.67819904396</v>
      </c>
      <c r="M34" s="421">
        <f>'Giá Máy'!H11</f>
        <v>358371</v>
      </c>
      <c r="N34" s="421">
        <f>J34*M34</f>
        <v>505417.07197799999</v>
      </c>
      <c r="O34" s="421">
        <f>M34-K34</f>
        <v>4599.2420000000275</v>
      </c>
      <c r="P34" s="421">
        <f>J34*O34</f>
        <v>6486.3937789560387</v>
      </c>
      <c r="Q34" s="421">
        <v>1</v>
      </c>
      <c r="R34" s="421">
        <f>M34*Q34</f>
        <v>358371</v>
      </c>
      <c r="S34" s="421">
        <f>J34*R34</f>
        <v>505417.07197799999</v>
      </c>
      <c r="T34" s="421">
        <v>4599.2420000000302</v>
      </c>
      <c r="U34" s="421">
        <v>6486.3937789560396</v>
      </c>
      <c r="V34" s="421">
        <f>'Giá Máy'!N11</f>
        <v>0</v>
      </c>
      <c r="W34" s="421">
        <f>J34*V34</f>
        <v>0</v>
      </c>
      <c r="X34" s="421">
        <f>'Giá Máy'!O11</f>
        <v>375695.83</v>
      </c>
      <c r="Y34" s="421">
        <f>J34*X34</f>
        <v>529850.59157394001</v>
      </c>
      <c r="Z34" s="421">
        <f>X34-K34</f>
        <v>21924.072000000044</v>
      </c>
      <c r="AA34" s="421">
        <f>J34*Z34</f>
        <v>30919.913374896059</v>
      </c>
    </row>
    <row r="35" spans="1:27" s="410" customFormat="1" ht="27.6" hidden="1">
      <c r="A35" s="413"/>
      <c r="B35" s="414"/>
      <c r="C35" s="413" t="str">
        <f>'5.Tiên lượng'!C175</f>
        <v>AB.65130</v>
      </c>
      <c r="D35" s="413"/>
      <c r="E35" s="415" t="str">
        <f>'5.Tiên lượng'!D175</f>
        <v>Đắp đất bằng đầm đất cầm tay 70kg, độ chặt Y/C K = 0,95</v>
      </c>
      <c r="F35" s="414" t="str">
        <f>'5.Tiên lượng'!E175</f>
        <v>100m3</v>
      </c>
      <c r="G35" s="416">
        <f>'5.Tiên lượng'!M175</f>
        <v>0.31850000000000001</v>
      </c>
      <c r="H35" s="416">
        <f>PTVT!G671</f>
        <v>4.4279999999999999</v>
      </c>
      <c r="I35" s="416">
        <f>'5.Tiên lượng'!X175</f>
        <v>1</v>
      </c>
      <c r="J35" s="419">
        <f>PRODUCT(G35,H35,I35)</f>
        <v>1.410318</v>
      </c>
      <c r="K35" s="420"/>
      <c r="L35" s="420"/>
      <c r="M35" s="420"/>
      <c r="N35" s="420"/>
      <c r="O35" s="420"/>
      <c r="P35" s="420"/>
      <c r="Q35" s="420"/>
      <c r="R35" s="420"/>
      <c r="S35" s="420"/>
      <c r="T35" s="420"/>
      <c r="U35" s="420"/>
      <c r="V35" s="420"/>
      <c r="W35" s="420"/>
      <c r="X35" s="420"/>
      <c r="Y35" s="420"/>
      <c r="Z35" s="420"/>
      <c r="AA35" s="420"/>
    </row>
    <row r="36" spans="1:27">
      <c r="A36" s="246" t="s">
        <v>759</v>
      </c>
      <c r="B36" s="265">
        <v>8</v>
      </c>
      <c r="C36" s="246" t="s">
        <v>625</v>
      </c>
      <c r="D36" s="246">
        <f>'Giá Máy'!D12</f>
        <v>0</v>
      </c>
      <c r="E36" s="266" t="str">
        <f>'Giá Máy'!E12</f>
        <v>Máy đầm dùi 1,5kW</v>
      </c>
      <c r="F36" s="265" t="s">
        <v>926</v>
      </c>
      <c r="G36" s="417"/>
      <c r="H36" s="417"/>
      <c r="I36" s="417"/>
      <c r="J36" s="268">
        <f>SUM(J37:J45)</f>
        <v>83.788690000000003</v>
      </c>
      <c r="K36" s="421">
        <f>'Giá Máy'!G12</f>
        <v>258903.14301999999</v>
      </c>
      <c r="L36" s="421">
        <f>J36*K36</f>
        <v>21693155.190528445</v>
      </c>
      <c r="M36" s="421">
        <f>'Giá Máy'!H12</f>
        <v>258492</v>
      </c>
      <c r="N36" s="421">
        <f>J36*M36</f>
        <v>21658706.05548</v>
      </c>
      <c r="O36" s="421">
        <f>M36-K36</f>
        <v>-411.14301999998861</v>
      </c>
      <c r="P36" s="421">
        <f>J36*O36</f>
        <v>-34449.135048442848</v>
      </c>
      <c r="Q36" s="421">
        <v>1</v>
      </c>
      <c r="R36" s="421">
        <f>M36*Q36</f>
        <v>258492</v>
      </c>
      <c r="S36" s="421">
        <f>J36*R36</f>
        <v>21658706.05548</v>
      </c>
      <c r="T36" s="421">
        <v>-411.14301999998901</v>
      </c>
      <c r="U36" s="421">
        <v>-34449.135048442797</v>
      </c>
      <c r="V36" s="421">
        <f>'Giá Máy'!N12</f>
        <v>0</v>
      </c>
      <c r="W36" s="421">
        <f>J36*V36</f>
        <v>0</v>
      </c>
      <c r="X36" s="421">
        <f>'Giá Máy'!O12</f>
        <v>281279.30186500004</v>
      </c>
      <c r="Y36" s="421">
        <f>J36*X36</f>
        <v>23568024.22738291</v>
      </c>
      <c r="Z36" s="421">
        <f>X36-K36</f>
        <v>22376.158845000056</v>
      </c>
      <c r="AA36" s="421">
        <f>J36*Z36</f>
        <v>1874869.0368544678</v>
      </c>
    </row>
    <row r="37" spans="1:27" s="410" customFormat="1" ht="41.4" hidden="1">
      <c r="A37" s="413"/>
      <c r="B37" s="414"/>
      <c r="C37" s="413" t="str">
        <f>'5.Tiên lượng'!C46</f>
        <v>AF.15433</v>
      </c>
      <c r="D37" s="413"/>
      <c r="E37" s="415" t="str">
        <f>'5.Tiên lượng'!D46</f>
        <v>Bê tông sản xuất bằng máy trộn và đổ bằng thủ công, bê tông mặt đường dày mặt đường ≤25cm, bê tông M250, đá 2x4, PCB40</v>
      </c>
      <c r="F37" s="414" t="str">
        <f>'5.Tiên lượng'!E46</f>
        <v>m3</v>
      </c>
      <c r="G37" s="416">
        <f>'5.Tiên lượng'!M46</f>
        <v>900.03599999999994</v>
      </c>
      <c r="H37" s="416">
        <f>PTVT!G127</f>
        <v>8.8999999999999996E-2</v>
      </c>
      <c r="I37" s="416">
        <f>'5.Tiên lượng'!X46</f>
        <v>1</v>
      </c>
      <c r="J37" s="419">
        <f t="shared" ref="J37:J45" si="5">PRODUCT(G37,H37,I37)</f>
        <v>80.103203999999991</v>
      </c>
      <c r="K37" s="420"/>
      <c r="L37" s="420"/>
      <c r="M37" s="420"/>
      <c r="N37" s="420"/>
      <c r="O37" s="420"/>
      <c r="P37" s="420"/>
      <c r="Q37" s="420"/>
      <c r="R37" s="420"/>
      <c r="S37" s="420"/>
      <c r="T37" s="420"/>
      <c r="U37" s="420"/>
      <c r="V37" s="420"/>
      <c r="W37" s="420"/>
      <c r="X37" s="420"/>
      <c r="Y37" s="420"/>
      <c r="Z37" s="420"/>
      <c r="AA37" s="420"/>
    </row>
    <row r="38" spans="1:27" s="410" customFormat="1" ht="41.4" hidden="1">
      <c r="A38" s="413"/>
      <c r="B38" s="414"/>
      <c r="C38" s="413" t="str">
        <f>'5.Tiên lượng'!C59</f>
        <v>AF.15433</v>
      </c>
      <c r="D38" s="413"/>
      <c r="E38" s="415" t="str">
        <f>'5.Tiên lượng'!D59</f>
        <v>Bê tông sản xuất bằng máy trộn và đổ bằng thủ công, bê tông mặt đường dày mặt đường ≤25cm, bê tông M250, đá 2x4, PCB40</v>
      </c>
      <c r="F38" s="414" t="str">
        <f>'5.Tiên lượng'!E59</f>
        <v>m3</v>
      </c>
      <c r="G38" s="416">
        <f>'5.Tiên lượng'!M59</f>
        <v>12.764000000000001</v>
      </c>
      <c r="H38" s="416">
        <f>PTVT!G184</f>
        <v>8.8999999999999996E-2</v>
      </c>
      <c r="I38" s="416">
        <f>'5.Tiên lượng'!X59</f>
        <v>1</v>
      </c>
      <c r="J38" s="419">
        <f t="shared" si="5"/>
        <v>1.135996</v>
      </c>
      <c r="K38" s="420"/>
      <c r="L38" s="420"/>
      <c r="M38" s="420"/>
      <c r="N38" s="420"/>
      <c r="O38" s="420"/>
      <c r="P38" s="420"/>
      <c r="Q38" s="420"/>
      <c r="R38" s="420"/>
      <c r="S38" s="420"/>
      <c r="T38" s="420"/>
      <c r="U38" s="420"/>
      <c r="V38" s="420"/>
      <c r="W38" s="420"/>
      <c r="X38" s="420"/>
      <c r="Y38" s="420"/>
      <c r="Z38" s="420"/>
      <c r="AA38" s="420"/>
    </row>
    <row r="39" spans="1:27" s="410" customFormat="1" hidden="1">
      <c r="A39" s="413"/>
      <c r="B39" s="414"/>
      <c r="C39" s="413" t="str">
        <f>'5.Tiên lượng'!C128</f>
        <v>AF.11231</v>
      </c>
      <c r="D39" s="413"/>
      <c r="E39" s="415" t="str">
        <f>'5.Tiên lượng'!D128</f>
        <v>BTXM móng rãnh, M150, đá 2x4, PCB40</v>
      </c>
      <c r="F39" s="414" t="str">
        <f>'5.Tiên lượng'!E128</f>
        <v>m3</v>
      </c>
      <c r="G39" s="416">
        <f>'5.Tiên lượng'!M128</f>
        <v>7.43</v>
      </c>
      <c r="H39" s="416">
        <f>PTVT!G474</f>
        <v>8.8999999999999996E-2</v>
      </c>
      <c r="I39" s="416">
        <f>'5.Tiên lượng'!X128</f>
        <v>1</v>
      </c>
      <c r="J39" s="419">
        <f t="shared" si="5"/>
        <v>0.66126999999999991</v>
      </c>
      <c r="K39" s="420"/>
      <c r="L39" s="420"/>
      <c r="M39" s="420"/>
      <c r="N39" s="420"/>
      <c r="O39" s="420"/>
      <c r="P39" s="420"/>
      <c r="Q39" s="420"/>
      <c r="R39" s="420"/>
      <c r="S39" s="420"/>
      <c r="T39" s="420"/>
      <c r="U39" s="420"/>
      <c r="V39" s="420"/>
      <c r="W39" s="420"/>
      <c r="X39" s="420"/>
      <c r="Y39" s="420"/>
      <c r="Z39" s="420"/>
      <c r="AA39" s="420"/>
    </row>
    <row r="40" spans="1:27" s="410" customFormat="1" ht="41.4" hidden="1">
      <c r="A40" s="413"/>
      <c r="B40" s="414"/>
      <c r="C40" s="413" t="str">
        <f>'5.Tiên lượng'!C132</f>
        <v>AF.14212</v>
      </c>
      <c r="D40" s="413"/>
      <c r="E40" s="415" t="str">
        <f>'5.Tiên lượng'!D132</f>
        <v>Bê tông mũ mố, mũ trụ trên cạn SX bằng máy trộn, đổ bằng thủ công, bê tông M200, đá 1x2, PCB40</v>
      </c>
      <c r="F40" s="414" t="str">
        <f>'5.Tiên lượng'!E132</f>
        <v>m3</v>
      </c>
      <c r="G40" s="416">
        <f>'5.Tiên lượng'!M132</f>
        <v>5.91</v>
      </c>
      <c r="H40" s="416">
        <f>PTVT!G507</f>
        <v>8.8999999999999996E-2</v>
      </c>
      <c r="I40" s="416">
        <f>'5.Tiên lượng'!X132</f>
        <v>1</v>
      </c>
      <c r="J40" s="419">
        <f t="shared" si="5"/>
        <v>0.52598999999999996</v>
      </c>
      <c r="K40" s="420"/>
      <c r="L40" s="420"/>
      <c r="M40" s="420"/>
      <c r="N40" s="420"/>
      <c r="O40" s="420"/>
      <c r="P40" s="420"/>
      <c r="Q40" s="420"/>
      <c r="R40" s="420"/>
      <c r="S40" s="420"/>
      <c r="T40" s="420"/>
      <c r="U40" s="420"/>
      <c r="V40" s="420"/>
      <c r="W40" s="420"/>
      <c r="X40" s="420"/>
      <c r="Y40" s="420"/>
      <c r="Z40" s="420"/>
      <c r="AA40" s="420"/>
    </row>
    <row r="41" spans="1:27" s="410" customFormat="1" hidden="1">
      <c r="A41" s="413"/>
      <c r="B41" s="414"/>
      <c r="C41" s="413" t="str">
        <f>'5.Tiên lượng'!C152</f>
        <v>AF.13211</v>
      </c>
      <c r="D41" s="413"/>
      <c r="E41" s="415" t="str">
        <f>'5.Tiên lượng'!D152</f>
        <v>BTXM rãnh dọc, M150, đá 1x2, PCB40</v>
      </c>
      <c r="F41" s="414" t="str">
        <f>'5.Tiên lượng'!E152</f>
        <v>m3</v>
      </c>
      <c r="G41" s="416">
        <f>'5.Tiên lượng'!M152</f>
        <v>3.3</v>
      </c>
      <c r="H41" s="416">
        <f>PTVT!G603</f>
        <v>8.8999999999999996E-2</v>
      </c>
      <c r="I41" s="416">
        <f>'5.Tiên lượng'!X152</f>
        <v>1</v>
      </c>
      <c r="J41" s="419">
        <f t="shared" si="5"/>
        <v>0.29369999999999996</v>
      </c>
      <c r="K41" s="420"/>
      <c r="L41" s="420"/>
      <c r="M41" s="420"/>
      <c r="N41" s="420"/>
      <c r="O41" s="420"/>
      <c r="P41" s="420"/>
      <c r="Q41" s="420"/>
      <c r="R41" s="420"/>
      <c r="S41" s="420"/>
      <c r="T41" s="420"/>
      <c r="U41" s="420"/>
      <c r="V41" s="420"/>
      <c r="W41" s="420"/>
      <c r="X41" s="420"/>
      <c r="Y41" s="420"/>
      <c r="Z41" s="420"/>
      <c r="AA41" s="420"/>
    </row>
    <row r="42" spans="1:27" s="410" customFormat="1" ht="27.6" hidden="1">
      <c r="A42" s="413"/>
      <c r="B42" s="414"/>
      <c r="C42" s="413" t="str">
        <f>'5.Tiên lượng'!C192</f>
        <v>AF.12151</v>
      </c>
      <c r="D42" s="413"/>
      <c r="E42" s="415" t="str">
        <f>'5.Tiên lượng'!D192</f>
        <v>BTXM đầu cống - Chiều dày ≤45cm, chiều cao ≤6m, M150, đá 2x4, PCB40</v>
      </c>
      <c r="F42" s="414" t="str">
        <f>'5.Tiên lượng'!E192</f>
        <v>m3</v>
      </c>
      <c r="G42" s="416">
        <f>'5.Tiên lượng'!M192</f>
        <v>2.29</v>
      </c>
      <c r="H42" s="416">
        <f>PTVT!G779</f>
        <v>0.18</v>
      </c>
      <c r="I42" s="416">
        <f>'5.Tiên lượng'!X192</f>
        <v>1</v>
      </c>
      <c r="J42" s="419">
        <f t="shared" si="5"/>
        <v>0.41220000000000001</v>
      </c>
      <c r="K42" s="420"/>
      <c r="L42" s="420"/>
      <c r="M42" s="420"/>
      <c r="N42" s="420"/>
      <c r="O42" s="420"/>
      <c r="P42" s="420"/>
      <c r="Q42" s="420"/>
      <c r="R42" s="420"/>
      <c r="S42" s="420"/>
      <c r="T42" s="420"/>
      <c r="U42" s="420"/>
      <c r="V42" s="420"/>
      <c r="W42" s="420"/>
      <c r="X42" s="420"/>
      <c r="Y42" s="420"/>
      <c r="Z42" s="420"/>
      <c r="AA42" s="420"/>
    </row>
    <row r="43" spans="1:27" s="410" customFormat="1" ht="27.6" hidden="1">
      <c r="A43" s="413"/>
      <c r="B43" s="414"/>
      <c r="C43" s="413" t="str">
        <f>'5.Tiên lượng'!C193</f>
        <v>AF.12152</v>
      </c>
      <c r="D43" s="413"/>
      <c r="E43" s="415" t="str">
        <f>'5.Tiên lượng'!D193</f>
        <v>BTXM thân cống - Chiều dày ≤45cm, chiều cao ≤6m, M200, đá 2x4, PCB40</v>
      </c>
      <c r="F43" s="414" t="str">
        <f>'5.Tiên lượng'!E193</f>
        <v>m3</v>
      </c>
      <c r="G43" s="416">
        <f>'5.Tiên lượng'!M193</f>
        <v>1.0900000000000001</v>
      </c>
      <c r="H43" s="416">
        <f>PTVT!G791</f>
        <v>0.18</v>
      </c>
      <c r="I43" s="416">
        <f>'5.Tiên lượng'!X193</f>
        <v>1</v>
      </c>
      <c r="J43" s="419">
        <f t="shared" si="5"/>
        <v>0.19620000000000001</v>
      </c>
      <c r="K43" s="420"/>
      <c r="L43" s="420"/>
      <c r="M43" s="420"/>
      <c r="N43" s="420"/>
      <c r="O43" s="420"/>
      <c r="P43" s="420"/>
      <c r="Q43" s="420"/>
      <c r="R43" s="420"/>
      <c r="S43" s="420"/>
      <c r="T43" s="420"/>
      <c r="U43" s="420"/>
      <c r="V43" s="420"/>
      <c r="W43" s="420"/>
      <c r="X43" s="420"/>
      <c r="Y43" s="420"/>
      <c r="Z43" s="420"/>
      <c r="AA43" s="420"/>
    </row>
    <row r="44" spans="1:27" s="410" customFormat="1" hidden="1">
      <c r="A44" s="413"/>
      <c r="B44" s="414"/>
      <c r="C44" s="413" t="str">
        <f>'5.Tiên lượng'!C194</f>
        <v>AF.11231</v>
      </c>
      <c r="D44" s="413"/>
      <c r="E44" s="415" t="str">
        <f>'5.Tiên lượng'!D194</f>
        <v>BTXM móng cống, M150, đá 2x4, PCB40</v>
      </c>
      <c r="F44" s="414" t="str">
        <f>'5.Tiên lượng'!E194</f>
        <v>m3</v>
      </c>
      <c r="G44" s="416">
        <f>'5.Tiên lượng'!M194</f>
        <v>4.38</v>
      </c>
      <c r="H44" s="416">
        <f>PTVT!G803</f>
        <v>8.8999999999999996E-2</v>
      </c>
      <c r="I44" s="416">
        <f>'5.Tiên lượng'!X194</f>
        <v>1</v>
      </c>
      <c r="J44" s="419">
        <f t="shared" si="5"/>
        <v>0.38981999999999994</v>
      </c>
      <c r="K44" s="420"/>
      <c r="L44" s="420"/>
      <c r="M44" s="420"/>
      <c r="N44" s="420"/>
      <c r="O44" s="420"/>
      <c r="P44" s="420"/>
      <c r="Q44" s="420"/>
      <c r="R44" s="420"/>
      <c r="S44" s="420"/>
      <c r="T44" s="420"/>
      <c r="U44" s="420"/>
      <c r="V44" s="420"/>
      <c r="W44" s="420"/>
      <c r="X44" s="420"/>
      <c r="Y44" s="420"/>
      <c r="Z44" s="420"/>
      <c r="AA44" s="420"/>
    </row>
    <row r="45" spans="1:27" s="410" customFormat="1" hidden="1">
      <c r="A45" s="413"/>
      <c r="B45" s="414"/>
      <c r="C45" s="413" t="str">
        <f>'5.Tiên lượng'!C197</f>
        <v>AF.14232</v>
      </c>
      <c r="D45" s="413"/>
      <c r="E45" s="415" t="str">
        <f>'5.Tiên lượng'!D197</f>
        <v>BTCT mũ mố, M200, đá 2x4, PCB40</v>
      </c>
      <c r="F45" s="414" t="str">
        <f>'5.Tiên lượng'!E197</f>
        <v>m3</v>
      </c>
      <c r="G45" s="416">
        <f>'5.Tiên lượng'!M197</f>
        <v>0.79</v>
      </c>
      <c r="H45" s="416">
        <f>PTVT!G831</f>
        <v>8.8999999999999996E-2</v>
      </c>
      <c r="I45" s="416">
        <f>'5.Tiên lượng'!X197</f>
        <v>1</v>
      </c>
      <c r="J45" s="419">
        <f t="shared" si="5"/>
        <v>7.0309999999999997E-2</v>
      </c>
      <c r="K45" s="420"/>
      <c r="L45" s="420"/>
      <c r="M45" s="420"/>
      <c r="N45" s="420"/>
      <c r="O45" s="420"/>
      <c r="P45" s="420"/>
      <c r="Q45" s="420"/>
      <c r="R45" s="420"/>
      <c r="S45" s="420"/>
      <c r="T45" s="420"/>
      <c r="U45" s="420"/>
      <c r="V45" s="420"/>
      <c r="W45" s="420"/>
      <c r="X45" s="420"/>
      <c r="Y45" s="420"/>
      <c r="Z45" s="420"/>
      <c r="AA45" s="420"/>
    </row>
    <row r="46" spans="1:27">
      <c r="A46" s="246" t="s">
        <v>759</v>
      </c>
      <c r="B46" s="265">
        <v>9</v>
      </c>
      <c r="C46" s="246" t="s">
        <v>675</v>
      </c>
      <c r="D46" s="246">
        <f>'Giá Máy'!D13</f>
        <v>0</v>
      </c>
      <c r="E46" s="266" t="str">
        <f>'Giá Máy'!E13</f>
        <v>Máy đào 0,8m3</v>
      </c>
      <c r="F46" s="265" t="s">
        <v>926</v>
      </c>
      <c r="G46" s="417"/>
      <c r="H46" s="417"/>
      <c r="I46" s="417"/>
      <c r="J46" s="268">
        <f>SUM(J47:J49)</f>
        <v>0.4028023</v>
      </c>
      <c r="K46" s="421">
        <f>'Giá Máy'!G13</f>
        <v>2469839.2450000001</v>
      </c>
      <c r="L46" s="421">
        <f>J46*K46</f>
        <v>994856.92851626361</v>
      </c>
      <c r="M46" s="421">
        <f>'Giá Máy'!H13</f>
        <v>2716948</v>
      </c>
      <c r="N46" s="421">
        <f>J46*M46</f>
        <v>1094392.9033804</v>
      </c>
      <c r="O46" s="421">
        <f>M46-K46</f>
        <v>247108.75499999989</v>
      </c>
      <c r="P46" s="421">
        <f>J46*O46</f>
        <v>99535.974864136457</v>
      </c>
      <c r="Q46" s="421">
        <v>1</v>
      </c>
      <c r="R46" s="421">
        <f>M46*Q46</f>
        <v>2716948</v>
      </c>
      <c r="S46" s="421">
        <f>J46*R46</f>
        <v>1094392.9033804</v>
      </c>
      <c r="T46" s="421">
        <v>247108.755</v>
      </c>
      <c r="U46" s="421">
        <v>99535.9748641365</v>
      </c>
      <c r="V46" s="421">
        <f>'Giá Máy'!N13</f>
        <v>0</v>
      </c>
      <c r="W46" s="421">
        <f>J46*V46</f>
        <v>0</v>
      </c>
      <c r="X46" s="421">
        <f>'Giá Máy'!O13</f>
        <v>2545313.3250000002</v>
      </c>
      <c r="Y46" s="421">
        <f>J46*X46</f>
        <v>1025258.0615306476</v>
      </c>
      <c r="Z46" s="421">
        <f>X46-K46</f>
        <v>75474.080000000075</v>
      </c>
      <c r="AA46" s="421">
        <f>J46*Z46</f>
        <v>30401.133014384031</v>
      </c>
    </row>
    <row r="47" spans="1:27" s="410" customFormat="1" ht="27.6" hidden="1">
      <c r="A47" s="413"/>
      <c r="B47" s="414"/>
      <c r="C47" s="413" t="str">
        <f>'5.Tiên lượng'!C169</f>
        <v>AB.25112</v>
      </c>
      <c r="D47" s="413"/>
      <c r="E47" s="415" t="str">
        <f>'5.Tiên lượng'!D169</f>
        <v>Đào móng bằng máy đào 0,8m3, chiều rộng móng ≤6m - Cấp đất II</v>
      </c>
      <c r="F47" s="414" t="str">
        <f>'5.Tiên lượng'!E169</f>
        <v>100m3</v>
      </c>
      <c r="G47" s="416">
        <f>'5.Tiên lượng'!M169</f>
        <v>0.13830000000000001</v>
      </c>
      <c r="H47" s="416">
        <f>PTVT!G656</f>
        <v>0.372</v>
      </c>
      <c r="I47" s="416">
        <f>'5.Tiên lượng'!X169</f>
        <v>1</v>
      </c>
      <c r="J47" s="419">
        <f t="shared" ref="J47:J49" si="6">PRODUCT(G47,H47,I47)</f>
        <v>5.1447600000000003E-2</v>
      </c>
      <c r="K47" s="420"/>
      <c r="L47" s="420"/>
      <c r="M47" s="420"/>
      <c r="N47" s="420"/>
      <c r="O47" s="420"/>
      <c r="P47" s="420"/>
      <c r="Q47" s="420"/>
      <c r="R47" s="420"/>
      <c r="S47" s="420"/>
      <c r="T47" s="420"/>
      <c r="U47" s="420"/>
      <c r="V47" s="420"/>
      <c r="W47" s="420"/>
      <c r="X47" s="420"/>
      <c r="Y47" s="420"/>
      <c r="Z47" s="420"/>
      <c r="AA47" s="420"/>
    </row>
    <row r="48" spans="1:27" s="410" customFormat="1" ht="27.6" hidden="1">
      <c r="A48" s="413"/>
      <c r="B48" s="414"/>
      <c r="C48" s="413" t="str">
        <f>'5.Tiên lượng'!C171</f>
        <v>AB.25113</v>
      </c>
      <c r="D48" s="413"/>
      <c r="E48" s="415" t="str">
        <f>'5.Tiên lượng'!D171</f>
        <v>Đào móng bằng máy đào 0,8m3, chiều rộng móng ≤6m - Cấp đất III</v>
      </c>
      <c r="F48" s="414" t="str">
        <f>'5.Tiên lượng'!E171</f>
        <v>100m3</v>
      </c>
      <c r="G48" s="416">
        <f>'5.Tiên lượng'!M171</f>
        <v>0.67</v>
      </c>
      <c r="H48" s="416">
        <f>PTVT!G661</f>
        <v>0.52</v>
      </c>
      <c r="I48" s="416">
        <f>'5.Tiên lượng'!X171</f>
        <v>1</v>
      </c>
      <c r="J48" s="419">
        <f t="shared" si="6"/>
        <v>0.34840000000000004</v>
      </c>
      <c r="K48" s="420"/>
      <c r="L48" s="420"/>
      <c r="M48" s="420"/>
      <c r="N48" s="420"/>
      <c r="O48" s="420"/>
      <c r="P48" s="420"/>
      <c r="Q48" s="420"/>
      <c r="R48" s="420"/>
      <c r="S48" s="420"/>
      <c r="T48" s="420"/>
      <c r="U48" s="420"/>
      <c r="V48" s="420"/>
      <c r="W48" s="420"/>
      <c r="X48" s="420"/>
      <c r="Y48" s="420"/>
      <c r="Z48" s="420"/>
      <c r="AA48" s="420"/>
    </row>
    <row r="49" spans="1:27" s="410" customFormat="1" ht="27.6" hidden="1">
      <c r="A49" s="413"/>
      <c r="B49" s="414"/>
      <c r="C49" s="413" t="str">
        <f>'5.Tiên lượng'!C173</f>
        <v>AB.25114</v>
      </c>
      <c r="D49" s="413"/>
      <c r="E49" s="415" t="str">
        <f>'5.Tiên lượng'!D173</f>
        <v>Đào móng bằng máy đào 0,8m3, chiều rộng móng ≤6m - Cấp đất IV</v>
      </c>
      <c r="F49" s="414" t="str">
        <f>'5.Tiên lượng'!E173</f>
        <v>100m3</v>
      </c>
      <c r="G49" s="416">
        <f>'5.Tiên lượng'!M173</f>
        <v>4.8999999999999998E-3</v>
      </c>
      <c r="H49" s="416">
        <f>PTVT!G666</f>
        <v>0.60299999999999998</v>
      </c>
      <c r="I49" s="416">
        <f>'5.Tiên lượng'!X173</f>
        <v>1</v>
      </c>
      <c r="J49" s="419">
        <f t="shared" si="6"/>
        <v>2.9546999999999998E-3</v>
      </c>
      <c r="K49" s="420"/>
      <c r="L49" s="420"/>
      <c r="M49" s="420"/>
      <c r="N49" s="420"/>
      <c r="O49" s="420"/>
      <c r="P49" s="420"/>
      <c r="Q49" s="420"/>
      <c r="R49" s="420"/>
      <c r="S49" s="420"/>
      <c r="T49" s="420"/>
      <c r="U49" s="420"/>
      <c r="V49" s="420"/>
      <c r="W49" s="420"/>
      <c r="X49" s="420"/>
      <c r="Y49" s="420"/>
      <c r="Z49" s="420"/>
      <c r="AA49" s="420"/>
    </row>
    <row r="50" spans="1:27">
      <c r="A50" s="246" t="s">
        <v>759</v>
      </c>
      <c r="B50" s="265">
        <v>10</v>
      </c>
      <c r="C50" s="246" t="s">
        <v>599</v>
      </c>
      <c r="D50" s="246">
        <f>'Giá Máy'!D14</f>
        <v>0</v>
      </c>
      <c r="E50" s="266" t="str">
        <f>'Giá Máy'!E14</f>
        <v>Máy đào 1,25m3</v>
      </c>
      <c r="F50" s="265" t="s">
        <v>926</v>
      </c>
      <c r="G50" s="417"/>
      <c r="H50" s="417"/>
      <c r="I50" s="417"/>
      <c r="J50" s="268">
        <f>SUM(J51:J72)</f>
        <v>7.4720200999999999</v>
      </c>
      <c r="K50" s="421">
        <f>'Giá Máy'!G14</f>
        <v>3407481.1497142902</v>
      </c>
      <c r="L50" s="421">
        <f>J50*K50</f>
        <v>25460767.641036287</v>
      </c>
      <c r="M50" s="421">
        <f>'Giá Máy'!H14</f>
        <v>3723020</v>
      </c>
      <c r="N50" s="421">
        <f>J50*M50</f>
        <v>27818480.272702001</v>
      </c>
      <c r="O50" s="421">
        <f>M50-K50</f>
        <v>315538.85028570984</v>
      </c>
      <c r="P50" s="421">
        <f>J50*O50</f>
        <v>2357712.6316657146</v>
      </c>
      <c r="Q50" s="421">
        <v>1</v>
      </c>
      <c r="R50" s="421">
        <f>M50*Q50</f>
        <v>3723020</v>
      </c>
      <c r="S50" s="421">
        <f>J50*R50</f>
        <v>27818480.272702001</v>
      </c>
      <c r="T50" s="421">
        <v>315538.85028571001</v>
      </c>
      <c r="U50" s="421">
        <v>2357712.6316657099</v>
      </c>
      <c r="V50" s="421">
        <f>'Giá Máy'!N14</f>
        <v>0</v>
      </c>
      <c r="W50" s="421">
        <f>J50*V50</f>
        <v>0</v>
      </c>
      <c r="X50" s="421">
        <f>'Giá Máy'!O14</f>
        <v>3496941.8057142859</v>
      </c>
      <c r="Y50" s="421">
        <f>J50*X50</f>
        <v>26129219.46082744</v>
      </c>
      <c r="Z50" s="421">
        <f>X50-K50</f>
        <v>89460.655999995768</v>
      </c>
      <c r="AA50" s="421">
        <f>J50*Z50</f>
        <v>668451.819791154</v>
      </c>
    </row>
    <row r="51" spans="1:27" s="410" customFormat="1" ht="27.6" hidden="1">
      <c r="A51" s="413"/>
      <c r="B51" s="414"/>
      <c r="C51" s="413" t="str">
        <f>'5.Tiên lượng'!C12</f>
        <v>AB.31132</v>
      </c>
      <c r="D51" s="413"/>
      <c r="E51" s="415" t="str">
        <f>'5.Tiên lượng'!D12</f>
        <v>Đào nền đường bằng máy đào 1,25m3 - Cấp đất II</v>
      </c>
      <c r="F51" s="414" t="str">
        <f>'5.Tiên lượng'!E12</f>
        <v>100m3</v>
      </c>
      <c r="G51" s="416">
        <f>'5.Tiên lượng'!M12</f>
        <v>0.95230000000000004</v>
      </c>
      <c r="H51" s="416">
        <f>PTVT!G12</f>
        <v>0.26400000000000001</v>
      </c>
      <c r="I51" s="416">
        <f>'5.Tiên lượng'!X12</f>
        <v>1</v>
      </c>
      <c r="J51" s="419">
        <f t="shared" ref="J51:J72" si="7">PRODUCT(G51,H51,I51)</f>
        <v>0.2514072</v>
      </c>
      <c r="K51" s="420"/>
      <c r="L51" s="420"/>
      <c r="M51" s="420"/>
      <c r="N51" s="420"/>
      <c r="O51" s="420"/>
      <c r="P51" s="420"/>
      <c r="Q51" s="420"/>
      <c r="R51" s="420"/>
      <c r="S51" s="420"/>
      <c r="T51" s="420"/>
      <c r="U51" s="420"/>
      <c r="V51" s="420"/>
      <c r="W51" s="420"/>
      <c r="X51" s="420"/>
      <c r="Y51" s="420"/>
      <c r="Z51" s="420"/>
      <c r="AA51" s="420"/>
    </row>
    <row r="52" spans="1:27" s="410" customFormat="1" ht="27.6" hidden="1">
      <c r="A52" s="413"/>
      <c r="B52" s="414"/>
      <c r="C52" s="413" t="str">
        <f>'5.Tiên lượng'!C14</f>
        <v>AB.31133</v>
      </c>
      <c r="D52" s="413"/>
      <c r="E52" s="415" t="str">
        <f>'5.Tiên lượng'!D14</f>
        <v>Đào nền đường bằng máy đào 1,25m3 - Cấp đất III</v>
      </c>
      <c r="F52" s="414" t="str">
        <f>'5.Tiên lượng'!E14</f>
        <v>100m3</v>
      </c>
      <c r="G52" s="416">
        <f>'5.Tiên lượng'!M14</f>
        <v>2.7511999999999999</v>
      </c>
      <c r="H52" s="416">
        <f>PTVT!G18</f>
        <v>0.311</v>
      </c>
      <c r="I52" s="416">
        <f>'5.Tiên lượng'!X14</f>
        <v>1</v>
      </c>
      <c r="J52" s="419">
        <f t="shared" si="7"/>
        <v>0.85562319999999992</v>
      </c>
      <c r="K52" s="420"/>
      <c r="L52" s="420"/>
      <c r="M52" s="420"/>
      <c r="N52" s="420"/>
      <c r="O52" s="420"/>
      <c r="P52" s="420"/>
      <c r="Q52" s="420"/>
      <c r="R52" s="420"/>
      <c r="S52" s="420"/>
      <c r="T52" s="420"/>
      <c r="U52" s="420"/>
      <c r="V52" s="420"/>
      <c r="W52" s="420"/>
      <c r="X52" s="420"/>
      <c r="Y52" s="420"/>
      <c r="Z52" s="420"/>
      <c r="AA52" s="420"/>
    </row>
    <row r="53" spans="1:27" s="410" customFormat="1" ht="27.6" hidden="1">
      <c r="A53" s="413"/>
      <c r="B53" s="414"/>
      <c r="C53" s="413" t="str">
        <f>'5.Tiên lượng'!C16</f>
        <v>AB.31134</v>
      </c>
      <c r="D53" s="413"/>
      <c r="E53" s="415" t="str">
        <f>'5.Tiên lượng'!D16</f>
        <v>Đào nền đường bằng máy đào 1,25m3 - Cấp đất IV</v>
      </c>
      <c r="F53" s="414" t="str">
        <f>'5.Tiên lượng'!E16</f>
        <v>100m3</v>
      </c>
      <c r="G53" s="416">
        <f>'5.Tiên lượng'!M16</f>
        <v>1.4199999999999999E-2</v>
      </c>
      <c r="H53" s="416">
        <f>PTVT!G24</f>
        <v>0.42399999999999999</v>
      </c>
      <c r="I53" s="416">
        <f>'5.Tiên lượng'!X16</f>
        <v>1</v>
      </c>
      <c r="J53" s="419">
        <f t="shared" si="7"/>
        <v>6.0207999999999998E-3</v>
      </c>
      <c r="K53" s="420"/>
      <c r="L53" s="420"/>
      <c r="M53" s="420"/>
      <c r="N53" s="420"/>
      <c r="O53" s="420"/>
      <c r="P53" s="420"/>
      <c r="Q53" s="420"/>
      <c r="R53" s="420"/>
      <c r="S53" s="420"/>
      <c r="T53" s="420"/>
      <c r="U53" s="420"/>
      <c r="V53" s="420"/>
      <c r="W53" s="420"/>
      <c r="X53" s="420"/>
      <c r="Y53" s="420"/>
      <c r="Z53" s="420"/>
      <c r="AA53" s="420"/>
    </row>
    <row r="54" spans="1:27" s="410" customFormat="1" hidden="1">
      <c r="A54" s="413"/>
      <c r="B54" s="414"/>
      <c r="C54" s="413" t="str">
        <f>'5.Tiên lượng'!C19</f>
        <v>AB.31134VD</v>
      </c>
      <c r="D54" s="413"/>
      <c r="E54" s="415" t="str">
        <f>'5.Tiên lượng'!D19</f>
        <v>Đào đường cũ cấp phối bằng máy đào 1,25m3</v>
      </c>
      <c r="F54" s="414" t="str">
        <f>'5.Tiên lượng'!E19</f>
        <v>m3</v>
      </c>
      <c r="G54" s="416">
        <f>'5.Tiên lượng'!M19</f>
        <v>0</v>
      </c>
      <c r="H54" s="416">
        <f>PTVT!G36</f>
        <v>4.2399999999999998E-3</v>
      </c>
      <c r="I54" s="416">
        <f>'5.Tiên lượng'!X19</f>
        <v>1</v>
      </c>
      <c r="J54" s="419">
        <f t="shared" si="7"/>
        <v>0</v>
      </c>
      <c r="K54" s="420"/>
      <c r="L54" s="420"/>
      <c r="M54" s="420"/>
      <c r="N54" s="420"/>
      <c r="O54" s="420"/>
      <c r="P54" s="420"/>
      <c r="Q54" s="420"/>
      <c r="R54" s="420"/>
      <c r="S54" s="420"/>
      <c r="T54" s="420"/>
      <c r="U54" s="420"/>
      <c r="V54" s="420"/>
      <c r="W54" s="420"/>
      <c r="X54" s="420"/>
      <c r="Y54" s="420"/>
      <c r="Z54" s="420"/>
      <c r="AA54" s="420"/>
    </row>
    <row r="55" spans="1:27" s="410" customFormat="1" hidden="1">
      <c r="A55" s="413"/>
      <c r="B55" s="414"/>
      <c r="C55" s="413" t="str">
        <f>'5.Tiên lượng'!C21</f>
        <v>AB.31132(VD)</v>
      </c>
      <c r="D55" s="413"/>
      <c r="E55" s="415" t="str">
        <f>'5.Tiên lượng'!D21</f>
        <v>Đào rãnh bằng máy đào 1,25m3 - Cấp đất II</v>
      </c>
      <c r="F55" s="414" t="str">
        <f>'5.Tiên lượng'!E21</f>
        <v>100m3</v>
      </c>
      <c r="G55" s="416">
        <f>'5.Tiên lượng'!M21</f>
        <v>7.2900000000000006E-2</v>
      </c>
      <c r="H55" s="416">
        <f>PTVT!G42</f>
        <v>0.26400000000000001</v>
      </c>
      <c r="I55" s="416">
        <f>'5.Tiên lượng'!X21</f>
        <v>1</v>
      </c>
      <c r="J55" s="419">
        <f t="shared" si="7"/>
        <v>1.9245600000000002E-2</v>
      </c>
      <c r="K55" s="420"/>
      <c r="L55" s="420"/>
      <c r="M55" s="420"/>
      <c r="N55" s="420"/>
      <c r="O55" s="420"/>
      <c r="P55" s="420"/>
      <c r="Q55" s="420"/>
      <c r="R55" s="420"/>
      <c r="S55" s="420"/>
      <c r="T55" s="420"/>
      <c r="U55" s="420"/>
      <c r="V55" s="420"/>
      <c r="W55" s="420"/>
      <c r="X55" s="420"/>
      <c r="Y55" s="420"/>
      <c r="Z55" s="420"/>
      <c r="AA55" s="420"/>
    </row>
    <row r="56" spans="1:27" s="410" customFormat="1" hidden="1">
      <c r="A56" s="413"/>
      <c r="B56" s="414"/>
      <c r="C56" s="413" t="str">
        <f>'5.Tiên lượng'!C23</f>
        <v>AB.31133(VD)</v>
      </c>
      <c r="D56" s="413"/>
      <c r="E56" s="415" t="str">
        <f>'5.Tiên lượng'!D23</f>
        <v>Đào rãnh bằng máy đào 1,25m3 - Cấp đất III</v>
      </c>
      <c r="F56" s="414" t="str">
        <f>'5.Tiên lượng'!E23</f>
        <v>100m3</v>
      </c>
      <c r="G56" s="416">
        <f>'5.Tiên lượng'!M23</f>
        <v>0.88529999999999998</v>
      </c>
      <c r="H56" s="416">
        <f>PTVT!G48</f>
        <v>0.311</v>
      </c>
      <c r="I56" s="416">
        <f>'5.Tiên lượng'!X23</f>
        <v>1</v>
      </c>
      <c r="J56" s="419">
        <f t="shared" si="7"/>
        <v>0.27532829999999997</v>
      </c>
      <c r="K56" s="420"/>
      <c r="L56" s="420"/>
      <c r="M56" s="420"/>
      <c r="N56" s="420"/>
      <c r="O56" s="420"/>
      <c r="P56" s="420"/>
      <c r="Q56" s="420"/>
      <c r="R56" s="420"/>
      <c r="S56" s="420"/>
      <c r="T56" s="420"/>
      <c r="U56" s="420"/>
      <c r="V56" s="420"/>
      <c r="W56" s="420"/>
      <c r="X56" s="420"/>
      <c r="Y56" s="420"/>
      <c r="Z56" s="420"/>
      <c r="AA56" s="420"/>
    </row>
    <row r="57" spans="1:27" s="410" customFormat="1" hidden="1">
      <c r="A57" s="413"/>
      <c r="B57" s="414"/>
      <c r="C57" s="413" t="str">
        <f>'5.Tiên lượng'!C25</f>
        <v>AB.31134(VD)</v>
      </c>
      <c r="D57" s="413"/>
      <c r="E57" s="415" t="str">
        <f>'5.Tiên lượng'!D25</f>
        <v>Đào rãnh bằng máy đào 1,25m3 - Cấp đất IV</v>
      </c>
      <c r="F57" s="414" t="str">
        <f>'5.Tiên lượng'!E25</f>
        <v>100m3</v>
      </c>
      <c r="G57" s="416">
        <f>'5.Tiên lượng'!M25</f>
        <v>1.1000000000000001E-3</v>
      </c>
      <c r="H57" s="416">
        <f>PTVT!G54</f>
        <v>0.42399999999999999</v>
      </c>
      <c r="I57" s="416">
        <f>'5.Tiên lượng'!X25</f>
        <v>1</v>
      </c>
      <c r="J57" s="419">
        <f t="shared" si="7"/>
        <v>4.6640000000000001E-4</v>
      </c>
      <c r="K57" s="420"/>
      <c r="L57" s="420"/>
      <c r="M57" s="420"/>
      <c r="N57" s="420"/>
      <c r="O57" s="420"/>
      <c r="P57" s="420"/>
      <c r="Q57" s="420"/>
      <c r="R57" s="420"/>
      <c r="S57" s="420"/>
      <c r="T57" s="420"/>
      <c r="U57" s="420"/>
      <c r="V57" s="420"/>
      <c r="W57" s="420"/>
      <c r="X57" s="420"/>
      <c r="Y57" s="420"/>
      <c r="Z57" s="420"/>
      <c r="AA57" s="420"/>
    </row>
    <row r="58" spans="1:27" s="410" customFormat="1" hidden="1">
      <c r="A58" s="413"/>
      <c r="B58" s="414"/>
      <c r="C58" s="413" t="str">
        <f>'5.Tiên lượng'!C29</f>
        <v>AB.31132(VD)</v>
      </c>
      <c r="D58" s="413"/>
      <c r="E58" s="415" t="str">
        <f>'5.Tiên lượng'!D29</f>
        <v>Đào cấp bằng máy đào 1,25m3 - Cấp đất II</v>
      </c>
      <c r="F58" s="414" t="str">
        <f>'5.Tiên lượng'!E29</f>
        <v>100m3</v>
      </c>
      <c r="G58" s="416">
        <f>'5.Tiên lượng'!M29</f>
        <v>0.86290000000000011</v>
      </c>
      <c r="H58" s="416">
        <f>PTVT!G65</f>
        <v>0.26400000000000001</v>
      </c>
      <c r="I58" s="416">
        <f>'5.Tiên lượng'!X29</f>
        <v>1</v>
      </c>
      <c r="J58" s="419">
        <f t="shared" si="7"/>
        <v>0.22780560000000005</v>
      </c>
      <c r="K58" s="420"/>
      <c r="L58" s="420"/>
      <c r="M58" s="420"/>
      <c r="N58" s="420"/>
      <c r="O58" s="420"/>
      <c r="P58" s="420"/>
      <c r="Q58" s="420"/>
      <c r="R58" s="420"/>
      <c r="S58" s="420"/>
      <c r="T58" s="420"/>
      <c r="U58" s="420"/>
      <c r="V58" s="420"/>
      <c r="W58" s="420"/>
      <c r="X58" s="420"/>
      <c r="Y58" s="420"/>
      <c r="Z58" s="420"/>
      <c r="AA58" s="420"/>
    </row>
    <row r="59" spans="1:27" s="410" customFormat="1" hidden="1">
      <c r="A59" s="413"/>
      <c r="B59" s="414"/>
      <c r="C59" s="413" t="str">
        <f>'5.Tiên lượng'!C31</f>
        <v>AB.31132</v>
      </c>
      <c r="D59" s="413"/>
      <c r="E59" s="415" t="str">
        <f>'5.Tiên lượng'!D31</f>
        <v>Đào hữu cơ bằng máy đào 1,25m3 - Cấp đất II</v>
      </c>
      <c r="F59" s="414" t="str">
        <f>'5.Tiên lượng'!E31</f>
        <v>100m3</v>
      </c>
      <c r="G59" s="416">
        <f>'5.Tiên lượng'!M31</f>
        <v>3.8552999999999997</v>
      </c>
      <c r="H59" s="416">
        <f>PTVT!G71</f>
        <v>0.26400000000000001</v>
      </c>
      <c r="I59" s="416">
        <f>'5.Tiên lượng'!X31</f>
        <v>1</v>
      </c>
      <c r="J59" s="419">
        <f t="shared" si="7"/>
        <v>1.0177992</v>
      </c>
      <c r="K59" s="420"/>
      <c r="L59" s="420"/>
      <c r="M59" s="420"/>
      <c r="N59" s="420"/>
      <c r="O59" s="420"/>
      <c r="P59" s="420"/>
      <c r="Q59" s="420"/>
      <c r="R59" s="420"/>
      <c r="S59" s="420"/>
      <c r="T59" s="420"/>
      <c r="U59" s="420"/>
      <c r="V59" s="420"/>
      <c r="W59" s="420"/>
      <c r="X59" s="420"/>
      <c r="Y59" s="420"/>
      <c r="Z59" s="420"/>
      <c r="AA59" s="420"/>
    </row>
    <row r="60" spans="1:27" s="410" customFormat="1" ht="27.6" hidden="1">
      <c r="A60" s="413"/>
      <c r="B60" s="414"/>
      <c r="C60" s="413" t="str">
        <f>'5.Tiên lượng'!C42</f>
        <v>AB.31134VD</v>
      </c>
      <c r="D60" s="413"/>
      <c r="E60" s="415" t="str">
        <f>'5.Tiên lượng'!D42</f>
        <v>Đào khuôn đường cũ cấp phối bằng máy đào 1,25m3</v>
      </c>
      <c r="F60" s="414" t="str">
        <f>'5.Tiên lượng'!E42</f>
        <v>m3</v>
      </c>
      <c r="G60" s="416">
        <f>'5.Tiên lượng'!M42</f>
        <v>90.77</v>
      </c>
      <c r="H60" s="416">
        <f>PTVT!G104</f>
        <v>4.2399999999999998E-3</v>
      </c>
      <c r="I60" s="416">
        <f>'5.Tiên lượng'!X42</f>
        <v>1</v>
      </c>
      <c r="J60" s="419">
        <f t="shared" si="7"/>
        <v>0.38486479999999995</v>
      </c>
      <c r="K60" s="420"/>
      <c r="L60" s="420"/>
      <c r="M60" s="420"/>
      <c r="N60" s="420"/>
      <c r="O60" s="420"/>
      <c r="P60" s="420"/>
      <c r="Q60" s="420"/>
      <c r="R60" s="420"/>
      <c r="S60" s="420"/>
      <c r="T60" s="420"/>
      <c r="U60" s="420"/>
      <c r="V60" s="420"/>
      <c r="W60" s="420"/>
      <c r="X60" s="420"/>
      <c r="Y60" s="420"/>
      <c r="Z60" s="420"/>
      <c r="AA60" s="420"/>
    </row>
    <row r="61" spans="1:27" s="410" customFormat="1" ht="27.6" hidden="1">
      <c r="A61" s="413"/>
      <c r="B61" s="414"/>
      <c r="C61" s="413" t="str">
        <f>'5.Tiên lượng'!C43</f>
        <v>AB.31133</v>
      </c>
      <c r="D61" s="413"/>
      <c r="E61" s="415" t="str">
        <f>'5.Tiên lượng'!D43</f>
        <v>Đào nền đường bằng máy đào 1,25m3 - Cấp đất III</v>
      </c>
      <c r="F61" s="414" t="str">
        <f>'5.Tiên lượng'!E43</f>
        <v>100m3</v>
      </c>
      <c r="G61" s="416">
        <f>'5.Tiên lượng'!M43</f>
        <v>1.2237</v>
      </c>
      <c r="H61" s="416">
        <f>PTVT!G110</f>
        <v>0.311</v>
      </c>
      <c r="I61" s="416">
        <f>'5.Tiên lượng'!X43</f>
        <v>1</v>
      </c>
      <c r="J61" s="419">
        <f t="shared" si="7"/>
        <v>0.38057069999999998</v>
      </c>
      <c r="K61" s="420"/>
      <c r="L61" s="420"/>
      <c r="M61" s="420"/>
      <c r="N61" s="420"/>
      <c r="O61" s="420"/>
      <c r="P61" s="420"/>
      <c r="Q61" s="420"/>
      <c r="R61" s="420"/>
      <c r="S61" s="420"/>
      <c r="T61" s="420"/>
      <c r="U61" s="420"/>
      <c r="V61" s="420"/>
      <c r="W61" s="420"/>
      <c r="X61" s="420"/>
      <c r="Y61" s="420"/>
      <c r="Z61" s="420"/>
      <c r="AA61" s="420"/>
    </row>
    <row r="62" spans="1:27" s="410" customFormat="1" ht="27.6" hidden="1">
      <c r="A62" s="413"/>
      <c r="B62" s="414"/>
      <c r="C62" s="413" t="str">
        <f>'5.Tiên lượng'!C76</f>
        <v>AB.31132</v>
      </c>
      <c r="D62" s="413"/>
      <c r="E62" s="415" t="str">
        <f>'5.Tiên lượng'!D76</f>
        <v>Đào nền đường bằng máy đào 1,25m3 - Cấp đất II</v>
      </c>
      <c r="F62" s="414" t="str">
        <f>'5.Tiên lượng'!E76</f>
        <v>100m3</v>
      </c>
      <c r="G62" s="416">
        <f>'5.Tiên lượng'!M76</f>
        <v>1.2262999999999999</v>
      </c>
      <c r="H62" s="416">
        <f>PTVT!G267</f>
        <v>0.26400000000000001</v>
      </c>
      <c r="I62" s="416">
        <f>'5.Tiên lượng'!X76</f>
        <v>1</v>
      </c>
      <c r="J62" s="419">
        <f t="shared" si="7"/>
        <v>0.32374320000000001</v>
      </c>
      <c r="K62" s="420"/>
      <c r="L62" s="420"/>
      <c r="M62" s="420"/>
      <c r="N62" s="420"/>
      <c r="O62" s="420"/>
      <c r="P62" s="420"/>
      <c r="Q62" s="420"/>
      <c r="R62" s="420"/>
      <c r="S62" s="420"/>
      <c r="T62" s="420"/>
      <c r="U62" s="420"/>
      <c r="V62" s="420"/>
      <c r="W62" s="420"/>
      <c r="X62" s="420"/>
      <c r="Y62" s="420"/>
      <c r="Z62" s="420"/>
      <c r="AA62" s="420"/>
    </row>
    <row r="63" spans="1:27" s="410" customFormat="1" ht="27.6" hidden="1">
      <c r="A63" s="413"/>
      <c r="B63" s="414"/>
      <c r="C63" s="413" t="str">
        <f>'5.Tiên lượng'!C78</f>
        <v>AB.31133</v>
      </c>
      <c r="D63" s="413"/>
      <c r="E63" s="415" t="str">
        <f>'5.Tiên lượng'!D78</f>
        <v>Đào nền đường bằng máy đào 1,25m3 - Cấp đất III</v>
      </c>
      <c r="F63" s="414" t="str">
        <f>'5.Tiên lượng'!E78</f>
        <v>100m3</v>
      </c>
      <c r="G63" s="416">
        <f>'5.Tiên lượng'!M78</f>
        <v>3.6326000000000001</v>
      </c>
      <c r="H63" s="416">
        <f>PTVT!G273</f>
        <v>0.311</v>
      </c>
      <c r="I63" s="416">
        <f>'5.Tiên lượng'!X78</f>
        <v>1</v>
      </c>
      <c r="J63" s="419">
        <f t="shared" si="7"/>
        <v>1.1297386</v>
      </c>
      <c r="K63" s="420"/>
      <c r="L63" s="420"/>
      <c r="M63" s="420"/>
      <c r="N63" s="420"/>
      <c r="O63" s="420"/>
      <c r="P63" s="420"/>
      <c r="Q63" s="420"/>
      <c r="R63" s="420"/>
      <c r="S63" s="420"/>
      <c r="T63" s="420"/>
      <c r="U63" s="420"/>
      <c r="V63" s="420"/>
      <c r="W63" s="420"/>
      <c r="X63" s="420"/>
      <c r="Y63" s="420"/>
      <c r="Z63" s="420"/>
      <c r="AA63" s="420"/>
    </row>
    <row r="64" spans="1:27" s="410" customFormat="1" ht="27.6" hidden="1">
      <c r="A64" s="413"/>
      <c r="B64" s="414"/>
      <c r="C64" s="413" t="str">
        <f>'5.Tiên lượng'!C80</f>
        <v>AB.31134</v>
      </c>
      <c r="D64" s="413"/>
      <c r="E64" s="415" t="str">
        <f>'5.Tiên lượng'!D80</f>
        <v>Đào nền đường bằng máy đào 1,25m3 - Cấp đất IV</v>
      </c>
      <c r="F64" s="414" t="str">
        <f>'5.Tiên lượng'!E80</f>
        <v>100m3</v>
      </c>
      <c r="G64" s="416">
        <f>'5.Tiên lượng'!M80</f>
        <v>0.48090000000000005</v>
      </c>
      <c r="H64" s="416">
        <f>PTVT!G279</f>
        <v>0.42399999999999999</v>
      </c>
      <c r="I64" s="416">
        <f>'5.Tiên lượng'!X80</f>
        <v>1</v>
      </c>
      <c r="J64" s="419">
        <f t="shared" si="7"/>
        <v>0.20390160000000002</v>
      </c>
      <c r="K64" s="420"/>
      <c r="L64" s="420"/>
      <c r="M64" s="420"/>
      <c r="N64" s="420"/>
      <c r="O64" s="420"/>
      <c r="P64" s="420"/>
      <c r="Q64" s="420"/>
      <c r="R64" s="420"/>
      <c r="S64" s="420"/>
      <c r="T64" s="420"/>
      <c r="U64" s="420"/>
      <c r="V64" s="420"/>
      <c r="W64" s="420"/>
      <c r="X64" s="420"/>
      <c r="Y64" s="420"/>
      <c r="Z64" s="420"/>
      <c r="AA64" s="420"/>
    </row>
    <row r="65" spans="1:27" s="410" customFormat="1" hidden="1">
      <c r="A65" s="413"/>
      <c r="B65" s="414"/>
      <c r="C65" s="413" t="str">
        <f>'5.Tiên lượng'!C82</f>
        <v>AB.31134VD</v>
      </c>
      <c r="D65" s="413"/>
      <c r="E65" s="415" t="str">
        <f>'5.Tiên lượng'!D82</f>
        <v>Đào đường cũ cấp phối bằng máy đào 1,25m3</v>
      </c>
      <c r="F65" s="414" t="str">
        <f>'5.Tiên lượng'!E82</f>
        <v>m3</v>
      </c>
      <c r="G65" s="416">
        <f>'5.Tiên lượng'!M82</f>
        <v>32.340000000000003</v>
      </c>
      <c r="H65" s="416">
        <f>PTVT!G285</f>
        <v>4.2399999999999998E-3</v>
      </c>
      <c r="I65" s="416">
        <f>'5.Tiên lượng'!X82</f>
        <v>1</v>
      </c>
      <c r="J65" s="419">
        <f t="shared" si="7"/>
        <v>0.13712160000000001</v>
      </c>
      <c r="K65" s="420"/>
      <c r="L65" s="420"/>
      <c r="M65" s="420"/>
      <c r="N65" s="420"/>
      <c r="O65" s="420"/>
      <c r="P65" s="420"/>
      <c r="Q65" s="420"/>
      <c r="R65" s="420"/>
      <c r="S65" s="420"/>
      <c r="T65" s="420"/>
      <c r="U65" s="420"/>
      <c r="V65" s="420"/>
      <c r="W65" s="420"/>
      <c r="X65" s="420"/>
      <c r="Y65" s="420"/>
      <c r="Z65" s="420"/>
      <c r="AA65" s="420"/>
    </row>
    <row r="66" spans="1:27" s="410" customFormat="1" hidden="1">
      <c r="A66" s="413"/>
      <c r="B66" s="414"/>
      <c r="C66" s="413" t="str">
        <f>'5.Tiên lượng'!C85</f>
        <v>AB.31132(VD)</v>
      </c>
      <c r="D66" s="413"/>
      <c r="E66" s="415" t="str">
        <f>'5.Tiên lượng'!D85</f>
        <v>Đào rãnh bằng máy đào 1,25m3 - Cấp đất II</v>
      </c>
      <c r="F66" s="414" t="str">
        <f>'5.Tiên lượng'!E85</f>
        <v>100m3</v>
      </c>
      <c r="G66" s="416">
        <f>'5.Tiên lượng'!M85</f>
        <v>0.2107</v>
      </c>
      <c r="H66" s="416">
        <f>PTVT!G291</f>
        <v>0.26400000000000001</v>
      </c>
      <c r="I66" s="416">
        <f>'5.Tiên lượng'!X85</f>
        <v>1</v>
      </c>
      <c r="J66" s="419">
        <f t="shared" si="7"/>
        <v>5.5624800000000002E-2</v>
      </c>
      <c r="K66" s="420"/>
      <c r="L66" s="420"/>
      <c r="M66" s="420"/>
      <c r="N66" s="420"/>
      <c r="O66" s="420"/>
      <c r="P66" s="420"/>
      <c r="Q66" s="420"/>
      <c r="R66" s="420"/>
      <c r="S66" s="420"/>
      <c r="T66" s="420"/>
      <c r="U66" s="420"/>
      <c r="V66" s="420"/>
      <c r="W66" s="420"/>
      <c r="X66" s="420"/>
      <c r="Y66" s="420"/>
      <c r="Z66" s="420"/>
      <c r="AA66" s="420"/>
    </row>
    <row r="67" spans="1:27" s="410" customFormat="1" hidden="1">
      <c r="A67" s="413"/>
      <c r="B67" s="414"/>
      <c r="C67" s="413" t="str">
        <f>'5.Tiên lượng'!C87</f>
        <v>AB.31133(VD)</v>
      </c>
      <c r="D67" s="413"/>
      <c r="E67" s="415" t="str">
        <f>'5.Tiên lượng'!D87</f>
        <v>Đào rãnh bằng máy đào 1,25m3 - Cấp đất III</v>
      </c>
      <c r="F67" s="414" t="str">
        <f>'5.Tiên lượng'!E87</f>
        <v>100m3</v>
      </c>
      <c r="G67" s="416">
        <f>'5.Tiên lượng'!M87</f>
        <v>2.9964</v>
      </c>
      <c r="H67" s="416">
        <f>PTVT!G297</f>
        <v>0.311</v>
      </c>
      <c r="I67" s="416">
        <f>'5.Tiên lượng'!X87</f>
        <v>1</v>
      </c>
      <c r="J67" s="419">
        <f t="shared" si="7"/>
        <v>0.93188039999999994</v>
      </c>
      <c r="K67" s="420"/>
      <c r="L67" s="420"/>
      <c r="M67" s="420"/>
      <c r="N67" s="420"/>
      <c r="O67" s="420"/>
      <c r="P67" s="420"/>
      <c r="Q67" s="420"/>
      <c r="R67" s="420"/>
      <c r="S67" s="420"/>
      <c r="T67" s="420"/>
      <c r="U67" s="420"/>
      <c r="V67" s="420"/>
      <c r="W67" s="420"/>
      <c r="X67" s="420"/>
      <c r="Y67" s="420"/>
      <c r="Z67" s="420"/>
      <c r="AA67" s="420"/>
    </row>
    <row r="68" spans="1:27" s="410" customFormat="1" hidden="1">
      <c r="A68" s="413"/>
      <c r="B68" s="414"/>
      <c r="C68" s="413" t="str">
        <f>'5.Tiên lượng'!C89</f>
        <v>AB.31134(VD)</v>
      </c>
      <c r="D68" s="413"/>
      <c r="E68" s="415" t="str">
        <f>'5.Tiên lượng'!D89</f>
        <v>Đào rãnh bằng máy đào 1,25m3 - Cấp đất IV</v>
      </c>
      <c r="F68" s="414" t="str">
        <f>'5.Tiên lượng'!E89</f>
        <v>100m3</v>
      </c>
      <c r="G68" s="416">
        <f>'5.Tiên lượng'!M89</f>
        <v>6.1699999999999998E-2</v>
      </c>
      <c r="H68" s="416">
        <f>PTVT!G303</f>
        <v>0.42399999999999999</v>
      </c>
      <c r="I68" s="416">
        <f>'5.Tiên lượng'!X89</f>
        <v>1</v>
      </c>
      <c r="J68" s="419">
        <f t="shared" si="7"/>
        <v>2.6160799999999998E-2</v>
      </c>
      <c r="K68" s="420"/>
      <c r="L68" s="420"/>
      <c r="M68" s="420"/>
      <c r="N68" s="420"/>
      <c r="O68" s="420"/>
      <c r="P68" s="420"/>
      <c r="Q68" s="420"/>
      <c r="R68" s="420"/>
      <c r="S68" s="420"/>
      <c r="T68" s="420"/>
      <c r="U68" s="420"/>
      <c r="V68" s="420"/>
      <c r="W68" s="420"/>
      <c r="X68" s="420"/>
      <c r="Y68" s="420"/>
      <c r="Z68" s="420"/>
      <c r="AA68" s="420"/>
    </row>
    <row r="69" spans="1:27" s="410" customFormat="1" hidden="1">
      <c r="A69" s="413"/>
      <c r="B69" s="414"/>
      <c r="C69" s="413" t="str">
        <f>'5.Tiên lượng'!C92</f>
        <v>AB.31132(VD)</v>
      </c>
      <c r="D69" s="413"/>
      <c r="E69" s="415" t="str">
        <f>'5.Tiên lượng'!D92</f>
        <v>Đào cấp bằng máy đào 1,25m3 - Cấp đất II</v>
      </c>
      <c r="F69" s="414" t="str">
        <f>'5.Tiên lượng'!E92</f>
        <v>100m3</v>
      </c>
      <c r="G69" s="416">
        <f>'5.Tiên lượng'!M92</f>
        <v>0.92680000000000007</v>
      </c>
      <c r="H69" s="416">
        <f>PTVT!G309</f>
        <v>0.26400000000000001</v>
      </c>
      <c r="I69" s="416">
        <f>'5.Tiên lượng'!X92</f>
        <v>1</v>
      </c>
      <c r="J69" s="419">
        <f t="shared" si="7"/>
        <v>0.24467520000000004</v>
      </c>
      <c r="K69" s="420"/>
      <c r="L69" s="420"/>
      <c r="M69" s="420"/>
      <c r="N69" s="420"/>
      <c r="O69" s="420"/>
      <c r="P69" s="420"/>
      <c r="Q69" s="420"/>
      <c r="R69" s="420"/>
      <c r="S69" s="420"/>
      <c r="T69" s="420"/>
      <c r="U69" s="420"/>
      <c r="V69" s="420"/>
      <c r="W69" s="420"/>
      <c r="X69" s="420"/>
      <c r="Y69" s="420"/>
      <c r="Z69" s="420"/>
      <c r="AA69" s="420"/>
    </row>
    <row r="70" spans="1:27" s="410" customFormat="1" hidden="1">
      <c r="A70" s="413"/>
      <c r="B70" s="414"/>
      <c r="C70" s="413" t="str">
        <f>'5.Tiên lượng'!C94</f>
        <v>AB.31132</v>
      </c>
      <c r="D70" s="413"/>
      <c r="E70" s="415" t="str">
        <f>'5.Tiên lượng'!D94</f>
        <v>Đào hữu cơ bằng máy đào 1,25m3 - Cấp đất II</v>
      </c>
      <c r="F70" s="414" t="str">
        <f>'5.Tiên lượng'!E94</f>
        <v>100m3</v>
      </c>
      <c r="G70" s="416">
        <f>'5.Tiên lượng'!M94</f>
        <v>1.2434000000000001</v>
      </c>
      <c r="H70" s="416">
        <f>PTVT!G315</f>
        <v>0.26400000000000001</v>
      </c>
      <c r="I70" s="416">
        <f>'5.Tiên lượng'!X94</f>
        <v>1</v>
      </c>
      <c r="J70" s="419">
        <f t="shared" si="7"/>
        <v>0.32825760000000004</v>
      </c>
      <c r="K70" s="420"/>
      <c r="L70" s="420"/>
      <c r="M70" s="420"/>
      <c r="N70" s="420"/>
      <c r="O70" s="420"/>
      <c r="P70" s="420"/>
      <c r="Q70" s="420"/>
      <c r="R70" s="420"/>
      <c r="S70" s="420"/>
      <c r="T70" s="420"/>
      <c r="U70" s="420"/>
      <c r="V70" s="420"/>
      <c r="W70" s="420"/>
      <c r="X70" s="420"/>
      <c r="Y70" s="420"/>
      <c r="Z70" s="420"/>
      <c r="AA70" s="420"/>
    </row>
    <row r="71" spans="1:27" s="410" customFormat="1" ht="27.6" hidden="1">
      <c r="A71" s="413"/>
      <c r="B71" s="414"/>
      <c r="C71" s="413" t="str">
        <f>'5.Tiên lượng'!C107</f>
        <v>AB.31133</v>
      </c>
      <c r="D71" s="413"/>
      <c r="E71" s="415" t="str">
        <f>'5.Tiên lượng'!D107</f>
        <v>Đào đất phần cạp mở rộng bằng máy đào 1,25m3 - Cấp đất III</v>
      </c>
      <c r="F71" s="414" t="str">
        <f>'5.Tiên lượng'!E107</f>
        <v>100m3</v>
      </c>
      <c r="G71" s="416">
        <f>'5.Tiên lượng'!M107</f>
        <v>2.1415000000000002</v>
      </c>
      <c r="H71" s="416">
        <f>PTVT!G360</f>
        <v>0.311</v>
      </c>
      <c r="I71" s="416">
        <f>'5.Tiên lượng'!X107</f>
        <v>1</v>
      </c>
      <c r="J71" s="419">
        <f t="shared" si="7"/>
        <v>0.66600650000000006</v>
      </c>
      <c r="K71" s="420"/>
      <c r="L71" s="420"/>
      <c r="M71" s="420"/>
      <c r="N71" s="420"/>
      <c r="O71" s="420"/>
      <c r="P71" s="420"/>
      <c r="Q71" s="420"/>
      <c r="R71" s="420"/>
      <c r="S71" s="420"/>
      <c r="T71" s="420"/>
      <c r="U71" s="420"/>
      <c r="V71" s="420"/>
      <c r="W71" s="420"/>
      <c r="X71" s="420"/>
      <c r="Y71" s="420"/>
      <c r="Z71" s="420"/>
      <c r="AA71" s="420"/>
    </row>
    <row r="72" spans="1:27" s="410" customFormat="1" ht="27.6" hidden="1">
      <c r="A72" s="413"/>
      <c r="B72" s="414"/>
      <c r="C72" s="413" t="str">
        <f>'5.Tiên lượng'!C161</f>
        <v>AB.25123</v>
      </c>
      <c r="D72" s="413"/>
      <c r="E72" s="415" t="str">
        <f>'5.Tiên lượng'!D161</f>
        <v>Đào móng bằng máy đào 1,25m3, chiều rộng móng ≤6m - Cấp đất III</v>
      </c>
      <c r="F72" s="414" t="str">
        <f>'5.Tiên lượng'!E161</f>
        <v>100m3</v>
      </c>
      <c r="G72" s="416">
        <f>'5.Tiên lượng'!M161</f>
        <v>1.8000000000000002E-2</v>
      </c>
      <c r="H72" s="416">
        <f>PTVT!G632</f>
        <v>0.32100000000000001</v>
      </c>
      <c r="I72" s="416">
        <f>'5.Tiên lượng'!X161</f>
        <v>1</v>
      </c>
      <c r="J72" s="419">
        <f t="shared" si="7"/>
        <v>5.778000000000001E-3</v>
      </c>
      <c r="K72" s="420"/>
      <c r="L72" s="420"/>
      <c r="M72" s="420"/>
      <c r="N72" s="420"/>
      <c r="O72" s="420"/>
      <c r="P72" s="420"/>
      <c r="Q72" s="420"/>
      <c r="R72" s="420"/>
      <c r="S72" s="420"/>
      <c r="T72" s="420"/>
      <c r="U72" s="420"/>
      <c r="V72" s="420"/>
      <c r="W72" s="420"/>
      <c r="X72" s="420"/>
      <c r="Y72" s="420"/>
      <c r="Z72" s="420"/>
      <c r="AA72" s="420"/>
    </row>
    <row r="73" spans="1:27">
      <c r="A73" s="246" t="s">
        <v>759</v>
      </c>
      <c r="B73" s="265">
        <v>11</v>
      </c>
      <c r="C73" s="246" t="s">
        <v>602</v>
      </c>
      <c r="D73" s="246">
        <f>'Giá Máy'!D15</f>
        <v>0</v>
      </c>
      <c r="E73" s="266" t="str">
        <f>'Giá Máy'!E15</f>
        <v>Máy đào 1,6m3</v>
      </c>
      <c r="F73" s="265" t="s">
        <v>926</v>
      </c>
      <c r="G73" s="417"/>
      <c r="H73" s="417"/>
      <c r="I73" s="417"/>
      <c r="J73" s="268">
        <f>SUM(J74:J75)</f>
        <v>1.1381604999999999</v>
      </c>
      <c r="K73" s="421">
        <f>'Giá Máy'!G15</f>
        <v>4171676.4040000001</v>
      </c>
      <c r="L73" s="421">
        <f>J73*K73</f>
        <v>4748037.301814842</v>
      </c>
      <c r="M73" s="421">
        <f>'Giá Máy'!H15</f>
        <v>4601266</v>
      </c>
      <c r="N73" s="421">
        <f>J73*M73</f>
        <v>5236979.211193</v>
      </c>
      <c r="O73" s="421">
        <f>M73-K73</f>
        <v>429589.5959999999</v>
      </c>
      <c r="P73" s="421">
        <f>J73*O73</f>
        <v>488941.90937815787</v>
      </c>
      <c r="Q73" s="421">
        <v>1</v>
      </c>
      <c r="R73" s="421">
        <f>M73*Q73</f>
        <v>4601266</v>
      </c>
      <c r="S73" s="421">
        <f>J73*R73</f>
        <v>5236979.211193</v>
      </c>
      <c r="T73" s="421">
        <v>429589.59600000002</v>
      </c>
      <c r="U73" s="421">
        <v>488941.90937815799</v>
      </c>
      <c r="V73" s="421">
        <f>'Giá Máy'!N15</f>
        <v>0</v>
      </c>
      <c r="W73" s="421">
        <f>J73*V73</f>
        <v>0</v>
      </c>
      <c r="X73" s="421">
        <f>'Giá Máy'!O15</f>
        <v>4284448.0199999996</v>
      </c>
      <c r="Y73" s="421">
        <f>J73*X73</f>
        <v>4876389.5006672088</v>
      </c>
      <c r="Z73" s="421">
        <f>X73-K73</f>
        <v>112771.61599999946</v>
      </c>
      <c r="AA73" s="421">
        <f>J73*Z73</f>
        <v>128352.19885236736</v>
      </c>
    </row>
    <row r="74" spans="1:27" s="410" customFormat="1" hidden="1">
      <c r="A74" s="413"/>
      <c r="B74" s="414"/>
      <c r="C74" s="413" t="str">
        <f>'5.Tiên lượng'!C18</f>
        <v>MD.QĐ792</v>
      </c>
      <c r="D74" s="413"/>
      <c r="E74" s="415" t="str">
        <f>'5.Tiên lượng'!D18</f>
        <v>Đào nền đường đá cấp IV bằng máy đào 1,6m3</v>
      </c>
      <c r="F74" s="414" t="str">
        <f>'5.Tiên lượng'!E18</f>
        <v>m3</v>
      </c>
      <c r="G74" s="416">
        <f>'5.Tiên lượng'!M18</f>
        <v>88.07</v>
      </c>
      <c r="H74" s="416">
        <f>PTVT!G30</f>
        <v>1.123E-2</v>
      </c>
      <c r="I74" s="416">
        <f>'5.Tiên lượng'!X18</f>
        <v>1</v>
      </c>
      <c r="J74" s="419">
        <f t="shared" ref="J74:J75" si="8">PRODUCT(G74,H74,I74)</f>
        <v>0.98902609999999991</v>
      </c>
      <c r="K74" s="420"/>
      <c r="L74" s="420"/>
      <c r="M74" s="420"/>
      <c r="N74" s="420"/>
      <c r="O74" s="420"/>
      <c r="P74" s="420"/>
      <c r="Q74" s="420"/>
      <c r="R74" s="420"/>
      <c r="S74" s="420"/>
      <c r="T74" s="420"/>
      <c r="U74" s="420"/>
      <c r="V74" s="420"/>
      <c r="W74" s="420"/>
      <c r="X74" s="420"/>
      <c r="Y74" s="420"/>
      <c r="Z74" s="420"/>
      <c r="AA74" s="420"/>
    </row>
    <row r="75" spans="1:27" s="410" customFormat="1" hidden="1">
      <c r="A75" s="413"/>
      <c r="B75" s="414"/>
      <c r="C75" s="413" t="str">
        <f>'5.Tiên lượng'!C27</f>
        <v>MD.QĐ792</v>
      </c>
      <c r="D75" s="413"/>
      <c r="E75" s="415" t="str">
        <f>'5.Tiên lượng'!D27</f>
        <v>Đào rãnh đá cấp IV bằng máy đào 1,6m3</v>
      </c>
      <c r="F75" s="414" t="str">
        <f>'5.Tiên lượng'!E27</f>
        <v>m3</v>
      </c>
      <c r="G75" s="416">
        <f>'5.Tiên lượng'!M27</f>
        <v>13.28</v>
      </c>
      <c r="H75" s="416">
        <f>PTVT!G60</f>
        <v>1.123E-2</v>
      </c>
      <c r="I75" s="416">
        <f>'5.Tiên lượng'!X27</f>
        <v>1</v>
      </c>
      <c r="J75" s="419">
        <f t="shared" si="8"/>
        <v>0.1491344</v>
      </c>
      <c r="K75" s="420"/>
      <c r="L75" s="420"/>
      <c r="M75" s="420"/>
      <c r="N75" s="420"/>
      <c r="O75" s="420"/>
      <c r="P75" s="420"/>
      <c r="Q75" s="420"/>
      <c r="R75" s="420"/>
      <c r="S75" s="420"/>
      <c r="T75" s="420"/>
      <c r="U75" s="420"/>
      <c r="V75" s="420"/>
      <c r="W75" s="420"/>
      <c r="X75" s="420"/>
      <c r="Y75" s="420"/>
      <c r="Z75" s="420"/>
      <c r="AA75" s="420"/>
    </row>
    <row r="76" spans="1:27">
      <c r="A76" s="246" t="s">
        <v>759</v>
      </c>
      <c r="B76" s="265">
        <v>12</v>
      </c>
      <c r="C76" s="246" t="s">
        <v>630</v>
      </c>
      <c r="D76" s="246">
        <f>'Giá Máy'!D16</f>
        <v>0</v>
      </c>
      <c r="E76" s="266" t="str">
        <f>'Giá Máy'!E16</f>
        <v>Máy hàn điện 23kW</v>
      </c>
      <c r="F76" s="265" t="s">
        <v>926</v>
      </c>
      <c r="G76" s="417"/>
      <c r="H76" s="417"/>
      <c r="I76" s="417"/>
      <c r="J76" s="268">
        <f>SUM(J77:J83)</f>
        <v>3.217158</v>
      </c>
      <c r="K76" s="421">
        <f>'Giá Máy'!G16</f>
        <v>392808.80927999999</v>
      </c>
      <c r="L76" s="421">
        <f>J76*K76</f>
        <v>1263728.0032456261</v>
      </c>
      <c r="M76" s="421">
        <f>'Giá Máy'!H16</f>
        <v>389990</v>
      </c>
      <c r="N76" s="421">
        <f>J76*M76</f>
        <v>1254659.44842</v>
      </c>
      <c r="O76" s="421">
        <f>M76-K76</f>
        <v>-2818.8092799999868</v>
      </c>
      <c r="P76" s="421">
        <f>J76*O76</f>
        <v>-9068.5548256261973</v>
      </c>
      <c r="Q76" s="421">
        <v>1</v>
      </c>
      <c r="R76" s="421">
        <f>M76*Q76</f>
        <v>389990</v>
      </c>
      <c r="S76" s="421">
        <f>J76*R76</f>
        <v>1254659.44842</v>
      </c>
      <c r="T76" s="421">
        <v>-2818.8092799999899</v>
      </c>
      <c r="U76" s="421">
        <v>-9068.5548256262009</v>
      </c>
      <c r="V76" s="421">
        <f>'Giá Máy'!N16</f>
        <v>0</v>
      </c>
      <c r="W76" s="421">
        <f>J76*V76</f>
        <v>0</v>
      </c>
      <c r="X76" s="421">
        <f>'Giá Máy'!O16</f>
        <v>426986.04135999997</v>
      </c>
      <c r="Y76" s="421">
        <f>J76*X76</f>
        <v>1373681.5588496549</v>
      </c>
      <c r="Z76" s="421">
        <f>X76-K76</f>
        <v>34177.232079999987</v>
      </c>
      <c r="AA76" s="421">
        <f>J76*Z76</f>
        <v>109953.5556040286</v>
      </c>
    </row>
    <row r="77" spans="1:27" s="410" customFormat="1" hidden="1">
      <c r="A77" s="413"/>
      <c r="B77" s="414"/>
      <c r="C77" s="413" t="str">
        <f>'5.Tiên lượng'!C56</f>
        <v>AF.82411</v>
      </c>
      <c r="D77" s="413"/>
      <c r="E77" s="415" t="str">
        <f>'5.Tiên lượng'!D56</f>
        <v>Ván khuôn thép mặt đường bê tông</v>
      </c>
      <c r="F77" s="414" t="str">
        <f>'5.Tiên lượng'!E56</f>
        <v>100m2</v>
      </c>
      <c r="G77" s="416">
        <f>'5.Tiên lượng'!M56</f>
        <v>3.6397000000000004</v>
      </c>
      <c r="H77" s="416">
        <f>PTVT!G167</f>
        <v>0.42</v>
      </c>
      <c r="I77" s="416">
        <f>'5.Tiên lượng'!X56</f>
        <v>1</v>
      </c>
      <c r="J77" s="419">
        <f t="shared" ref="J77:J83" si="9">PRODUCT(G77,H77,I77)</f>
        <v>1.5286740000000001</v>
      </c>
      <c r="K77" s="420"/>
      <c r="L77" s="420"/>
      <c r="M77" s="420"/>
      <c r="N77" s="420"/>
      <c r="O77" s="420"/>
      <c r="P77" s="420"/>
      <c r="Q77" s="420"/>
      <c r="R77" s="420"/>
      <c r="S77" s="420"/>
      <c r="T77" s="420"/>
      <c r="U77" s="420"/>
      <c r="V77" s="420"/>
      <c r="W77" s="420"/>
      <c r="X77" s="420"/>
      <c r="Y77" s="420"/>
      <c r="Z77" s="420"/>
      <c r="AA77" s="420"/>
    </row>
    <row r="78" spans="1:27" s="410" customFormat="1" hidden="1">
      <c r="A78" s="413"/>
      <c r="B78" s="414"/>
      <c r="C78" s="413" t="str">
        <f>'5.Tiên lượng'!C65</f>
        <v>AF.82411</v>
      </c>
      <c r="D78" s="413"/>
      <c r="E78" s="415" t="str">
        <f>'5.Tiên lượng'!D65</f>
        <v>Ván khuôn thép mặt đường bê tông</v>
      </c>
      <c r="F78" s="414" t="str">
        <f>'5.Tiên lượng'!E65</f>
        <v>100m2</v>
      </c>
      <c r="G78" s="416">
        <f>'5.Tiên lượng'!M65</f>
        <v>0.14080000000000001</v>
      </c>
      <c r="H78" s="416">
        <f>PTVT!G212</f>
        <v>0.42</v>
      </c>
      <c r="I78" s="416">
        <f>'5.Tiên lượng'!X65</f>
        <v>1</v>
      </c>
      <c r="J78" s="419">
        <f t="shared" si="9"/>
        <v>5.9136000000000001E-2</v>
      </c>
      <c r="K78" s="420"/>
      <c r="L78" s="420"/>
      <c r="M78" s="420"/>
      <c r="N78" s="420"/>
      <c r="O78" s="420"/>
      <c r="P78" s="420"/>
      <c r="Q78" s="420"/>
      <c r="R78" s="420"/>
      <c r="S78" s="420"/>
      <c r="T78" s="420"/>
      <c r="U78" s="420"/>
      <c r="V78" s="420"/>
      <c r="W78" s="420"/>
      <c r="X78" s="420"/>
      <c r="Y78" s="420"/>
      <c r="Z78" s="420"/>
      <c r="AA78" s="420"/>
    </row>
    <row r="79" spans="1:27" s="410" customFormat="1" hidden="1">
      <c r="A79" s="413"/>
      <c r="B79" s="414"/>
      <c r="C79" s="413" t="str">
        <f>'5.Tiên lượng'!C135</f>
        <v>AF.82511</v>
      </c>
      <c r="D79" s="413"/>
      <c r="E79" s="415" t="str">
        <f>'5.Tiên lượng'!D135</f>
        <v>Ván khuôn thép mũ  mố</v>
      </c>
      <c r="F79" s="414" t="str">
        <f>'5.Tiên lượng'!E135</f>
        <v>100m2</v>
      </c>
      <c r="G79" s="416">
        <f>'5.Tiên lượng'!M135</f>
        <v>0.93220000000000003</v>
      </c>
      <c r="H79" s="416">
        <f>PTVT!G527</f>
        <v>0.82</v>
      </c>
      <c r="I79" s="416">
        <f>'5.Tiên lượng'!X135</f>
        <v>1</v>
      </c>
      <c r="J79" s="419">
        <f t="shared" si="9"/>
        <v>0.76440399999999997</v>
      </c>
      <c r="K79" s="420"/>
      <c r="L79" s="420"/>
      <c r="M79" s="420"/>
      <c r="N79" s="420"/>
      <c r="O79" s="420"/>
      <c r="P79" s="420"/>
      <c r="Q79" s="420"/>
      <c r="R79" s="420"/>
      <c r="S79" s="420"/>
      <c r="T79" s="420"/>
      <c r="U79" s="420"/>
      <c r="V79" s="420"/>
      <c r="W79" s="420"/>
      <c r="X79" s="420"/>
      <c r="Y79" s="420"/>
      <c r="Z79" s="420"/>
      <c r="AA79" s="420"/>
    </row>
    <row r="80" spans="1:27" s="410" customFormat="1" hidden="1">
      <c r="A80" s="413"/>
      <c r="B80" s="414"/>
      <c r="C80" s="413" t="str">
        <f>'5.Tiên lượng'!C143</f>
        <v>AG.32511</v>
      </c>
      <c r="D80" s="413"/>
      <c r="E80" s="415" t="str">
        <f>'5.Tiên lượng'!D143</f>
        <v>Ván khuôn thép tấm đậy</v>
      </c>
      <c r="F80" s="414" t="str">
        <f>'5.Tiên lượng'!E143</f>
        <v>100m2</v>
      </c>
      <c r="G80" s="416">
        <f>'5.Tiên lượng'!M143</f>
        <v>0.35389999999999999</v>
      </c>
      <c r="H80" s="416">
        <f>PTVT!G562</f>
        <v>0.33</v>
      </c>
      <c r="I80" s="416">
        <f>'5.Tiên lượng'!X143</f>
        <v>1</v>
      </c>
      <c r="J80" s="419">
        <f t="shared" si="9"/>
        <v>0.116787</v>
      </c>
      <c r="K80" s="420"/>
      <c r="L80" s="420"/>
      <c r="M80" s="420"/>
      <c r="N80" s="420"/>
      <c r="O80" s="420"/>
      <c r="P80" s="420"/>
      <c r="Q80" s="420"/>
      <c r="R80" s="420"/>
      <c r="S80" s="420"/>
      <c r="T80" s="420"/>
      <c r="U80" s="420"/>
      <c r="V80" s="420"/>
      <c r="W80" s="420"/>
      <c r="X80" s="420"/>
      <c r="Y80" s="420"/>
      <c r="Z80" s="420"/>
      <c r="AA80" s="420"/>
    </row>
    <row r="81" spans="1:27" s="410" customFormat="1" hidden="1">
      <c r="A81" s="413"/>
      <c r="B81" s="414"/>
      <c r="C81" s="413" t="str">
        <f>'5.Tiên lượng'!C158</f>
        <v>AF.82511</v>
      </c>
      <c r="D81" s="413"/>
      <c r="E81" s="415" t="str">
        <f>'5.Tiên lượng'!D158</f>
        <v>Ván khuôn thép rãnh</v>
      </c>
      <c r="F81" s="414" t="str">
        <f>'5.Tiên lượng'!E158</f>
        <v>100m2</v>
      </c>
      <c r="G81" s="416">
        <f>'5.Tiên lượng'!M158</f>
        <v>0.61380000000000001</v>
      </c>
      <c r="H81" s="416">
        <f>PTVT!G625</f>
        <v>0.82</v>
      </c>
      <c r="I81" s="416">
        <f>'5.Tiên lượng'!X158</f>
        <v>1</v>
      </c>
      <c r="J81" s="419">
        <f t="shared" si="9"/>
        <v>0.50331599999999999</v>
      </c>
      <c r="K81" s="420"/>
      <c r="L81" s="420"/>
      <c r="M81" s="420"/>
      <c r="N81" s="420"/>
      <c r="O81" s="420"/>
      <c r="P81" s="420"/>
      <c r="Q81" s="420"/>
      <c r="R81" s="420"/>
      <c r="S81" s="420"/>
      <c r="T81" s="420"/>
      <c r="U81" s="420"/>
      <c r="V81" s="420"/>
      <c r="W81" s="420"/>
      <c r="X81" s="420"/>
      <c r="Y81" s="420"/>
      <c r="Z81" s="420"/>
      <c r="AA81" s="420"/>
    </row>
    <row r="82" spans="1:27" s="410" customFormat="1" hidden="1">
      <c r="A82" s="413"/>
      <c r="B82" s="414"/>
      <c r="C82" s="413" t="str">
        <f>'5.Tiên lượng'!C200</f>
        <v>AG.32511</v>
      </c>
      <c r="D82" s="413"/>
      <c r="E82" s="415" t="str">
        <f>'5.Tiên lượng'!D200</f>
        <v>Ván khuôn thép tấm bản</v>
      </c>
      <c r="F82" s="414" t="str">
        <f>'5.Tiên lượng'!E200</f>
        <v>100m2</v>
      </c>
      <c r="G82" s="416">
        <f>'5.Tiên lượng'!M200</f>
        <v>6.0100000000000001E-2</v>
      </c>
      <c r="H82" s="416">
        <f>PTVT!G851</f>
        <v>0.33</v>
      </c>
      <c r="I82" s="416">
        <f>'5.Tiên lượng'!X200</f>
        <v>1</v>
      </c>
      <c r="J82" s="419">
        <f t="shared" si="9"/>
        <v>1.9833E-2</v>
      </c>
      <c r="K82" s="420"/>
      <c r="L82" s="420"/>
      <c r="M82" s="420"/>
      <c r="N82" s="420"/>
      <c r="O82" s="420"/>
      <c r="P82" s="420"/>
      <c r="Q82" s="420"/>
      <c r="R82" s="420"/>
      <c r="S82" s="420"/>
      <c r="T82" s="420"/>
      <c r="U82" s="420"/>
      <c r="V82" s="420"/>
      <c r="W82" s="420"/>
      <c r="X82" s="420"/>
      <c r="Y82" s="420"/>
      <c r="Z82" s="420"/>
      <c r="AA82" s="420"/>
    </row>
    <row r="83" spans="1:27" s="410" customFormat="1" hidden="1">
      <c r="A83" s="413"/>
      <c r="B83" s="414"/>
      <c r="C83" s="413" t="str">
        <f>'5.Tiên lượng'!C202</f>
        <v>AF.82511</v>
      </c>
      <c r="D83" s="413"/>
      <c r="E83" s="415" t="str">
        <f>'5.Tiên lượng'!D202</f>
        <v>Ván khuôn thép cống</v>
      </c>
      <c r="F83" s="414" t="str">
        <f>'5.Tiên lượng'!E202</f>
        <v>100m2</v>
      </c>
      <c r="G83" s="416">
        <f>'5.Tiên lượng'!M202</f>
        <v>0.27440000000000003</v>
      </c>
      <c r="H83" s="416">
        <f>PTVT!G862</f>
        <v>0.82</v>
      </c>
      <c r="I83" s="416">
        <f>'5.Tiên lượng'!X202</f>
        <v>1</v>
      </c>
      <c r="J83" s="419">
        <f t="shared" si="9"/>
        <v>0.22500800000000001</v>
      </c>
      <c r="K83" s="420"/>
      <c r="L83" s="420"/>
      <c r="M83" s="420"/>
      <c r="N83" s="420"/>
      <c r="O83" s="420"/>
      <c r="P83" s="420"/>
      <c r="Q83" s="420"/>
      <c r="R83" s="420"/>
      <c r="S83" s="420"/>
      <c r="T83" s="420"/>
      <c r="U83" s="420"/>
      <c r="V83" s="420"/>
      <c r="W83" s="420"/>
      <c r="X83" s="420"/>
      <c r="Y83" s="420"/>
      <c r="Z83" s="420"/>
      <c r="AA83" s="420"/>
    </row>
    <row r="84" spans="1:27">
      <c r="A84" s="246" t="s">
        <v>759</v>
      </c>
      <c r="B84" s="265">
        <v>13</v>
      </c>
      <c r="C84" s="246" t="s">
        <v>609</v>
      </c>
      <c r="D84" s="246">
        <f>'Giá Máy'!D17</f>
        <v>0</v>
      </c>
      <c r="E84" s="266" t="str">
        <f>'Giá Máy'!E17</f>
        <v>Máy lu bánh thép 10T</v>
      </c>
      <c r="F84" s="265" t="s">
        <v>926</v>
      </c>
      <c r="G84" s="417"/>
      <c r="H84" s="417"/>
      <c r="I84" s="417"/>
      <c r="J84" s="268">
        <f>SUM(J85:J85)</f>
        <v>2.4007716637168142</v>
      </c>
      <c r="K84" s="421">
        <f>'Giá Máy'!G17</f>
        <v>1086987.4154074099</v>
      </c>
      <c r="L84" s="421">
        <f>J84*K84</f>
        <v>2609608.5857268875</v>
      </c>
      <c r="M84" s="421">
        <f>'Giá Máy'!H17</f>
        <v>0</v>
      </c>
      <c r="N84" s="421">
        <f>J84*M84</f>
        <v>0</v>
      </c>
      <c r="O84" s="421">
        <f>M84-K84</f>
        <v>-1086987.4154074099</v>
      </c>
      <c r="P84" s="421">
        <f>J84*O84</f>
        <v>-2609608.5857268875</v>
      </c>
      <c r="Q84" s="421">
        <v>1</v>
      </c>
      <c r="R84" s="421">
        <f>M84*Q84</f>
        <v>0</v>
      </c>
      <c r="S84" s="421">
        <f>J84*R84</f>
        <v>0</v>
      </c>
      <c r="T84" s="421">
        <v>-1086987.4154074099</v>
      </c>
      <c r="U84" s="421">
        <v>-2609608.5857268898</v>
      </c>
      <c r="V84" s="421">
        <f>'Giá Máy'!N17</f>
        <v>0</v>
      </c>
      <c r="W84" s="421">
        <f>J84*V84</f>
        <v>0</v>
      </c>
      <c r="X84" s="421">
        <f>'Giá Máy'!O17</f>
        <v>1132157.2474074075</v>
      </c>
      <c r="Y84" s="421">
        <f>J84*X84</f>
        <v>2718051.0384473307</v>
      </c>
      <c r="Z84" s="421">
        <f>X84-K84</f>
        <v>45169.831999997608</v>
      </c>
      <c r="AA84" s="421">
        <f>J84*Z84</f>
        <v>108442.45272044325</v>
      </c>
    </row>
    <row r="85" spans="1:27" s="410" customFormat="1" hidden="1">
      <c r="A85" s="413"/>
      <c r="B85" s="414"/>
      <c r="C85" s="413" t="str">
        <f>'5.Tiên lượng'!C36</f>
        <v>AD.11212</v>
      </c>
      <c r="D85" s="413"/>
      <c r="E85" s="415" t="str">
        <f>'5.Tiên lượng'!D36</f>
        <v>Thi công đắp cấp phối đá dăm loại 2</v>
      </c>
      <c r="F85" s="414" t="str">
        <f>'5.Tiên lượng'!E36</f>
        <v>100m3</v>
      </c>
      <c r="G85" s="416">
        <f>'5.Tiên lượng'!M36</f>
        <v>9.2337371681415927</v>
      </c>
      <c r="H85" s="416">
        <f>PTVT!G88</f>
        <v>0.26</v>
      </c>
      <c r="I85" s="416">
        <f>'5.Tiên lượng'!X36</f>
        <v>1</v>
      </c>
      <c r="J85" s="419">
        <f>PRODUCT(G85,H85,I85)</f>
        <v>2.4007716637168142</v>
      </c>
      <c r="K85" s="420"/>
      <c r="L85" s="420"/>
      <c r="M85" s="420"/>
      <c r="N85" s="420"/>
      <c r="O85" s="420"/>
      <c r="P85" s="420"/>
      <c r="Q85" s="420"/>
      <c r="R85" s="420"/>
      <c r="S85" s="420"/>
      <c r="T85" s="420"/>
      <c r="U85" s="420"/>
      <c r="V85" s="420"/>
      <c r="W85" s="420"/>
      <c r="X85" s="420"/>
      <c r="Y85" s="420"/>
      <c r="Z85" s="420"/>
      <c r="AA85" s="420"/>
    </row>
    <row r="86" spans="1:27">
      <c r="A86" s="246" t="s">
        <v>759</v>
      </c>
      <c r="B86" s="265">
        <v>14</v>
      </c>
      <c r="C86" s="246" t="s">
        <v>609</v>
      </c>
      <c r="D86" s="246">
        <f>'Giá Máy'!D18</f>
        <v>0</v>
      </c>
      <c r="E86" s="266" t="str">
        <f>'Giá Máy'!E18</f>
        <v>Máy lu bánh thép 10T</v>
      </c>
      <c r="F86" s="265" t="s">
        <v>926</v>
      </c>
      <c r="G86" s="417"/>
      <c r="H86" s="417"/>
      <c r="I86" s="417"/>
      <c r="J86" s="268">
        <f>SUM(J87:J94)</f>
        <v>12.118633280000001</v>
      </c>
      <c r="K86" s="421">
        <f>'Giá Máy'!G18</f>
        <v>1086987.4154074099</v>
      </c>
      <c r="L86" s="421">
        <f>J86*K86</f>
        <v>13172801.867297424</v>
      </c>
      <c r="M86" s="421">
        <f>'Giá Máy'!H18</f>
        <v>1185831</v>
      </c>
      <c r="N86" s="421">
        <f>J86*M86</f>
        <v>14370651.021055682</v>
      </c>
      <c r="O86" s="421">
        <f>M86-K86</f>
        <v>98843.584592590109</v>
      </c>
      <c r="P86" s="421">
        <f>J86*O86</f>
        <v>1197849.1537582579</v>
      </c>
      <c r="Q86" s="421">
        <v>1</v>
      </c>
      <c r="R86" s="421">
        <f>M86*Q86</f>
        <v>1185831</v>
      </c>
      <c r="S86" s="421">
        <f>J86*R86</f>
        <v>14370651.021055682</v>
      </c>
      <c r="T86" s="421">
        <v>98843.584592590094</v>
      </c>
      <c r="U86" s="421">
        <v>1266631.5911878201</v>
      </c>
      <c r="V86" s="421">
        <f>'Giá Máy'!N18</f>
        <v>0</v>
      </c>
      <c r="W86" s="421">
        <f>J86*V86</f>
        <v>0</v>
      </c>
      <c r="X86" s="421">
        <f>'Giá Máy'!O18</f>
        <v>1132157.2474074075</v>
      </c>
      <c r="Y86" s="421">
        <f>J86*X86</f>
        <v>13720198.496624604</v>
      </c>
      <c r="Z86" s="421">
        <f>X86-K86</f>
        <v>45169.831999997608</v>
      </c>
      <c r="AA86" s="421">
        <f>J86*Z86</f>
        <v>547396.62932717998</v>
      </c>
    </row>
    <row r="87" spans="1:27" s="410" customFormat="1" hidden="1">
      <c r="A87" s="413"/>
      <c r="B87" s="414"/>
      <c r="C87" s="413" t="str">
        <f>'5.Tiên lượng'!C51</f>
        <v>AD.11212</v>
      </c>
      <c r="D87" s="413"/>
      <c r="E87" s="415" t="str">
        <f>'5.Tiên lượng'!D51</f>
        <v xml:space="preserve">Thi công móng cấp phối đá dăm lớp dưới </v>
      </c>
      <c r="F87" s="414" t="str">
        <f>'5.Tiên lượng'!E51</f>
        <v>100m3</v>
      </c>
      <c r="G87" s="416">
        <f>'5.Tiên lượng'!M51</f>
        <v>1.3379759999999998</v>
      </c>
      <c r="H87" s="416">
        <f>PTVT!G144</f>
        <v>0.26</v>
      </c>
      <c r="I87" s="416">
        <f>'5.Tiên lượng'!X51</f>
        <v>1</v>
      </c>
      <c r="J87" s="419">
        <f t="shared" ref="J87:J94" si="10">PRODUCT(G87,H87,I87)</f>
        <v>0.34787375999999998</v>
      </c>
      <c r="K87" s="420"/>
      <c r="L87" s="420"/>
      <c r="M87" s="420"/>
      <c r="N87" s="420"/>
      <c r="O87" s="420"/>
      <c r="P87" s="420"/>
      <c r="Q87" s="420"/>
      <c r="R87" s="420"/>
      <c r="S87" s="420"/>
      <c r="T87" s="420"/>
      <c r="U87" s="420"/>
      <c r="V87" s="420"/>
      <c r="W87" s="420"/>
      <c r="X87" s="420"/>
      <c r="Y87" s="420"/>
      <c r="Z87" s="420"/>
      <c r="AA87" s="420"/>
    </row>
    <row r="88" spans="1:27" s="410" customFormat="1" hidden="1">
      <c r="A88" s="413"/>
      <c r="B88" s="414"/>
      <c r="C88" s="413" t="str">
        <f>'5.Tiên lượng'!C53</f>
        <v>AD.11212</v>
      </c>
      <c r="D88" s="413"/>
      <c r="E88" s="415" t="str">
        <f>'5.Tiên lượng'!D53</f>
        <v xml:space="preserve">Thi công móng cấp phối đá dăm lớp dưới </v>
      </c>
      <c r="F88" s="414" t="str">
        <f>'5.Tiên lượng'!E53</f>
        <v>100m3</v>
      </c>
      <c r="G88" s="416">
        <f>'5.Tiên lượng'!M53</f>
        <v>1.7016</v>
      </c>
      <c r="H88" s="416">
        <f>PTVT!G156</f>
        <v>0.26</v>
      </c>
      <c r="I88" s="416">
        <f>'5.Tiên lượng'!X53</f>
        <v>1</v>
      </c>
      <c r="J88" s="419">
        <f t="shared" si="10"/>
        <v>0.44241600000000003</v>
      </c>
      <c r="K88" s="420"/>
      <c r="L88" s="420"/>
      <c r="M88" s="420"/>
      <c r="N88" s="420"/>
      <c r="O88" s="420"/>
      <c r="P88" s="420"/>
      <c r="Q88" s="420"/>
      <c r="R88" s="420"/>
      <c r="S88" s="420"/>
      <c r="T88" s="420"/>
      <c r="U88" s="420"/>
      <c r="V88" s="420"/>
      <c r="W88" s="420"/>
      <c r="X88" s="420"/>
      <c r="Y88" s="420"/>
      <c r="Z88" s="420"/>
      <c r="AA88" s="420"/>
    </row>
    <row r="89" spans="1:27" s="410" customFormat="1" hidden="1">
      <c r="A89" s="413"/>
      <c r="B89" s="414"/>
      <c r="C89" s="413" t="str">
        <f>'5.Tiên lượng'!C63</f>
        <v>AD.11212</v>
      </c>
      <c r="D89" s="413"/>
      <c r="E89" s="415" t="str">
        <f>'5.Tiên lượng'!D63</f>
        <v xml:space="preserve">Thi công móng cấp phối đá dăm lớp dưới </v>
      </c>
      <c r="F89" s="414" t="str">
        <f>'5.Tiên lượng'!E63</f>
        <v>100m3</v>
      </c>
      <c r="G89" s="416">
        <f>'5.Tiên lượng'!M63</f>
        <v>7.6583999999999999E-2</v>
      </c>
      <c r="H89" s="416">
        <f>PTVT!G201</f>
        <v>0.26</v>
      </c>
      <c r="I89" s="416">
        <f>'5.Tiên lượng'!X63</f>
        <v>1</v>
      </c>
      <c r="J89" s="419">
        <f t="shared" si="10"/>
        <v>1.991184E-2</v>
      </c>
      <c r="K89" s="420"/>
      <c r="L89" s="420"/>
      <c r="M89" s="420"/>
      <c r="N89" s="420"/>
      <c r="O89" s="420"/>
      <c r="P89" s="420"/>
      <c r="Q89" s="420"/>
      <c r="R89" s="420"/>
      <c r="S89" s="420"/>
      <c r="T89" s="420"/>
      <c r="U89" s="420"/>
      <c r="V89" s="420"/>
      <c r="W89" s="420"/>
      <c r="X89" s="420"/>
      <c r="Y89" s="420"/>
      <c r="Z89" s="420"/>
      <c r="AA89" s="420"/>
    </row>
    <row r="90" spans="1:27" s="410" customFormat="1" hidden="1">
      <c r="A90" s="413"/>
      <c r="B90" s="414"/>
      <c r="C90" s="413" t="str">
        <f>'5.Tiên lượng'!C99</f>
        <v>AD.11212</v>
      </c>
      <c r="D90" s="413"/>
      <c r="E90" s="415" t="str">
        <f>'5.Tiên lượng'!D99</f>
        <v xml:space="preserve">Thi công móng cấp phối đá dăm lớp dưới </v>
      </c>
      <c r="F90" s="414" t="str">
        <f>'5.Tiên lượng'!E99</f>
        <v>100m3</v>
      </c>
      <c r="G90" s="416">
        <f>'5.Tiên lượng'!M99</f>
        <v>4.3350070000000001</v>
      </c>
      <c r="H90" s="416">
        <f>PTVT!G332</f>
        <v>0.26</v>
      </c>
      <c r="I90" s="416">
        <f>'5.Tiên lượng'!X99</f>
        <v>1</v>
      </c>
      <c r="J90" s="419">
        <f t="shared" si="10"/>
        <v>1.12710182</v>
      </c>
      <c r="K90" s="420"/>
      <c r="L90" s="420"/>
      <c r="M90" s="420"/>
      <c r="N90" s="420"/>
      <c r="O90" s="420"/>
      <c r="P90" s="420"/>
      <c r="Q90" s="420"/>
      <c r="R90" s="420"/>
      <c r="S90" s="420"/>
      <c r="T90" s="420"/>
      <c r="U90" s="420"/>
      <c r="V90" s="420"/>
      <c r="W90" s="420"/>
      <c r="X90" s="420"/>
      <c r="Y90" s="420"/>
      <c r="Z90" s="420"/>
      <c r="AA90" s="420"/>
    </row>
    <row r="91" spans="1:27" s="410" customFormat="1" ht="27.6" hidden="1">
      <c r="A91" s="413"/>
      <c r="B91" s="414"/>
      <c r="C91" s="413" t="str">
        <f>'5.Tiên lượng'!C105</f>
        <v>AD.11212(VD)</v>
      </c>
      <c r="D91" s="413"/>
      <c r="E91" s="415" t="str">
        <f>'5.Tiên lượng'!D105</f>
        <v>Bù vật liệu (trên mặt đường cũ lồi lõm) bằng cấp phối đá dăm loại 2 (không lu)</v>
      </c>
      <c r="F91" s="414" t="str">
        <f>'5.Tiên lượng'!E105</f>
        <v>100m3</v>
      </c>
      <c r="G91" s="416">
        <f>'5.Tiên lượng'!M105</f>
        <v>10.24</v>
      </c>
      <c r="H91" s="416">
        <f>PTVT!G353</f>
        <v>0.26</v>
      </c>
      <c r="I91" s="416">
        <f>'5.Tiên lượng'!X105</f>
        <v>1</v>
      </c>
      <c r="J91" s="419">
        <f t="shared" si="10"/>
        <v>2.6624000000000003</v>
      </c>
      <c r="K91" s="420"/>
      <c r="L91" s="420"/>
      <c r="M91" s="420"/>
      <c r="N91" s="420"/>
      <c r="O91" s="420"/>
      <c r="P91" s="420"/>
      <c r="Q91" s="420"/>
      <c r="R91" s="420"/>
      <c r="S91" s="420"/>
      <c r="T91" s="420"/>
      <c r="U91" s="420"/>
      <c r="V91" s="420"/>
      <c r="W91" s="420"/>
      <c r="X91" s="420"/>
      <c r="Y91" s="420"/>
      <c r="Z91" s="420"/>
      <c r="AA91" s="420"/>
    </row>
    <row r="92" spans="1:27" s="410" customFormat="1" ht="27.6" hidden="1">
      <c r="A92" s="413"/>
      <c r="B92" s="414"/>
      <c r="C92" s="413" t="str">
        <f>'5.Tiên lượng'!C109</f>
        <v>AD.11212</v>
      </c>
      <c r="D92" s="413"/>
      <c r="E92" s="415" t="str">
        <f>'5.Tiên lượng'!D109</f>
        <v>Bù trả vật liệu phần cạp mở rộng bằng cấp phối đá dăm loại 2 dày 18cm (không lu)</v>
      </c>
      <c r="F92" s="414" t="str">
        <f>'5.Tiên lượng'!E109</f>
        <v>100m3</v>
      </c>
      <c r="G92" s="416">
        <f>'5.Tiên lượng'!M109</f>
        <v>4.8311000000000002</v>
      </c>
      <c r="H92" s="416">
        <f>PTVT!G371</f>
        <v>0.26</v>
      </c>
      <c r="I92" s="416">
        <f>'5.Tiên lượng'!X109</f>
        <v>1</v>
      </c>
      <c r="J92" s="419">
        <f t="shared" si="10"/>
        <v>1.256086</v>
      </c>
      <c r="K92" s="420"/>
      <c r="L92" s="420"/>
      <c r="M92" s="420"/>
      <c r="N92" s="420"/>
      <c r="O92" s="420"/>
      <c r="P92" s="420"/>
      <c r="Q92" s="420"/>
      <c r="R92" s="420"/>
      <c r="S92" s="420"/>
      <c r="T92" s="420"/>
      <c r="U92" s="420"/>
      <c r="V92" s="420"/>
      <c r="W92" s="420"/>
      <c r="X92" s="420"/>
      <c r="Y92" s="420"/>
      <c r="Z92" s="420"/>
      <c r="AA92" s="420"/>
    </row>
    <row r="93" spans="1:27" s="410" customFormat="1" ht="41.4" hidden="1">
      <c r="A93" s="413"/>
      <c r="B93" s="414"/>
      <c r="C93" s="413" t="str">
        <f>'5.Tiên lượng'!C111</f>
        <v>LS.11110(ĐM.1322)</v>
      </c>
      <c r="D93" s="413"/>
      <c r="E93" s="415" t="str">
        <f>'5.Tiên lượng'!D111</f>
        <v>Cào bóc tái sinh nguội tại chỗ bằng máy cào bóc tái sinh WR2400 trên mặt đường láng nhựa, chiều dày 18cm (4% xi măng rải thủ công)</v>
      </c>
      <c r="F93" s="414" t="str">
        <f>'5.Tiên lượng'!E111</f>
        <v>100m3</v>
      </c>
      <c r="G93" s="416">
        <f>'5.Tiên lượng'!M111</f>
        <v>19.253299999999999</v>
      </c>
      <c r="H93" s="416">
        <f>PTVT!G389</f>
        <v>0.35699999999999998</v>
      </c>
      <c r="I93" s="416">
        <f>'5.Tiên lượng'!X111</f>
        <v>0.9</v>
      </c>
      <c r="J93" s="419">
        <f t="shared" si="10"/>
        <v>6.1860852899999994</v>
      </c>
      <c r="K93" s="420"/>
      <c r="L93" s="420"/>
      <c r="M93" s="420"/>
      <c r="N93" s="420"/>
      <c r="O93" s="420"/>
      <c r="P93" s="420"/>
      <c r="Q93" s="420"/>
      <c r="R93" s="420"/>
      <c r="S93" s="420"/>
      <c r="T93" s="420"/>
      <c r="U93" s="420"/>
      <c r="V93" s="420"/>
      <c r="W93" s="420"/>
      <c r="X93" s="420"/>
      <c r="Y93" s="420"/>
      <c r="Z93" s="420"/>
      <c r="AA93" s="420"/>
    </row>
    <row r="94" spans="1:27" s="410" customFormat="1" ht="41.4" hidden="1">
      <c r="A94" s="413"/>
      <c r="B94" s="414"/>
      <c r="C94" s="413" t="str">
        <f>'5.Tiên lượng'!C118</f>
        <v>LS.11110(ĐM.1322)</v>
      </c>
      <c r="D94" s="413"/>
      <c r="E94" s="415" t="str">
        <f>'5.Tiên lượng'!D118</f>
        <v>Cào bóc tái sinh nguội tại chỗ bằng máy cào bóc tái sinh WR2400 trên mặt đường láng nhựa, chiều dày 18cm (4% xi măng rải thủ công)</v>
      </c>
      <c r="F94" s="414" t="str">
        <f>'5.Tiên lượng'!E118</f>
        <v>100m3</v>
      </c>
      <c r="G94" s="416">
        <f>'5.Tiên lượng'!M118</f>
        <v>0.2389</v>
      </c>
      <c r="H94" s="416">
        <f>PTVT!G430</f>
        <v>0.35699999999999998</v>
      </c>
      <c r="I94" s="416">
        <f>'5.Tiên lượng'!X118</f>
        <v>0.9</v>
      </c>
      <c r="J94" s="419">
        <f t="shared" si="10"/>
        <v>7.6758569999999998E-2</v>
      </c>
      <c r="K94" s="420"/>
      <c r="L94" s="420"/>
      <c r="M94" s="420"/>
      <c r="N94" s="420"/>
      <c r="O94" s="420"/>
      <c r="P94" s="420"/>
      <c r="Q94" s="420"/>
      <c r="R94" s="420"/>
      <c r="S94" s="420"/>
      <c r="T94" s="420"/>
      <c r="U94" s="420"/>
      <c r="V94" s="420"/>
      <c r="W94" s="420"/>
      <c r="X94" s="420"/>
      <c r="Y94" s="420"/>
      <c r="Z94" s="420"/>
      <c r="AA94" s="420"/>
    </row>
    <row r="95" spans="1:27">
      <c r="A95" s="246" t="s">
        <v>759</v>
      </c>
      <c r="B95" s="265">
        <v>15</v>
      </c>
      <c r="C95" s="246" t="s">
        <v>607</v>
      </c>
      <c r="D95" s="246">
        <f>'Giá Máy'!D19</f>
        <v>0</v>
      </c>
      <c r="E95" s="266" t="str">
        <f>'Giá Máy'!E19</f>
        <v>Máy lu rung tự hành 25T</v>
      </c>
      <c r="F95" s="265" t="s">
        <v>926</v>
      </c>
      <c r="G95" s="417"/>
      <c r="H95" s="417"/>
      <c r="I95" s="417"/>
      <c r="J95" s="268">
        <f>SUM(J96:J96)</f>
        <v>2.9547958938053096</v>
      </c>
      <c r="K95" s="421">
        <f>'Giá Máy'!G19</f>
        <v>2717265.9248888898</v>
      </c>
      <c r="L95" s="421">
        <f>J95*K95</f>
        <v>8028966.1972387787</v>
      </c>
      <c r="M95" s="421">
        <f>'Giá Máy'!H19</f>
        <v>0</v>
      </c>
      <c r="N95" s="421">
        <f>J95*M95</f>
        <v>0</v>
      </c>
      <c r="O95" s="421">
        <f>M95-K95</f>
        <v>-2717265.9248888898</v>
      </c>
      <c r="P95" s="421">
        <f>J95*O95</f>
        <v>-8028966.1972387787</v>
      </c>
      <c r="Q95" s="421">
        <v>1</v>
      </c>
      <c r="R95" s="421">
        <f>M95*Q95</f>
        <v>0</v>
      </c>
      <c r="S95" s="421">
        <f>J95*R95</f>
        <v>0</v>
      </c>
      <c r="T95" s="421">
        <v>-2717265.9248888898</v>
      </c>
      <c r="U95" s="421">
        <v>-8028966.1972387796</v>
      </c>
      <c r="V95" s="421">
        <f>'Giá Máy'!N19</f>
        <v>0</v>
      </c>
      <c r="W95" s="421">
        <f>J95*V95</f>
        <v>0</v>
      </c>
      <c r="X95" s="421">
        <f>'Giá Máy'!O19</f>
        <v>2794294.0688888887</v>
      </c>
      <c r="Y95" s="421">
        <f>J95*X95</f>
        <v>8256568.6408374188</v>
      </c>
      <c r="Z95" s="421">
        <f>X95-K95</f>
        <v>77028.143999998923</v>
      </c>
      <c r="AA95" s="421">
        <f>J95*Z95</f>
        <v>227602.44359864091</v>
      </c>
    </row>
    <row r="96" spans="1:27" s="410" customFormat="1" hidden="1">
      <c r="A96" s="413"/>
      <c r="B96" s="414"/>
      <c r="C96" s="413" t="str">
        <f>'5.Tiên lượng'!C36</f>
        <v>AD.11212</v>
      </c>
      <c r="D96" s="413"/>
      <c r="E96" s="415" t="str">
        <f>'5.Tiên lượng'!D36</f>
        <v>Thi công đắp cấp phối đá dăm loại 2</v>
      </c>
      <c r="F96" s="414" t="str">
        <f>'5.Tiên lượng'!E36</f>
        <v>100m3</v>
      </c>
      <c r="G96" s="416">
        <f>'5.Tiên lượng'!M36</f>
        <v>9.2337371681415927</v>
      </c>
      <c r="H96" s="416">
        <f>PTVT!G86</f>
        <v>0.32</v>
      </c>
      <c r="I96" s="416">
        <f>'5.Tiên lượng'!X36</f>
        <v>1</v>
      </c>
      <c r="J96" s="419">
        <f>PRODUCT(G96,H96,I96)</f>
        <v>2.9547958938053096</v>
      </c>
      <c r="K96" s="420"/>
      <c r="L96" s="420"/>
      <c r="M96" s="420"/>
      <c r="N96" s="420"/>
      <c r="O96" s="420"/>
      <c r="P96" s="420"/>
      <c r="Q96" s="420"/>
      <c r="R96" s="420"/>
      <c r="S96" s="420"/>
      <c r="T96" s="420"/>
      <c r="U96" s="420"/>
      <c r="V96" s="420"/>
      <c r="W96" s="420"/>
      <c r="X96" s="420"/>
      <c r="Y96" s="420"/>
      <c r="Z96" s="420"/>
      <c r="AA96" s="420"/>
    </row>
    <row r="97" spans="1:27">
      <c r="A97" s="246" t="s">
        <v>759</v>
      </c>
      <c r="B97" s="265">
        <v>16</v>
      </c>
      <c r="C97" s="246" t="s">
        <v>607</v>
      </c>
      <c r="D97" s="246">
        <f>'Giá Máy'!D20</f>
        <v>0</v>
      </c>
      <c r="E97" s="266" t="str">
        <f>'Giá Máy'!E20</f>
        <v>Máy lu rung tự hành 25T</v>
      </c>
      <c r="F97" s="265" t="s">
        <v>926</v>
      </c>
      <c r="G97" s="417"/>
      <c r="H97" s="417"/>
      <c r="I97" s="417"/>
      <c r="J97" s="268">
        <f>SUM(J98:J103)</f>
        <v>7.2071254400000004</v>
      </c>
      <c r="K97" s="421">
        <f>'Giá Máy'!G20</f>
        <v>2717265.9248888898</v>
      </c>
      <c r="L97" s="421">
        <f>J97*K97</f>
        <v>19583676.374511849</v>
      </c>
      <c r="M97" s="421">
        <f>'Giá Máy'!H20</f>
        <v>2971978</v>
      </c>
      <c r="N97" s="421">
        <f>J97*M97</f>
        <v>21419418.250920322</v>
      </c>
      <c r="O97" s="421">
        <f>M97-K97</f>
        <v>254712.07511111023</v>
      </c>
      <c r="P97" s="421">
        <f>J97*O97</f>
        <v>1835741.8764084734</v>
      </c>
      <c r="Q97" s="421">
        <v>1</v>
      </c>
      <c r="R97" s="421">
        <f>M97*Q97</f>
        <v>2971978</v>
      </c>
      <c r="S97" s="421">
        <f>J97*R97</f>
        <v>21419418.250920322</v>
      </c>
      <c r="T97" s="421">
        <v>254712.07511111</v>
      </c>
      <c r="U97" s="421">
        <v>1835741.8764084701</v>
      </c>
      <c r="V97" s="421">
        <f>'Giá Máy'!N20</f>
        <v>0</v>
      </c>
      <c r="W97" s="421">
        <f>J97*V97</f>
        <v>0</v>
      </c>
      <c r="X97" s="421">
        <f>'Giá Máy'!O20</f>
        <v>2794294.0688888887</v>
      </c>
      <c r="Y97" s="421">
        <f>J97*X97</f>
        <v>20138827.870730225</v>
      </c>
      <c r="Z97" s="421">
        <f>X97-K97</f>
        <v>77028.143999998923</v>
      </c>
      <c r="AA97" s="421">
        <f>J97*Z97</f>
        <v>555151.49621837563</v>
      </c>
    </row>
    <row r="98" spans="1:27" s="410" customFormat="1" hidden="1">
      <c r="A98" s="413"/>
      <c r="B98" s="414"/>
      <c r="C98" s="413" t="str">
        <f>'5.Tiên lượng'!C51</f>
        <v>AD.11212</v>
      </c>
      <c r="D98" s="413"/>
      <c r="E98" s="415" t="str">
        <f>'5.Tiên lượng'!D51</f>
        <v xml:space="preserve">Thi công móng cấp phối đá dăm lớp dưới </v>
      </c>
      <c r="F98" s="414" t="str">
        <f>'5.Tiên lượng'!E51</f>
        <v>100m3</v>
      </c>
      <c r="G98" s="416">
        <f>'5.Tiên lượng'!M51</f>
        <v>1.3379759999999998</v>
      </c>
      <c r="H98" s="416">
        <f>PTVT!G142</f>
        <v>0.32</v>
      </c>
      <c r="I98" s="416">
        <f>'5.Tiên lượng'!X51</f>
        <v>1</v>
      </c>
      <c r="J98" s="419">
        <f t="shared" ref="J98:J103" si="11">PRODUCT(G98,H98,I98)</f>
        <v>0.42815231999999998</v>
      </c>
      <c r="K98" s="420"/>
      <c r="L98" s="420"/>
      <c r="M98" s="420"/>
      <c r="N98" s="420"/>
      <c r="O98" s="420"/>
      <c r="P98" s="420"/>
      <c r="Q98" s="420"/>
      <c r="R98" s="420"/>
      <c r="S98" s="420"/>
      <c r="T98" s="420"/>
      <c r="U98" s="420"/>
      <c r="V98" s="420"/>
      <c r="W98" s="420"/>
      <c r="X98" s="420"/>
      <c r="Y98" s="420"/>
      <c r="Z98" s="420"/>
      <c r="AA98" s="420"/>
    </row>
    <row r="99" spans="1:27" s="410" customFormat="1" hidden="1">
      <c r="A99" s="413"/>
      <c r="B99" s="414"/>
      <c r="C99" s="413" t="str">
        <f>'5.Tiên lượng'!C53</f>
        <v>AD.11212</v>
      </c>
      <c r="D99" s="413"/>
      <c r="E99" s="415" t="str">
        <f>'5.Tiên lượng'!D53</f>
        <v xml:space="preserve">Thi công móng cấp phối đá dăm lớp dưới </v>
      </c>
      <c r="F99" s="414" t="str">
        <f>'5.Tiên lượng'!E53</f>
        <v>100m3</v>
      </c>
      <c r="G99" s="416">
        <f>'5.Tiên lượng'!M53</f>
        <v>1.7016</v>
      </c>
      <c r="H99" s="416">
        <f>PTVT!G154</f>
        <v>0.32</v>
      </c>
      <c r="I99" s="416">
        <f>'5.Tiên lượng'!X53</f>
        <v>1</v>
      </c>
      <c r="J99" s="419">
        <f t="shared" si="11"/>
        <v>0.544512</v>
      </c>
      <c r="K99" s="420"/>
      <c r="L99" s="420"/>
      <c r="M99" s="420"/>
      <c r="N99" s="420"/>
      <c r="O99" s="420"/>
      <c r="P99" s="420"/>
      <c r="Q99" s="420"/>
      <c r="R99" s="420"/>
      <c r="S99" s="420"/>
      <c r="T99" s="420"/>
      <c r="U99" s="420"/>
      <c r="V99" s="420"/>
      <c r="W99" s="420"/>
      <c r="X99" s="420"/>
      <c r="Y99" s="420"/>
      <c r="Z99" s="420"/>
      <c r="AA99" s="420"/>
    </row>
    <row r="100" spans="1:27" s="410" customFormat="1" hidden="1">
      <c r="A100" s="413"/>
      <c r="B100" s="414"/>
      <c r="C100" s="413" t="str">
        <f>'5.Tiên lượng'!C63</f>
        <v>AD.11212</v>
      </c>
      <c r="D100" s="413"/>
      <c r="E100" s="415" t="str">
        <f>'5.Tiên lượng'!D63</f>
        <v xml:space="preserve">Thi công móng cấp phối đá dăm lớp dưới </v>
      </c>
      <c r="F100" s="414" t="str">
        <f>'5.Tiên lượng'!E63</f>
        <v>100m3</v>
      </c>
      <c r="G100" s="416">
        <f>'5.Tiên lượng'!M63</f>
        <v>7.6583999999999999E-2</v>
      </c>
      <c r="H100" s="416">
        <f>PTVT!G199</f>
        <v>0.32</v>
      </c>
      <c r="I100" s="416">
        <f>'5.Tiên lượng'!X63</f>
        <v>1</v>
      </c>
      <c r="J100" s="419">
        <f t="shared" si="11"/>
        <v>2.4506880000000002E-2</v>
      </c>
      <c r="K100" s="420"/>
      <c r="L100" s="420"/>
      <c r="M100" s="420"/>
      <c r="N100" s="420"/>
      <c r="O100" s="420"/>
      <c r="P100" s="420"/>
      <c r="Q100" s="420"/>
      <c r="R100" s="420"/>
      <c r="S100" s="420"/>
      <c r="T100" s="420"/>
      <c r="U100" s="420"/>
      <c r="V100" s="420"/>
      <c r="W100" s="420"/>
      <c r="X100" s="420"/>
      <c r="Y100" s="420"/>
      <c r="Z100" s="420"/>
      <c r="AA100" s="420"/>
    </row>
    <row r="101" spans="1:27" s="410" customFormat="1" hidden="1">
      <c r="A101" s="413"/>
      <c r="B101" s="414"/>
      <c r="C101" s="413" t="str">
        <f>'5.Tiên lượng'!C99</f>
        <v>AD.11212</v>
      </c>
      <c r="D101" s="413"/>
      <c r="E101" s="415" t="str">
        <f>'5.Tiên lượng'!D99</f>
        <v xml:space="preserve">Thi công móng cấp phối đá dăm lớp dưới </v>
      </c>
      <c r="F101" s="414" t="str">
        <f>'5.Tiên lượng'!E99</f>
        <v>100m3</v>
      </c>
      <c r="G101" s="416">
        <f>'5.Tiên lượng'!M99</f>
        <v>4.3350070000000001</v>
      </c>
      <c r="H101" s="416">
        <f>PTVT!G330</f>
        <v>0.32</v>
      </c>
      <c r="I101" s="416">
        <f>'5.Tiên lượng'!X99</f>
        <v>1</v>
      </c>
      <c r="J101" s="419">
        <f t="shared" si="11"/>
        <v>1.3872022400000001</v>
      </c>
      <c r="K101" s="420"/>
      <c r="L101" s="420"/>
      <c r="M101" s="420"/>
      <c r="N101" s="420"/>
      <c r="O101" s="420"/>
      <c r="P101" s="420"/>
      <c r="Q101" s="420"/>
      <c r="R101" s="420"/>
      <c r="S101" s="420"/>
      <c r="T101" s="420"/>
      <c r="U101" s="420"/>
      <c r="V101" s="420"/>
      <c r="W101" s="420"/>
      <c r="X101" s="420"/>
      <c r="Y101" s="420"/>
      <c r="Z101" s="420"/>
      <c r="AA101" s="420"/>
    </row>
    <row r="102" spans="1:27" s="410" customFormat="1" ht="27.6" hidden="1">
      <c r="A102" s="413"/>
      <c r="B102" s="414"/>
      <c r="C102" s="413" t="str">
        <f>'5.Tiên lượng'!C105</f>
        <v>AD.11212(VD)</v>
      </c>
      <c r="D102" s="413"/>
      <c r="E102" s="415" t="str">
        <f>'5.Tiên lượng'!D105</f>
        <v>Bù vật liệu (trên mặt đường cũ lồi lõm) bằng cấp phối đá dăm loại 2 (không lu)</v>
      </c>
      <c r="F102" s="414" t="str">
        <f>'5.Tiên lượng'!E105</f>
        <v>100m3</v>
      </c>
      <c r="G102" s="416">
        <f>'5.Tiên lượng'!M105</f>
        <v>10.24</v>
      </c>
      <c r="H102" s="416">
        <f>PTVT!G351</f>
        <v>0.32</v>
      </c>
      <c r="I102" s="416">
        <f>'5.Tiên lượng'!X105</f>
        <v>1</v>
      </c>
      <c r="J102" s="419">
        <f t="shared" si="11"/>
        <v>3.2768000000000002</v>
      </c>
      <c r="K102" s="420"/>
      <c r="L102" s="420"/>
      <c r="M102" s="420"/>
      <c r="N102" s="420"/>
      <c r="O102" s="420"/>
      <c r="P102" s="420"/>
      <c r="Q102" s="420"/>
      <c r="R102" s="420"/>
      <c r="S102" s="420"/>
      <c r="T102" s="420"/>
      <c r="U102" s="420"/>
      <c r="V102" s="420"/>
      <c r="W102" s="420"/>
      <c r="X102" s="420"/>
      <c r="Y102" s="420"/>
      <c r="Z102" s="420"/>
      <c r="AA102" s="420"/>
    </row>
    <row r="103" spans="1:27" s="410" customFormat="1" ht="27.6" hidden="1">
      <c r="A103" s="413"/>
      <c r="B103" s="414"/>
      <c r="C103" s="413" t="str">
        <f>'5.Tiên lượng'!C109</f>
        <v>AD.11212</v>
      </c>
      <c r="D103" s="413"/>
      <c r="E103" s="415" t="str">
        <f>'5.Tiên lượng'!D109</f>
        <v>Bù trả vật liệu phần cạp mở rộng bằng cấp phối đá dăm loại 2 dày 18cm (không lu)</v>
      </c>
      <c r="F103" s="414" t="str">
        <f>'5.Tiên lượng'!E109</f>
        <v>100m3</v>
      </c>
      <c r="G103" s="416">
        <f>'5.Tiên lượng'!M109</f>
        <v>4.8311000000000002</v>
      </c>
      <c r="H103" s="416">
        <f>PTVT!G369</f>
        <v>0.32</v>
      </c>
      <c r="I103" s="416">
        <f>'5.Tiên lượng'!X109</f>
        <v>1</v>
      </c>
      <c r="J103" s="419">
        <f t="shared" si="11"/>
        <v>1.545952</v>
      </c>
      <c r="K103" s="420"/>
      <c r="L103" s="420"/>
      <c r="M103" s="420"/>
      <c r="N103" s="420"/>
      <c r="O103" s="420"/>
      <c r="P103" s="420"/>
      <c r="Q103" s="420"/>
      <c r="R103" s="420"/>
      <c r="S103" s="420"/>
      <c r="T103" s="420"/>
      <c r="U103" s="420"/>
      <c r="V103" s="420"/>
      <c r="W103" s="420"/>
      <c r="X103" s="420"/>
      <c r="Y103" s="420"/>
      <c r="Z103" s="420"/>
      <c r="AA103" s="420"/>
    </row>
    <row r="104" spans="1:27">
      <c r="A104" s="246" t="s">
        <v>759</v>
      </c>
      <c r="B104" s="265">
        <v>17</v>
      </c>
      <c r="C104" s="246" t="s">
        <v>674</v>
      </c>
      <c r="D104" s="246">
        <f>'Giá Máy'!D21</f>
        <v>0</v>
      </c>
      <c r="E104" s="266" t="str">
        <f>'Giá Máy'!E21</f>
        <v>Máy nén khí diezel 360m3/h</v>
      </c>
      <c r="F104" s="265" t="s">
        <v>926</v>
      </c>
      <c r="G104" s="417"/>
      <c r="H104" s="417"/>
      <c r="I104" s="417"/>
      <c r="J104" s="268">
        <f>SUM(J105:J106)</f>
        <v>0.7893</v>
      </c>
      <c r="K104" s="421">
        <f>'Giá Máy'!G21</f>
        <v>1106055.9022222201</v>
      </c>
      <c r="L104" s="421">
        <f>J104*K104</f>
        <v>873009.9236239983</v>
      </c>
      <c r="M104" s="421">
        <f>'Giá Máy'!H21</f>
        <v>1239114</v>
      </c>
      <c r="N104" s="421">
        <f>J104*M104</f>
        <v>978032.68019999994</v>
      </c>
      <c r="O104" s="421">
        <f>M104-K104</f>
        <v>133058.09777777991</v>
      </c>
      <c r="P104" s="421">
        <f>J104*O104</f>
        <v>105022.75657600169</v>
      </c>
      <c r="Q104" s="421">
        <v>1</v>
      </c>
      <c r="R104" s="421">
        <f>M104*Q104</f>
        <v>1239114</v>
      </c>
      <c r="S104" s="421">
        <f>J104*R104</f>
        <v>978032.68019999994</v>
      </c>
      <c r="T104" s="421">
        <v>133058.09777778</v>
      </c>
      <c r="U104" s="421">
        <v>105022.75657600199</v>
      </c>
      <c r="V104" s="421">
        <f>'Giá Máy'!N21</f>
        <v>0</v>
      </c>
      <c r="W104" s="421">
        <f>J104*V104</f>
        <v>0</v>
      </c>
      <c r="X104" s="421">
        <f>'Giá Máy'!O21</f>
        <v>1158219.0222222223</v>
      </c>
      <c r="Y104" s="421">
        <f>J104*X104</f>
        <v>914182.27424000006</v>
      </c>
      <c r="Z104" s="421">
        <f>X104-K104</f>
        <v>52163.120000002207</v>
      </c>
      <c r="AA104" s="421">
        <f>J104*Z104</f>
        <v>41172.350616001742</v>
      </c>
    </row>
    <row r="105" spans="1:27" s="410" customFormat="1" ht="27.6" hidden="1">
      <c r="A105" s="413"/>
      <c r="B105" s="414"/>
      <c r="C105" s="413" t="str">
        <f>'5.Tiên lượng'!C165</f>
        <v>AA.22121</v>
      </c>
      <c r="D105" s="413"/>
      <c r="E105" s="415" t="str">
        <f>'5.Tiên lượng'!D165</f>
        <v>Phá dỡ kết cấu gạch đá bằng búa căn khí nén 3m3/ph</v>
      </c>
      <c r="F105" s="414" t="str">
        <f>'5.Tiên lượng'!E165</f>
        <v>m3</v>
      </c>
      <c r="G105" s="416">
        <f>'5.Tiên lượng'!M165</f>
        <v>8.4240000000000013</v>
      </c>
      <c r="H105" s="416">
        <f>PTVT!G650</f>
        <v>7.4999999999999997E-2</v>
      </c>
      <c r="I105" s="416">
        <f>'5.Tiên lượng'!X165</f>
        <v>1</v>
      </c>
      <c r="J105" s="419">
        <f t="shared" ref="J105:J106" si="12">PRODUCT(G105,H105,I105)</f>
        <v>0.63180000000000003</v>
      </c>
      <c r="K105" s="420"/>
      <c r="L105" s="420"/>
      <c r="M105" s="420"/>
      <c r="N105" s="420"/>
      <c r="O105" s="420"/>
      <c r="P105" s="420"/>
      <c r="Q105" s="420"/>
      <c r="R105" s="420"/>
      <c r="S105" s="420"/>
      <c r="T105" s="420"/>
      <c r="U105" s="420"/>
      <c r="V105" s="420"/>
      <c r="W105" s="420"/>
      <c r="X105" s="420"/>
      <c r="Y105" s="420"/>
      <c r="Z105" s="420"/>
      <c r="AA105" s="420"/>
    </row>
    <row r="106" spans="1:27" s="410" customFormat="1" ht="27.6" hidden="1">
      <c r="A106" s="413"/>
      <c r="B106" s="414"/>
      <c r="C106" s="413" t="str">
        <f>'5.Tiên lượng'!C206</f>
        <v>AA.22121</v>
      </c>
      <c r="D106" s="413"/>
      <c r="E106" s="415" t="str">
        <f>'5.Tiên lượng'!D206</f>
        <v>Phá dỡ kết cấu gạch đá bằng búa căn khí nén 3m3/ph</v>
      </c>
      <c r="F106" s="414" t="str">
        <f>'5.Tiên lượng'!E206</f>
        <v>m3</v>
      </c>
      <c r="G106" s="416">
        <f>'5.Tiên lượng'!M206</f>
        <v>2.1</v>
      </c>
      <c r="H106" s="416">
        <f>PTVT!G880</f>
        <v>7.4999999999999997E-2</v>
      </c>
      <c r="I106" s="416">
        <f>'5.Tiên lượng'!X206</f>
        <v>1</v>
      </c>
      <c r="J106" s="419">
        <f t="shared" si="12"/>
        <v>0.1575</v>
      </c>
      <c r="K106" s="420"/>
      <c r="L106" s="420"/>
      <c r="M106" s="420"/>
      <c r="N106" s="420"/>
      <c r="O106" s="420"/>
      <c r="P106" s="420"/>
      <c r="Q106" s="420"/>
      <c r="R106" s="420"/>
      <c r="S106" s="420"/>
      <c r="T106" s="420"/>
      <c r="U106" s="420"/>
      <c r="V106" s="420"/>
      <c r="W106" s="420"/>
      <c r="X106" s="420"/>
      <c r="Y106" s="420"/>
      <c r="Z106" s="420"/>
      <c r="AA106" s="420"/>
    </row>
    <row r="107" spans="1:27">
      <c r="A107" s="246" t="s">
        <v>759</v>
      </c>
      <c r="B107" s="265">
        <v>18</v>
      </c>
      <c r="C107" s="246" t="s">
        <v>634</v>
      </c>
      <c r="D107" s="246">
        <f>'Giá Máy'!D22</f>
        <v>0</v>
      </c>
      <c r="E107" s="266" t="str">
        <f>'Giá Máy'!E22</f>
        <v>Máy nén khí diezel 600m3/h</v>
      </c>
      <c r="F107" s="265" t="s">
        <v>926</v>
      </c>
      <c r="G107" s="417"/>
      <c r="H107" s="417"/>
      <c r="I107" s="417"/>
      <c r="J107" s="268">
        <f>SUM(J108:J112)</f>
        <v>14.329356599999999</v>
      </c>
      <c r="K107" s="421">
        <f>'Giá Máy'!G22</f>
        <v>1497158.7093333299</v>
      </c>
      <c r="L107" s="421">
        <f>J107*K107</f>
        <v>21453321.032833032</v>
      </c>
      <c r="M107" s="421">
        <f>'Giá Máy'!H22</f>
        <v>1675837</v>
      </c>
      <c r="N107" s="421">
        <f>J107*M107</f>
        <v>24013665.976474199</v>
      </c>
      <c r="O107" s="421">
        <f>M107-K107</f>
        <v>178678.29066667007</v>
      </c>
      <c r="P107" s="421">
        <f>J107*O107</f>
        <v>2560344.9436411671</v>
      </c>
      <c r="Q107" s="421">
        <v>1</v>
      </c>
      <c r="R107" s="421">
        <f>M107*Q107</f>
        <v>1675837</v>
      </c>
      <c r="S107" s="421">
        <f>J107*R107</f>
        <v>24013665.976474199</v>
      </c>
      <c r="T107" s="421">
        <v>178678.29066666999</v>
      </c>
      <c r="U107" s="421">
        <v>2560344.9436411699</v>
      </c>
      <c r="V107" s="421">
        <f>'Giá Máy'!N22</f>
        <v>0</v>
      </c>
      <c r="W107" s="421">
        <f>J107*V107</f>
        <v>0</v>
      </c>
      <c r="X107" s="421">
        <f>'Giá Máy'!O22</f>
        <v>1558646.2133333334</v>
      </c>
      <c r="Y107" s="421">
        <f>J107*X107</f>
        <v>22334397.404093008</v>
      </c>
      <c r="Z107" s="421">
        <f>X107-K107</f>
        <v>61487.50400000345</v>
      </c>
      <c r="AA107" s="421">
        <f>J107*Z107</f>
        <v>881076.37125997571</v>
      </c>
    </row>
    <row r="108" spans="1:27" s="410" customFormat="1" hidden="1">
      <c r="A108" s="413"/>
      <c r="B108" s="414"/>
      <c r="C108" s="413" t="str">
        <f>'5.Tiên lượng'!C67</f>
        <v>AL.24111</v>
      </c>
      <c r="D108" s="413"/>
      <c r="E108" s="415" t="str">
        <f>'5.Tiên lượng'!D67</f>
        <v>Thi công khe co không có thanh TL</v>
      </c>
      <c r="F108" s="414" t="str">
        <f>'5.Tiên lượng'!E67</f>
        <v>m</v>
      </c>
      <c r="G108" s="416">
        <f>'5.Tiên lượng'!M67</f>
        <v>1026</v>
      </c>
      <c r="H108" s="416">
        <f>PTVT!G224</f>
        <v>5.0000000000000001E-3</v>
      </c>
      <c r="I108" s="416">
        <f>'5.Tiên lượng'!X67</f>
        <v>1</v>
      </c>
      <c r="J108" s="419">
        <f t="shared" ref="J108:J112" si="13">PRODUCT(G108,H108,I108)</f>
        <v>5.13</v>
      </c>
      <c r="K108" s="420"/>
      <c r="L108" s="420"/>
      <c r="M108" s="420"/>
      <c r="N108" s="420"/>
      <c r="O108" s="420"/>
      <c r="P108" s="420"/>
      <c r="Q108" s="420"/>
      <c r="R108" s="420"/>
      <c r="S108" s="420"/>
      <c r="T108" s="420"/>
      <c r="U108" s="420"/>
      <c r="V108" s="420"/>
      <c r="W108" s="420"/>
      <c r="X108" s="420"/>
      <c r="Y108" s="420"/>
      <c r="Z108" s="420"/>
      <c r="AA108" s="420"/>
    </row>
    <row r="109" spans="1:27" s="410" customFormat="1" hidden="1">
      <c r="A109" s="413"/>
      <c r="B109" s="414"/>
      <c r="C109" s="413" t="str">
        <f>'5.Tiên lượng'!C68</f>
        <v>AL.24112(VD)</v>
      </c>
      <c r="D109" s="413"/>
      <c r="E109" s="415" t="str">
        <f>'5.Tiên lượng'!D68</f>
        <v>Thi công khe giãn</v>
      </c>
      <c r="F109" s="414" t="str">
        <f>'5.Tiên lượng'!E68</f>
        <v>m</v>
      </c>
      <c r="G109" s="416">
        <f>'5.Tiên lượng'!M68</f>
        <v>103.46</v>
      </c>
      <c r="H109" s="416">
        <f>PTVT!G239</f>
        <v>5.0000000000000001E-3</v>
      </c>
      <c r="I109" s="416">
        <f>'5.Tiên lượng'!X68</f>
        <v>1</v>
      </c>
      <c r="J109" s="419">
        <f t="shared" si="13"/>
        <v>0.51729999999999998</v>
      </c>
      <c r="K109" s="420"/>
      <c r="L109" s="420"/>
      <c r="M109" s="420"/>
      <c r="N109" s="420"/>
      <c r="O109" s="420"/>
      <c r="P109" s="420"/>
      <c r="Q109" s="420"/>
      <c r="R109" s="420"/>
      <c r="S109" s="420"/>
      <c r="T109" s="420"/>
      <c r="U109" s="420"/>
      <c r="V109" s="420"/>
      <c r="W109" s="420"/>
      <c r="X109" s="420"/>
      <c r="Y109" s="420"/>
      <c r="Z109" s="420"/>
      <c r="AA109" s="420"/>
    </row>
    <row r="110" spans="1:27" s="410" customFormat="1" hidden="1">
      <c r="A110" s="413"/>
      <c r="B110" s="414"/>
      <c r="C110" s="413" t="str">
        <f>'5.Tiên lượng'!C69</f>
        <v>AL.24113(VD)</v>
      </c>
      <c r="D110" s="413"/>
      <c r="E110" s="415" t="str">
        <f>'5.Tiên lượng'!D69</f>
        <v>Thi công  khe dọc</v>
      </c>
      <c r="F110" s="414" t="str">
        <f>'5.Tiên lượng'!E69</f>
        <v>m</v>
      </c>
      <c r="G110" s="416">
        <f>'5.Tiên lượng'!M69</f>
        <v>1000.04</v>
      </c>
      <c r="H110" s="416">
        <f>PTVT!G250</f>
        <v>5.0000000000000001E-3</v>
      </c>
      <c r="I110" s="416">
        <f>'5.Tiên lượng'!X69</f>
        <v>1</v>
      </c>
      <c r="J110" s="419">
        <f t="shared" si="13"/>
        <v>5.0001999999999995</v>
      </c>
      <c r="K110" s="420"/>
      <c r="L110" s="420"/>
      <c r="M110" s="420"/>
      <c r="N110" s="420"/>
      <c r="O110" s="420"/>
      <c r="P110" s="420"/>
      <c r="Q110" s="420"/>
      <c r="R110" s="420"/>
      <c r="S110" s="420"/>
      <c r="T110" s="420"/>
      <c r="U110" s="420"/>
      <c r="V110" s="420"/>
      <c r="W110" s="420"/>
      <c r="X110" s="420"/>
      <c r="Y110" s="420"/>
      <c r="Z110" s="420"/>
      <c r="AA110" s="420"/>
    </row>
    <row r="111" spans="1:27" s="410" customFormat="1" ht="27.6" hidden="1">
      <c r="A111" s="413"/>
      <c r="B111" s="414"/>
      <c r="C111" s="413" t="str">
        <f>'5.Tiên lượng'!C113</f>
        <v>AD.24223</v>
      </c>
      <c r="D111" s="413"/>
      <c r="E111" s="415" t="str">
        <f>'5.Tiên lượng'!D113</f>
        <v>Tưới lớp dính bám mặt đường, nhũ tương CSS1, lượng nhũ tương 1kg/m2</v>
      </c>
      <c r="F111" s="414" t="str">
        <f>'5.Tiên lượng'!E113</f>
        <v>100m2</v>
      </c>
      <c r="G111" s="416">
        <f>'5.Tiên lượng'!M113</f>
        <v>106.9627</v>
      </c>
      <c r="H111" s="416">
        <f>PTVT!G400</f>
        <v>3.4000000000000002E-2</v>
      </c>
      <c r="I111" s="416">
        <f>'5.Tiên lượng'!X113</f>
        <v>1</v>
      </c>
      <c r="J111" s="419">
        <f t="shared" si="13"/>
        <v>3.6367318000000002</v>
      </c>
      <c r="K111" s="420"/>
      <c r="L111" s="420"/>
      <c r="M111" s="420"/>
      <c r="N111" s="420"/>
      <c r="O111" s="420"/>
      <c r="P111" s="420"/>
      <c r="Q111" s="420"/>
      <c r="R111" s="420"/>
      <c r="S111" s="420"/>
      <c r="T111" s="420"/>
      <c r="U111" s="420"/>
      <c r="V111" s="420"/>
      <c r="W111" s="420"/>
      <c r="X111" s="420"/>
      <c r="Y111" s="420"/>
      <c r="Z111" s="420"/>
      <c r="AA111" s="420"/>
    </row>
    <row r="112" spans="1:27" s="410" customFormat="1" ht="27.6" hidden="1">
      <c r="A112" s="413"/>
      <c r="B112" s="414"/>
      <c r="C112" s="413" t="str">
        <f>'5.Tiên lượng'!C120</f>
        <v>AD.24223</v>
      </c>
      <c r="D112" s="413"/>
      <c r="E112" s="415" t="str">
        <f>'5.Tiên lượng'!D120</f>
        <v>Tưới lớp dính bám mặt đường, nhũ tương CSS1, lượng nhũ tương 1kg/m2</v>
      </c>
      <c r="F112" s="414" t="str">
        <f>'5.Tiên lượng'!E120</f>
        <v>100m2</v>
      </c>
      <c r="G112" s="416">
        <f>'5.Tiên lượng'!M120</f>
        <v>1.3271999999999999</v>
      </c>
      <c r="H112" s="416">
        <f>PTVT!G441</f>
        <v>3.4000000000000002E-2</v>
      </c>
      <c r="I112" s="416">
        <f>'5.Tiên lượng'!X120</f>
        <v>1</v>
      </c>
      <c r="J112" s="419">
        <f t="shared" si="13"/>
        <v>4.51248E-2</v>
      </c>
      <c r="K112" s="420"/>
      <c r="L112" s="420"/>
      <c r="M112" s="420"/>
      <c r="N112" s="420"/>
      <c r="O112" s="420"/>
      <c r="P112" s="420"/>
      <c r="Q112" s="420"/>
      <c r="R112" s="420"/>
      <c r="S112" s="420"/>
      <c r="T112" s="420"/>
      <c r="U112" s="420"/>
      <c r="V112" s="420"/>
      <c r="W112" s="420"/>
      <c r="X112" s="420"/>
      <c r="Y112" s="420"/>
      <c r="Z112" s="420"/>
      <c r="AA112" s="420"/>
    </row>
    <row r="113" spans="1:27">
      <c r="A113" s="246" t="s">
        <v>759</v>
      </c>
      <c r="B113" s="265">
        <v>19</v>
      </c>
      <c r="C113" s="246" t="s">
        <v>647</v>
      </c>
      <c r="D113" s="246">
        <f>'Giá Máy'!D23</f>
        <v>0</v>
      </c>
      <c r="E113" s="266" t="str">
        <f>'Giá Máy'!E23</f>
        <v>Máy phun nhựa đường 190CV</v>
      </c>
      <c r="F113" s="265" t="s">
        <v>926</v>
      </c>
      <c r="G113" s="417"/>
      <c r="H113" s="417"/>
      <c r="I113" s="417"/>
      <c r="J113" s="268">
        <f>SUM(J114:J117)</f>
        <v>21.008240600000001</v>
      </c>
      <c r="K113" s="421">
        <f>'Giá Máy'!G23</f>
        <v>2914031.0426666699</v>
      </c>
      <c r="L113" s="421">
        <f>J113*K113</f>
        <v>61218665.260210268</v>
      </c>
      <c r="M113" s="421">
        <f>'Giá Máy'!H23</f>
        <v>3130727</v>
      </c>
      <c r="N113" s="421">
        <f>J113*M113</f>
        <v>65771066.068916202</v>
      </c>
      <c r="O113" s="421">
        <f>M113-K113</f>
        <v>216695.95733333007</v>
      </c>
      <c r="P113" s="421">
        <f>J113*O113</f>
        <v>4552400.8087059325</v>
      </c>
      <c r="Q113" s="421">
        <v>1</v>
      </c>
      <c r="R113" s="421">
        <f>M113*Q113</f>
        <v>3130727</v>
      </c>
      <c r="S113" s="421">
        <f>J113*R113</f>
        <v>65771066.068916202</v>
      </c>
      <c r="T113" s="421">
        <v>216695.95733333001</v>
      </c>
      <c r="U113" s="421">
        <v>4552400.8087059297</v>
      </c>
      <c r="V113" s="421">
        <f>'Giá Máy'!N23</f>
        <v>0</v>
      </c>
      <c r="W113" s="421">
        <f>J113*V113</f>
        <v>0</v>
      </c>
      <c r="X113" s="421">
        <f>'Giá Máy'!O23</f>
        <v>2958321.8666666662</v>
      </c>
      <c r="Y113" s="421">
        <f>J113*X113</f>
        <v>62149137.547174446</v>
      </c>
      <c r="Z113" s="421">
        <f>X113-K113</f>
        <v>44290.823999996297</v>
      </c>
      <c r="AA113" s="421">
        <f>J113*Z113</f>
        <v>930472.28696417669</v>
      </c>
    </row>
    <row r="114" spans="1:27" s="410" customFormat="1" ht="27.6" hidden="1">
      <c r="A114" s="413"/>
      <c r="B114" s="414"/>
      <c r="C114" s="413" t="str">
        <f>'5.Tiên lượng'!C113</f>
        <v>AD.24223</v>
      </c>
      <c r="D114" s="413"/>
      <c r="E114" s="415" t="str">
        <f>'5.Tiên lượng'!D113</f>
        <v>Tưới lớp dính bám mặt đường, nhũ tương CSS1, lượng nhũ tương 1kg/m2</v>
      </c>
      <c r="F114" s="414" t="str">
        <f>'5.Tiên lượng'!E113</f>
        <v>100m2</v>
      </c>
      <c r="G114" s="416">
        <f>'5.Tiên lượng'!M113</f>
        <v>106.9627</v>
      </c>
      <c r="H114" s="416">
        <f>PTVT!G399</f>
        <v>6.8000000000000005E-2</v>
      </c>
      <c r="I114" s="416">
        <f>'5.Tiên lượng'!X113</f>
        <v>1</v>
      </c>
      <c r="J114" s="419">
        <f t="shared" ref="J114:J117" si="14">PRODUCT(G114,H114,I114)</f>
        <v>7.2734636000000004</v>
      </c>
      <c r="K114" s="420"/>
      <c r="L114" s="420"/>
      <c r="M114" s="420"/>
      <c r="N114" s="420"/>
      <c r="O114" s="420"/>
      <c r="P114" s="420"/>
      <c r="Q114" s="420"/>
      <c r="R114" s="420"/>
      <c r="S114" s="420"/>
      <c r="T114" s="420"/>
      <c r="U114" s="420"/>
      <c r="V114" s="420"/>
      <c r="W114" s="420"/>
      <c r="X114" s="420"/>
      <c r="Y114" s="420"/>
      <c r="Z114" s="420"/>
      <c r="AA114" s="420"/>
    </row>
    <row r="115" spans="1:27" s="410" customFormat="1" ht="27.6" hidden="1">
      <c r="A115" s="413"/>
      <c r="B115" s="414"/>
      <c r="C115" s="413" t="str">
        <f>'5.Tiên lượng'!C115</f>
        <v>AD.24132</v>
      </c>
      <c r="D115" s="413"/>
      <c r="E115" s="415" t="str">
        <f>'5.Tiên lượng'!D115</f>
        <v>Thi công mặt đường láng nhũ tương 03 lớp - Tiêu chuẩn nhựa 4,5kg/m2</v>
      </c>
      <c r="F115" s="414" t="str">
        <f>'5.Tiên lượng'!E115</f>
        <v>100m2</v>
      </c>
      <c r="G115" s="416">
        <f>'5.Tiên lượng'!M115</f>
        <v>106.9627</v>
      </c>
      <c r="H115" s="416">
        <f>PTVT!G412</f>
        <v>0.126</v>
      </c>
      <c r="I115" s="416">
        <f>'5.Tiên lượng'!X115</f>
        <v>1</v>
      </c>
      <c r="J115" s="419">
        <f t="shared" si="14"/>
        <v>13.4773002</v>
      </c>
      <c r="K115" s="420"/>
      <c r="L115" s="420"/>
      <c r="M115" s="420"/>
      <c r="N115" s="420"/>
      <c r="O115" s="420"/>
      <c r="P115" s="420"/>
      <c r="Q115" s="420"/>
      <c r="R115" s="420"/>
      <c r="S115" s="420"/>
      <c r="T115" s="420"/>
      <c r="U115" s="420"/>
      <c r="V115" s="420"/>
      <c r="W115" s="420"/>
      <c r="X115" s="420"/>
      <c r="Y115" s="420"/>
      <c r="Z115" s="420"/>
      <c r="AA115" s="420"/>
    </row>
    <row r="116" spans="1:27" s="410" customFormat="1" ht="27.6" hidden="1">
      <c r="A116" s="413"/>
      <c r="B116" s="414"/>
      <c r="C116" s="413" t="str">
        <f>'5.Tiên lượng'!C120</f>
        <v>AD.24223</v>
      </c>
      <c r="D116" s="413"/>
      <c r="E116" s="415" t="str">
        <f>'5.Tiên lượng'!D120</f>
        <v>Tưới lớp dính bám mặt đường, nhũ tương CSS1, lượng nhũ tương 1kg/m2</v>
      </c>
      <c r="F116" s="414" t="str">
        <f>'5.Tiên lượng'!E120</f>
        <v>100m2</v>
      </c>
      <c r="G116" s="416">
        <f>'5.Tiên lượng'!M120</f>
        <v>1.3271999999999999</v>
      </c>
      <c r="H116" s="416">
        <f>PTVT!G440</f>
        <v>6.8000000000000005E-2</v>
      </c>
      <c r="I116" s="416">
        <f>'5.Tiên lượng'!X120</f>
        <v>1</v>
      </c>
      <c r="J116" s="419">
        <f t="shared" si="14"/>
        <v>9.0249599999999999E-2</v>
      </c>
      <c r="K116" s="420"/>
      <c r="L116" s="420"/>
      <c r="M116" s="420"/>
      <c r="N116" s="420"/>
      <c r="O116" s="420"/>
      <c r="P116" s="420"/>
      <c r="Q116" s="420"/>
      <c r="R116" s="420"/>
      <c r="S116" s="420"/>
      <c r="T116" s="420"/>
      <c r="U116" s="420"/>
      <c r="V116" s="420"/>
      <c r="W116" s="420"/>
      <c r="X116" s="420"/>
      <c r="Y116" s="420"/>
      <c r="Z116" s="420"/>
      <c r="AA116" s="420"/>
    </row>
    <row r="117" spans="1:27" s="410" customFormat="1" ht="27.6" hidden="1">
      <c r="A117" s="413"/>
      <c r="B117" s="414"/>
      <c r="C117" s="413" t="str">
        <f>'5.Tiên lượng'!C122</f>
        <v>AD.24132</v>
      </c>
      <c r="D117" s="413"/>
      <c r="E117" s="415" t="str">
        <f>'5.Tiên lượng'!D122</f>
        <v>Thi công mặt đường láng nhũ tương 03 lớp - Tiêu chuẩn nhựa 4,5kg/m2</v>
      </c>
      <c r="F117" s="414" t="str">
        <f>'5.Tiên lượng'!E122</f>
        <v>100m2</v>
      </c>
      <c r="G117" s="416">
        <f>'5.Tiên lượng'!M122</f>
        <v>1.3271999999999999</v>
      </c>
      <c r="H117" s="416">
        <f>PTVT!G453</f>
        <v>0.126</v>
      </c>
      <c r="I117" s="416">
        <f>'5.Tiên lượng'!X122</f>
        <v>1</v>
      </c>
      <c r="J117" s="419">
        <f t="shared" si="14"/>
        <v>0.16722719999999999</v>
      </c>
      <c r="K117" s="420"/>
      <c r="L117" s="420"/>
      <c r="M117" s="420"/>
      <c r="N117" s="420"/>
      <c r="O117" s="420"/>
      <c r="P117" s="420"/>
      <c r="Q117" s="420"/>
      <c r="R117" s="420"/>
      <c r="S117" s="420"/>
      <c r="T117" s="420"/>
      <c r="U117" s="420"/>
      <c r="V117" s="420"/>
      <c r="W117" s="420"/>
      <c r="X117" s="420"/>
      <c r="Y117" s="420"/>
      <c r="Z117" s="420"/>
      <c r="AA117" s="420"/>
    </row>
    <row r="118" spans="1:27">
      <c r="A118" s="246" t="s">
        <v>759</v>
      </c>
      <c r="B118" s="265">
        <v>20</v>
      </c>
      <c r="C118" s="246" t="s">
        <v>606</v>
      </c>
      <c r="D118" s="246">
        <f>'Giá Máy'!D24</f>
        <v>0</v>
      </c>
      <c r="E118" s="266" t="str">
        <f>'Giá Máy'!E24</f>
        <v>Máy rải cấp phối đá dăm 50 - 60m3/h</v>
      </c>
      <c r="F118" s="265" t="s">
        <v>926</v>
      </c>
      <c r="G118" s="417"/>
      <c r="H118" s="417"/>
      <c r="I118" s="417"/>
      <c r="J118" s="268">
        <f>SUM(J119:J119)</f>
        <v>1.9390848053097345</v>
      </c>
      <c r="K118" s="421">
        <f>'Giá Máy'!G24</f>
        <v>3528139.6955555598</v>
      </c>
      <c r="L118" s="421">
        <f>J118*K118</f>
        <v>6841362.0746618984</v>
      </c>
      <c r="M118" s="421">
        <f>'Giá Máy'!H24</f>
        <v>0</v>
      </c>
      <c r="N118" s="421">
        <f>J118*M118</f>
        <v>0</v>
      </c>
      <c r="O118" s="421">
        <f>M118-K118</f>
        <v>-3528139.6955555598</v>
      </c>
      <c r="P118" s="421">
        <f>J118*O118</f>
        <v>-6841362.0746618984</v>
      </c>
      <c r="Q118" s="421">
        <v>1</v>
      </c>
      <c r="R118" s="421">
        <f>M118*Q118</f>
        <v>0</v>
      </c>
      <c r="S118" s="421">
        <f>J118*R118</f>
        <v>0</v>
      </c>
      <c r="T118" s="421">
        <v>-3528139.6955555598</v>
      </c>
      <c r="U118" s="421">
        <v>-6841362.0746619003</v>
      </c>
      <c r="V118" s="421">
        <f>'Giá Máy'!N24</f>
        <v>0</v>
      </c>
      <c r="W118" s="421">
        <f>J118*V118</f>
        <v>0</v>
      </c>
      <c r="X118" s="421">
        <f>'Giá Máy'!O24</f>
        <v>3572483.6555555556</v>
      </c>
      <c r="Y118" s="421">
        <f>J118*X118</f>
        <v>6927348.7737051528</v>
      </c>
      <c r="Z118" s="421">
        <f>X118-K118</f>
        <v>44343.959999995772</v>
      </c>
      <c r="AA118" s="421">
        <f>J118*Z118</f>
        <v>85986.699043254455</v>
      </c>
    </row>
    <row r="119" spans="1:27" s="410" customFormat="1" hidden="1">
      <c r="A119" s="413"/>
      <c r="B119" s="414"/>
      <c r="C119" s="413" t="str">
        <f>'5.Tiên lượng'!C36</f>
        <v>AD.11212</v>
      </c>
      <c r="D119" s="413"/>
      <c r="E119" s="415" t="str">
        <f>'5.Tiên lượng'!D36</f>
        <v>Thi công đắp cấp phối đá dăm loại 2</v>
      </c>
      <c r="F119" s="414" t="str">
        <f>'5.Tiên lượng'!E36</f>
        <v>100m3</v>
      </c>
      <c r="G119" s="416">
        <f>'5.Tiên lượng'!M36</f>
        <v>9.2337371681415927</v>
      </c>
      <c r="H119" s="416">
        <f>PTVT!G85</f>
        <v>0.21</v>
      </c>
      <c r="I119" s="416">
        <f>'5.Tiên lượng'!X36</f>
        <v>1</v>
      </c>
      <c r="J119" s="419">
        <f>PRODUCT(G119,H119,I119)</f>
        <v>1.9390848053097345</v>
      </c>
      <c r="K119" s="420"/>
      <c r="L119" s="420"/>
      <c r="M119" s="420"/>
      <c r="N119" s="420"/>
      <c r="O119" s="420"/>
      <c r="P119" s="420"/>
      <c r="Q119" s="420"/>
      <c r="R119" s="420"/>
      <c r="S119" s="420"/>
      <c r="T119" s="420"/>
      <c r="U119" s="420"/>
      <c r="V119" s="420"/>
      <c r="W119" s="420"/>
      <c r="X119" s="420"/>
      <c r="Y119" s="420"/>
      <c r="Z119" s="420"/>
      <c r="AA119" s="420"/>
    </row>
    <row r="120" spans="1:27">
      <c r="A120" s="246" t="s">
        <v>759</v>
      </c>
      <c r="B120" s="265">
        <v>21</v>
      </c>
      <c r="C120" s="246" t="s">
        <v>606</v>
      </c>
      <c r="D120" s="246">
        <f>'Giá Máy'!D25</f>
        <v>0</v>
      </c>
      <c r="E120" s="266" t="str">
        <f>'Giá Máy'!E25</f>
        <v>Máy rải cấp phối đá dăm 50 - 60m3/h</v>
      </c>
      <c r="F120" s="265" t="s">
        <v>926</v>
      </c>
      <c r="G120" s="417"/>
      <c r="H120" s="417"/>
      <c r="I120" s="417"/>
      <c r="J120" s="268">
        <f>SUM(J121:J126)</f>
        <v>4.72967607</v>
      </c>
      <c r="K120" s="421">
        <f>'Giá Máy'!G25</f>
        <v>3528139.6955555598</v>
      </c>
      <c r="L120" s="421">
        <f>J120*K120</f>
        <v>16686957.889686218</v>
      </c>
      <c r="M120" s="421">
        <f>'Giá Máy'!H25</f>
        <v>3642190</v>
      </c>
      <c r="N120" s="421">
        <f>J120*M120</f>
        <v>17226378.885393299</v>
      </c>
      <c r="O120" s="421">
        <f>M120-K120</f>
        <v>114050.30444444017</v>
      </c>
      <c r="P120" s="421">
        <f>J120*O120</f>
        <v>539420.99570708338</v>
      </c>
      <c r="Q120" s="421">
        <v>1</v>
      </c>
      <c r="R120" s="421">
        <f>M120*Q120</f>
        <v>3642190</v>
      </c>
      <c r="S120" s="421">
        <f>J120*R120</f>
        <v>17226378.885393299</v>
      </c>
      <c r="T120" s="421">
        <v>114050.30444444</v>
      </c>
      <c r="U120" s="421">
        <v>539420.99570708303</v>
      </c>
      <c r="V120" s="421">
        <f>'Giá Máy'!N25</f>
        <v>0</v>
      </c>
      <c r="W120" s="421">
        <f>J120*V120</f>
        <v>0</v>
      </c>
      <c r="X120" s="421">
        <f>'Giá Máy'!O25</f>
        <v>3572483.6555555556</v>
      </c>
      <c r="Y120" s="421">
        <f>J120*X120</f>
        <v>16896690.456147235</v>
      </c>
      <c r="Z120" s="421">
        <f>X120-K120</f>
        <v>44343.959999995772</v>
      </c>
      <c r="AA120" s="421">
        <f>J120*Z120</f>
        <v>209732.56646101721</v>
      </c>
    </row>
    <row r="121" spans="1:27" s="410" customFormat="1" hidden="1">
      <c r="A121" s="413"/>
      <c r="B121" s="414"/>
      <c r="C121" s="413" t="str">
        <f>'5.Tiên lượng'!C51</f>
        <v>AD.11212</v>
      </c>
      <c r="D121" s="413"/>
      <c r="E121" s="415" t="str">
        <f>'5.Tiên lượng'!D51</f>
        <v xml:space="preserve">Thi công móng cấp phối đá dăm lớp dưới </v>
      </c>
      <c r="F121" s="414" t="str">
        <f>'5.Tiên lượng'!E51</f>
        <v>100m3</v>
      </c>
      <c r="G121" s="416">
        <f>'5.Tiên lượng'!M51</f>
        <v>1.3379759999999998</v>
      </c>
      <c r="H121" s="416">
        <f>PTVT!G141</f>
        <v>0.21</v>
      </c>
      <c r="I121" s="416">
        <f>'5.Tiên lượng'!X51</f>
        <v>1</v>
      </c>
      <c r="J121" s="419">
        <f t="shared" ref="J121:J126" si="15">PRODUCT(G121,H121,I121)</f>
        <v>0.28097495999999994</v>
      </c>
      <c r="K121" s="420"/>
      <c r="L121" s="420"/>
      <c r="M121" s="420"/>
      <c r="N121" s="420"/>
      <c r="O121" s="420"/>
      <c r="P121" s="420"/>
      <c r="Q121" s="420"/>
      <c r="R121" s="420"/>
      <c r="S121" s="420"/>
      <c r="T121" s="420"/>
      <c r="U121" s="420"/>
      <c r="V121" s="420"/>
      <c r="W121" s="420"/>
      <c r="X121" s="420"/>
      <c r="Y121" s="420"/>
      <c r="Z121" s="420"/>
      <c r="AA121" s="420"/>
    </row>
    <row r="122" spans="1:27" s="410" customFormat="1" hidden="1">
      <c r="A122" s="413"/>
      <c r="B122" s="414"/>
      <c r="C122" s="413" t="str">
        <f>'5.Tiên lượng'!C53</f>
        <v>AD.11212</v>
      </c>
      <c r="D122" s="413"/>
      <c r="E122" s="415" t="str">
        <f>'5.Tiên lượng'!D53</f>
        <v xml:space="preserve">Thi công móng cấp phối đá dăm lớp dưới </v>
      </c>
      <c r="F122" s="414" t="str">
        <f>'5.Tiên lượng'!E53</f>
        <v>100m3</v>
      </c>
      <c r="G122" s="416">
        <f>'5.Tiên lượng'!M53</f>
        <v>1.7016</v>
      </c>
      <c r="H122" s="416">
        <f>PTVT!G153</f>
        <v>0.21</v>
      </c>
      <c r="I122" s="416">
        <f>'5.Tiên lượng'!X53</f>
        <v>1</v>
      </c>
      <c r="J122" s="419">
        <f t="shared" si="15"/>
        <v>0.35733599999999999</v>
      </c>
      <c r="K122" s="420"/>
      <c r="L122" s="420"/>
      <c r="M122" s="420"/>
      <c r="N122" s="420"/>
      <c r="O122" s="420"/>
      <c r="P122" s="420"/>
      <c r="Q122" s="420"/>
      <c r="R122" s="420"/>
      <c r="S122" s="420"/>
      <c r="T122" s="420"/>
      <c r="U122" s="420"/>
      <c r="V122" s="420"/>
      <c r="W122" s="420"/>
      <c r="X122" s="420"/>
      <c r="Y122" s="420"/>
      <c r="Z122" s="420"/>
      <c r="AA122" s="420"/>
    </row>
    <row r="123" spans="1:27" s="410" customFormat="1" hidden="1">
      <c r="A123" s="413"/>
      <c r="B123" s="414"/>
      <c r="C123" s="413" t="str">
        <f>'5.Tiên lượng'!C63</f>
        <v>AD.11212</v>
      </c>
      <c r="D123" s="413"/>
      <c r="E123" s="415" t="str">
        <f>'5.Tiên lượng'!D63</f>
        <v xml:space="preserve">Thi công móng cấp phối đá dăm lớp dưới </v>
      </c>
      <c r="F123" s="414" t="str">
        <f>'5.Tiên lượng'!E63</f>
        <v>100m3</v>
      </c>
      <c r="G123" s="416">
        <f>'5.Tiên lượng'!M63</f>
        <v>7.6583999999999999E-2</v>
      </c>
      <c r="H123" s="416">
        <f>PTVT!G198</f>
        <v>0.21</v>
      </c>
      <c r="I123" s="416">
        <f>'5.Tiên lượng'!X63</f>
        <v>1</v>
      </c>
      <c r="J123" s="419">
        <f t="shared" si="15"/>
        <v>1.6082639999999999E-2</v>
      </c>
      <c r="K123" s="420"/>
      <c r="L123" s="420"/>
      <c r="M123" s="420"/>
      <c r="N123" s="420"/>
      <c r="O123" s="420"/>
      <c r="P123" s="420"/>
      <c r="Q123" s="420"/>
      <c r="R123" s="420"/>
      <c r="S123" s="420"/>
      <c r="T123" s="420"/>
      <c r="U123" s="420"/>
      <c r="V123" s="420"/>
      <c r="W123" s="420"/>
      <c r="X123" s="420"/>
      <c r="Y123" s="420"/>
      <c r="Z123" s="420"/>
      <c r="AA123" s="420"/>
    </row>
    <row r="124" spans="1:27" s="410" customFormat="1" hidden="1">
      <c r="A124" s="413"/>
      <c r="B124" s="414"/>
      <c r="C124" s="413" t="str">
        <f>'5.Tiên lượng'!C99</f>
        <v>AD.11212</v>
      </c>
      <c r="D124" s="413"/>
      <c r="E124" s="415" t="str">
        <f>'5.Tiên lượng'!D99</f>
        <v xml:space="preserve">Thi công móng cấp phối đá dăm lớp dưới </v>
      </c>
      <c r="F124" s="414" t="str">
        <f>'5.Tiên lượng'!E99</f>
        <v>100m3</v>
      </c>
      <c r="G124" s="416">
        <f>'5.Tiên lượng'!M99</f>
        <v>4.3350070000000001</v>
      </c>
      <c r="H124" s="416">
        <f>PTVT!G329</f>
        <v>0.21</v>
      </c>
      <c r="I124" s="416">
        <f>'5.Tiên lượng'!X99</f>
        <v>1</v>
      </c>
      <c r="J124" s="419">
        <f t="shared" si="15"/>
        <v>0.91035146999999994</v>
      </c>
      <c r="K124" s="420"/>
      <c r="L124" s="420"/>
      <c r="M124" s="420"/>
      <c r="N124" s="420"/>
      <c r="O124" s="420"/>
      <c r="P124" s="420"/>
      <c r="Q124" s="420"/>
      <c r="R124" s="420"/>
      <c r="S124" s="420"/>
      <c r="T124" s="420"/>
      <c r="U124" s="420"/>
      <c r="V124" s="420"/>
      <c r="W124" s="420"/>
      <c r="X124" s="420"/>
      <c r="Y124" s="420"/>
      <c r="Z124" s="420"/>
      <c r="AA124" s="420"/>
    </row>
    <row r="125" spans="1:27" s="410" customFormat="1" ht="27.6" hidden="1">
      <c r="A125" s="413"/>
      <c r="B125" s="414"/>
      <c r="C125" s="413" t="str">
        <f>'5.Tiên lượng'!C105</f>
        <v>AD.11212(VD)</v>
      </c>
      <c r="D125" s="413"/>
      <c r="E125" s="415" t="str">
        <f>'5.Tiên lượng'!D105</f>
        <v>Bù vật liệu (trên mặt đường cũ lồi lõm) bằng cấp phối đá dăm loại 2 (không lu)</v>
      </c>
      <c r="F125" s="414" t="str">
        <f>'5.Tiên lượng'!E105</f>
        <v>100m3</v>
      </c>
      <c r="G125" s="416">
        <f>'5.Tiên lượng'!M105</f>
        <v>10.24</v>
      </c>
      <c r="H125" s="416">
        <f>PTVT!G350</f>
        <v>0.21</v>
      </c>
      <c r="I125" s="416">
        <f>'5.Tiên lượng'!X105</f>
        <v>1</v>
      </c>
      <c r="J125" s="419">
        <f t="shared" si="15"/>
        <v>2.1503999999999999</v>
      </c>
      <c r="K125" s="420"/>
      <c r="L125" s="420"/>
      <c r="M125" s="420"/>
      <c r="N125" s="420"/>
      <c r="O125" s="420"/>
      <c r="P125" s="420"/>
      <c r="Q125" s="420"/>
      <c r="R125" s="420"/>
      <c r="S125" s="420"/>
      <c r="T125" s="420"/>
      <c r="U125" s="420"/>
      <c r="V125" s="420"/>
      <c r="W125" s="420"/>
      <c r="X125" s="420"/>
      <c r="Y125" s="420"/>
      <c r="Z125" s="420"/>
      <c r="AA125" s="420"/>
    </row>
    <row r="126" spans="1:27" s="410" customFormat="1" ht="27.6" hidden="1">
      <c r="A126" s="413"/>
      <c r="B126" s="414"/>
      <c r="C126" s="413" t="str">
        <f>'5.Tiên lượng'!C109</f>
        <v>AD.11212</v>
      </c>
      <c r="D126" s="413"/>
      <c r="E126" s="415" t="str">
        <f>'5.Tiên lượng'!D109</f>
        <v>Bù trả vật liệu phần cạp mở rộng bằng cấp phối đá dăm loại 2 dày 18cm (không lu)</v>
      </c>
      <c r="F126" s="414" t="str">
        <f>'5.Tiên lượng'!E109</f>
        <v>100m3</v>
      </c>
      <c r="G126" s="416">
        <f>'5.Tiên lượng'!M109</f>
        <v>4.8311000000000002</v>
      </c>
      <c r="H126" s="416">
        <f>PTVT!G368</f>
        <v>0.21</v>
      </c>
      <c r="I126" s="416">
        <f>'5.Tiên lượng'!X109</f>
        <v>1</v>
      </c>
      <c r="J126" s="419">
        <f t="shared" si="15"/>
        <v>1.0145310000000001</v>
      </c>
      <c r="K126" s="420"/>
      <c r="L126" s="420"/>
      <c r="M126" s="420"/>
      <c r="N126" s="420"/>
      <c r="O126" s="420"/>
      <c r="P126" s="420"/>
      <c r="Q126" s="420"/>
      <c r="R126" s="420"/>
      <c r="S126" s="420"/>
      <c r="T126" s="420"/>
      <c r="U126" s="420"/>
      <c r="V126" s="420"/>
      <c r="W126" s="420"/>
      <c r="X126" s="420"/>
      <c r="Y126" s="420"/>
      <c r="Z126" s="420"/>
      <c r="AA126" s="420"/>
    </row>
    <row r="127" spans="1:27">
      <c r="A127" s="246" t="s">
        <v>759</v>
      </c>
      <c r="B127" s="265">
        <v>22</v>
      </c>
      <c r="C127" s="246" t="s">
        <v>645</v>
      </c>
      <c r="D127" s="246">
        <f>'Giá Máy'!D26</f>
        <v>0</v>
      </c>
      <c r="E127" s="266" t="str">
        <f>'Giá Máy'!E26</f>
        <v>Máy san 110CV</v>
      </c>
      <c r="F127" s="265" t="s">
        <v>926</v>
      </c>
      <c r="G127" s="417"/>
      <c r="H127" s="417"/>
      <c r="I127" s="417"/>
      <c r="J127" s="268">
        <f>SUM(J128:J129)</f>
        <v>2.8595057399999999</v>
      </c>
      <c r="K127" s="421">
        <f>'Giá Máy'!G26</f>
        <v>1959181.2424347801</v>
      </c>
      <c r="L127" s="421">
        <f>J127*K127</f>
        <v>5602290.0084425854</v>
      </c>
      <c r="M127" s="421">
        <f>'Giá Máy'!H26</f>
        <v>2107447</v>
      </c>
      <c r="N127" s="421">
        <f>J127*M127</f>
        <v>6026256.7932457794</v>
      </c>
      <c r="O127" s="421">
        <f>M127-K127</f>
        <v>148265.75756521989</v>
      </c>
      <c r="P127" s="421">
        <f>J127*O127</f>
        <v>423966.78480319469</v>
      </c>
      <c r="Q127" s="421">
        <v>1</v>
      </c>
      <c r="R127" s="421">
        <f>M127*Q127</f>
        <v>2107447</v>
      </c>
      <c r="S127" s="421">
        <f>J127*R127</f>
        <v>6026256.7932457794</v>
      </c>
      <c r="T127" s="421">
        <v>148265.75756522</v>
      </c>
      <c r="U127" s="421">
        <v>471074.20533688302</v>
      </c>
      <c r="V127" s="421">
        <f>'Giá Máy'!N26</f>
        <v>0</v>
      </c>
      <c r="W127" s="421">
        <f>J127*V127</f>
        <v>0</v>
      </c>
      <c r="X127" s="421">
        <f>'Giá Máy'!O26</f>
        <v>1989485.4904347826</v>
      </c>
      <c r="Y127" s="421">
        <f>J127*X127</f>
        <v>5688945.179544976</v>
      </c>
      <c r="Z127" s="421">
        <f>X127-K127</f>
        <v>30304.248000002466</v>
      </c>
      <c r="AA127" s="421">
        <f>J127*Z127</f>
        <v>86655.171102390566</v>
      </c>
    </row>
    <row r="128" spans="1:27" s="410" customFormat="1" ht="41.4" hidden="1">
      <c r="A128" s="413"/>
      <c r="B128" s="414"/>
      <c r="C128" s="413" t="str">
        <f>'5.Tiên lượng'!C111</f>
        <v>LS.11110(ĐM.1322)</v>
      </c>
      <c r="D128" s="413"/>
      <c r="E128" s="415" t="str">
        <f>'5.Tiên lượng'!D111</f>
        <v>Cào bóc tái sinh nguội tại chỗ bằng máy cào bóc tái sinh WR2400 trên mặt đường láng nhựa, chiều dày 18cm (4% xi măng rải thủ công)</v>
      </c>
      <c r="F128" s="414" t="str">
        <f>'5.Tiên lượng'!E111</f>
        <v>100m3</v>
      </c>
      <c r="G128" s="416">
        <f>'5.Tiên lượng'!M111</f>
        <v>19.253299999999999</v>
      </c>
      <c r="H128" s="416">
        <f>PTVT!G391</f>
        <v>0.16300000000000001</v>
      </c>
      <c r="I128" s="416">
        <f>'5.Tiên lượng'!X111</f>
        <v>0.9</v>
      </c>
      <c r="J128" s="419">
        <f t="shared" ref="J128:J129" si="16">PRODUCT(G128,H128,I128)</f>
        <v>2.8244591099999998</v>
      </c>
      <c r="K128" s="420"/>
      <c r="L128" s="420"/>
      <c r="M128" s="420"/>
      <c r="N128" s="420"/>
      <c r="O128" s="420"/>
      <c r="P128" s="420"/>
      <c r="Q128" s="420"/>
      <c r="R128" s="420"/>
      <c r="S128" s="420"/>
      <c r="T128" s="420"/>
      <c r="U128" s="420"/>
      <c r="V128" s="420"/>
      <c r="W128" s="420"/>
      <c r="X128" s="420"/>
      <c r="Y128" s="420"/>
      <c r="Z128" s="420"/>
      <c r="AA128" s="420"/>
    </row>
    <row r="129" spans="1:27" s="410" customFormat="1" ht="41.4" hidden="1">
      <c r="A129" s="413"/>
      <c r="B129" s="414"/>
      <c r="C129" s="413" t="str">
        <f>'5.Tiên lượng'!C118</f>
        <v>LS.11110(ĐM.1322)</v>
      </c>
      <c r="D129" s="413"/>
      <c r="E129" s="415" t="str">
        <f>'5.Tiên lượng'!D118</f>
        <v>Cào bóc tái sinh nguội tại chỗ bằng máy cào bóc tái sinh WR2400 trên mặt đường láng nhựa, chiều dày 18cm (4% xi măng rải thủ công)</v>
      </c>
      <c r="F129" s="414" t="str">
        <f>'5.Tiên lượng'!E118</f>
        <v>100m3</v>
      </c>
      <c r="G129" s="416">
        <f>'5.Tiên lượng'!M118</f>
        <v>0.2389</v>
      </c>
      <c r="H129" s="416">
        <f>PTVT!G432</f>
        <v>0.16300000000000001</v>
      </c>
      <c r="I129" s="416">
        <f>'5.Tiên lượng'!X118</f>
        <v>0.9</v>
      </c>
      <c r="J129" s="419">
        <f t="shared" si="16"/>
        <v>3.5046630000000002E-2</v>
      </c>
      <c r="K129" s="420"/>
      <c r="L129" s="420"/>
      <c r="M129" s="420"/>
      <c r="N129" s="420"/>
      <c r="O129" s="420"/>
      <c r="P129" s="420"/>
      <c r="Q129" s="420"/>
      <c r="R129" s="420"/>
      <c r="S129" s="420"/>
      <c r="T129" s="420"/>
      <c r="U129" s="420"/>
      <c r="V129" s="420"/>
      <c r="W129" s="420"/>
      <c r="X129" s="420"/>
      <c r="Y129" s="420"/>
      <c r="Z129" s="420"/>
      <c r="AA129" s="420"/>
    </row>
    <row r="130" spans="1:27">
      <c r="A130" s="246" t="s">
        <v>759</v>
      </c>
      <c r="B130" s="265">
        <v>23</v>
      </c>
      <c r="C130" s="246" t="s">
        <v>623</v>
      </c>
      <c r="D130" s="246">
        <f>'Giá Máy'!D27</f>
        <v>0</v>
      </c>
      <c r="E130" s="266" t="str">
        <f>'Giá Máy'!E27</f>
        <v>Máy trộn bê tông 250 lít</v>
      </c>
      <c r="F130" s="265" t="s">
        <v>926</v>
      </c>
      <c r="G130" s="417"/>
      <c r="H130" s="417"/>
      <c r="I130" s="417"/>
      <c r="J130" s="268">
        <f>SUM(J131:J141)</f>
        <v>89.856699999999989</v>
      </c>
      <c r="K130" s="421">
        <f>'Giá Máy'!G27</f>
        <v>303162.31046000001</v>
      </c>
      <c r="L130" s="421">
        <f>J130*K130</f>
        <v>27241164.782311078</v>
      </c>
      <c r="M130" s="421">
        <f>'Giá Máy'!H27</f>
        <v>302516</v>
      </c>
      <c r="N130" s="421">
        <f>J130*M130</f>
        <v>27183089.457199998</v>
      </c>
      <c r="O130" s="421">
        <f>M130-K130</f>
        <v>-646.31046000000788</v>
      </c>
      <c r="P130" s="421">
        <f>J130*O130</f>
        <v>-58075.325111082704</v>
      </c>
      <c r="Q130" s="421">
        <v>1</v>
      </c>
      <c r="R130" s="421">
        <f>M130*Q130</f>
        <v>302516</v>
      </c>
      <c r="S130" s="421">
        <f>J130*R130</f>
        <v>27183089.457199998</v>
      </c>
      <c r="T130" s="421">
        <v>-646.31046000000799</v>
      </c>
      <c r="U130" s="421">
        <v>-58075.325111082697</v>
      </c>
      <c r="V130" s="421">
        <f>'Giá Máy'!N27</f>
        <v>0</v>
      </c>
      <c r="W130" s="421">
        <f>J130*V130</f>
        <v>0</v>
      </c>
      <c r="X130" s="421">
        <f>'Giá Máy'!O27</f>
        <v>326305.98864499998</v>
      </c>
      <c r="Y130" s="421">
        <f>J130*X130</f>
        <v>29320779.329877164</v>
      </c>
      <c r="Z130" s="421">
        <f>X130-K130</f>
        <v>23143.678184999968</v>
      </c>
      <c r="AA130" s="421">
        <f>J130*Z130</f>
        <v>2079614.5475660863</v>
      </c>
    </row>
    <row r="131" spans="1:27" s="410" customFormat="1" ht="41.4" hidden="1">
      <c r="A131" s="413"/>
      <c r="B131" s="414"/>
      <c r="C131" s="413" t="str">
        <f>'5.Tiên lượng'!C46</f>
        <v>AF.15433</v>
      </c>
      <c r="D131" s="413"/>
      <c r="E131" s="415" t="str">
        <f>'5.Tiên lượng'!D46</f>
        <v>Bê tông sản xuất bằng máy trộn và đổ bằng thủ công, bê tông mặt đường dày mặt đường ≤25cm, bê tông M250, đá 2x4, PCB40</v>
      </c>
      <c r="F131" s="414" t="str">
        <f>'5.Tiên lượng'!E46</f>
        <v>m3</v>
      </c>
      <c r="G131" s="416">
        <f>'5.Tiên lượng'!M46</f>
        <v>900.03599999999994</v>
      </c>
      <c r="H131" s="416">
        <f>PTVT!G125</f>
        <v>9.5000000000000001E-2</v>
      </c>
      <c r="I131" s="416">
        <f>'5.Tiên lượng'!X46</f>
        <v>1</v>
      </c>
      <c r="J131" s="419">
        <f t="shared" ref="J131:J141" si="17">PRODUCT(G131,H131,I131)</f>
        <v>85.503419999999991</v>
      </c>
      <c r="K131" s="420"/>
      <c r="L131" s="420"/>
      <c r="M131" s="420"/>
      <c r="N131" s="420"/>
      <c r="O131" s="420"/>
      <c r="P131" s="420"/>
      <c r="Q131" s="420"/>
      <c r="R131" s="420"/>
      <c r="S131" s="420"/>
      <c r="T131" s="420"/>
      <c r="U131" s="420"/>
      <c r="V131" s="420"/>
      <c r="W131" s="420"/>
      <c r="X131" s="420"/>
      <c r="Y131" s="420"/>
      <c r="Z131" s="420"/>
      <c r="AA131" s="420"/>
    </row>
    <row r="132" spans="1:27" s="410" customFormat="1" ht="41.4" hidden="1">
      <c r="A132" s="413"/>
      <c r="B132" s="414"/>
      <c r="C132" s="413" t="str">
        <f>'5.Tiên lượng'!C59</f>
        <v>AF.15433</v>
      </c>
      <c r="D132" s="413"/>
      <c r="E132" s="415" t="str">
        <f>'5.Tiên lượng'!D59</f>
        <v>Bê tông sản xuất bằng máy trộn và đổ bằng thủ công, bê tông mặt đường dày mặt đường ≤25cm, bê tông M250, đá 2x4, PCB40</v>
      </c>
      <c r="F132" s="414" t="str">
        <f>'5.Tiên lượng'!E59</f>
        <v>m3</v>
      </c>
      <c r="G132" s="416">
        <f>'5.Tiên lượng'!M59</f>
        <v>12.764000000000001</v>
      </c>
      <c r="H132" s="416">
        <f>PTVT!G182</f>
        <v>9.5000000000000001E-2</v>
      </c>
      <c r="I132" s="416">
        <f>'5.Tiên lượng'!X59</f>
        <v>1</v>
      </c>
      <c r="J132" s="419">
        <f t="shared" si="17"/>
        <v>1.2125800000000002</v>
      </c>
      <c r="K132" s="420"/>
      <c r="L132" s="420"/>
      <c r="M132" s="420"/>
      <c r="N132" s="420"/>
      <c r="O132" s="420"/>
      <c r="P132" s="420"/>
      <c r="Q132" s="420"/>
      <c r="R132" s="420"/>
      <c r="S132" s="420"/>
      <c r="T132" s="420"/>
      <c r="U132" s="420"/>
      <c r="V132" s="420"/>
      <c r="W132" s="420"/>
      <c r="X132" s="420"/>
      <c r="Y132" s="420"/>
      <c r="Z132" s="420"/>
      <c r="AA132" s="420"/>
    </row>
    <row r="133" spans="1:27" s="410" customFormat="1" hidden="1">
      <c r="A133" s="413"/>
      <c r="B133" s="414"/>
      <c r="C133" s="413" t="str">
        <f>'5.Tiên lượng'!C128</f>
        <v>AF.11231</v>
      </c>
      <c r="D133" s="413"/>
      <c r="E133" s="415" t="str">
        <f>'5.Tiên lượng'!D128</f>
        <v>BTXM móng rãnh, M150, đá 2x4, PCB40</v>
      </c>
      <c r="F133" s="414" t="str">
        <f>'5.Tiên lượng'!E128</f>
        <v>m3</v>
      </c>
      <c r="G133" s="416">
        <f>'5.Tiên lượng'!M128</f>
        <v>7.43</v>
      </c>
      <c r="H133" s="416">
        <f>PTVT!G473</f>
        <v>9.5000000000000001E-2</v>
      </c>
      <c r="I133" s="416">
        <f>'5.Tiên lượng'!X128</f>
        <v>1</v>
      </c>
      <c r="J133" s="419">
        <f t="shared" si="17"/>
        <v>0.70584999999999998</v>
      </c>
      <c r="K133" s="420"/>
      <c r="L133" s="420"/>
      <c r="M133" s="420"/>
      <c r="N133" s="420"/>
      <c r="O133" s="420"/>
      <c r="P133" s="420"/>
      <c r="Q133" s="420"/>
      <c r="R133" s="420"/>
      <c r="S133" s="420"/>
      <c r="T133" s="420"/>
      <c r="U133" s="420"/>
      <c r="V133" s="420"/>
      <c r="W133" s="420"/>
      <c r="X133" s="420"/>
      <c r="Y133" s="420"/>
      <c r="Z133" s="420"/>
      <c r="AA133" s="420"/>
    </row>
    <row r="134" spans="1:27" s="410" customFormat="1" ht="41.4" hidden="1">
      <c r="A134" s="413"/>
      <c r="B134" s="414"/>
      <c r="C134" s="413" t="str">
        <f>'5.Tiên lượng'!C132</f>
        <v>AF.14212</v>
      </c>
      <c r="D134" s="413"/>
      <c r="E134" s="415" t="str">
        <f>'5.Tiên lượng'!D132</f>
        <v>Bê tông mũ mố, mũ trụ trên cạn SX bằng máy trộn, đổ bằng thủ công, bê tông M200, đá 1x2, PCB40</v>
      </c>
      <c r="F134" s="414" t="str">
        <f>'5.Tiên lượng'!E132</f>
        <v>m3</v>
      </c>
      <c r="G134" s="416">
        <f>'5.Tiên lượng'!M132</f>
        <v>5.91</v>
      </c>
      <c r="H134" s="416">
        <f>PTVT!G506</f>
        <v>9.5000000000000001E-2</v>
      </c>
      <c r="I134" s="416">
        <f>'5.Tiên lượng'!X132</f>
        <v>1</v>
      </c>
      <c r="J134" s="419">
        <f t="shared" si="17"/>
        <v>0.56145</v>
      </c>
      <c r="K134" s="420"/>
      <c r="L134" s="420"/>
      <c r="M134" s="420"/>
      <c r="N134" s="420"/>
      <c r="O134" s="420"/>
      <c r="P134" s="420"/>
      <c r="Q134" s="420"/>
      <c r="R134" s="420"/>
      <c r="S134" s="420"/>
      <c r="T134" s="420"/>
      <c r="U134" s="420"/>
      <c r="V134" s="420"/>
      <c r="W134" s="420"/>
      <c r="X134" s="420"/>
      <c r="Y134" s="420"/>
      <c r="Z134" s="420"/>
      <c r="AA134" s="420"/>
    </row>
    <row r="135" spans="1:27" s="410" customFormat="1" ht="55.2" hidden="1">
      <c r="A135" s="413"/>
      <c r="B135" s="414"/>
      <c r="C135" s="413" t="str">
        <f>'5.Tiên lượng'!C138</f>
        <v>AG.11413</v>
      </c>
      <c r="D135" s="413"/>
      <c r="E135" s="415" t="str">
        <f>'5.Tiên lượng'!D138</f>
        <v>Bê tông tấm đan, mái hắt, lanh tô, bê tông M250, đá 1x2, PCB40 - Đổ bê tông đúc sẵn bằng thủ công (vữa bê tông sản xuất bằng máy trộn)</v>
      </c>
      <c r="F135" s="414" t="str">
        <f>'5.Tiên lượng'!E138</f>
        <v>m3</v>
      </c>
      <c r="G135" s="416">
        <f>'5.Tiên lượng'!M138</f>
        <v>6.64</v>
      </c>
      <c r="H135" s="416">
        <f>PTVT!G539</f>
        <v>9.5000000000000001E-2</v>
      </c>
      <c r="I135" s="416">
        <f>'5.Tiên lượng'!X138</f>
        <v>1</v>
      </c>
      <c r="J135" s="419">
        <f t="shared" si="17"/>
        <v>0.63080000000000003</v>
      </c>
      <c r="K135" s="420"/>
      <c r="L135" s="420"/>
      <c r="M135" s="420"/>
      <c r="N135" s="420"/>
      <c r="O135" s="420"/>
      <c r="P135" s="420"/>
      <c r="Q135" s="420"/>
      <c r="R135" s="420"/>
      <c r="S135" s="420"/>
      <c r="T135" s="420"/>
      <c r="U135" s="420"/>
      <c r="V135" s="420"/>
      <c r="W135" s="420"/>
      <c r="X135" s="420"/>
      <c r="Y135" s="420"/>
      <c r="Z135" s="420"/>
      <c r="AA135" s="420"/>
    </row>
    <row r="136" spans="1:27" s="410" customFormat="1" hidden="1">
      <c r="A136" s="413"/>
      <c r="B136" s="414"/>
      <c r="C136" s="413" t="str">
        <f>'5.Tiên lượng'!C152</f>
        <v>AF.13211</v>
      </c>
      <c r="D136" s="413"/>
      <c r="E136" s="415" t="str">
        <f>'5.Tiên lượng'!D152</f>
        <v>BTXM rãnh dọc, M150, đá 1x2, PCB40</v>
      </c>
      <c r="F136" s="414" t="str">
        <f>'5.Tiên lượng'!E152</f>
        <v>m3</v>
      </c>
      <c r="G136" s="416">
        <f>'5.Tiên lượng'!M152</f>
        <v>3.3</v>
      </c>
      <c r="H136" s="416">
        <f>PTVT!G602</f>
        <v>9.5000000000000001E-2</v>
      </c>
      <c r="I136" s="416">
        <f>'5.Tiên lượng'!X152</f>
        <v>1</v>
      </c>
      <c r="J136" s="419">
        <f t="shared" si="17"/>
        <v>0.3135</v>
      </c>
      <c r="K136" s="420"/>
      <c r="L136" s="420"/>
      <c r="M136" s="420"/>
      <c r="N136" s="420"/>
      <c r="O136" s="420"/>
      <c r="P136" s="420"/>
      <c r="Q136" s="420"/>
      <c r="R136" s="420"/>
      <c r="S136" s="420"/>
      <c r="T136" s="420"/>
      <c r="U136" s="420"/>
      <c r="V136" s="420"/>
      <c r="W136" s="420"/>
      <c r="X136" s="420"/>
      <c r="Y136" s="420"/>
      <c r="Z136" s="420"/>
      <c r="AA136" s="420"/>
    </row>
    <row r="137" spans="1:27" s="410" customFormat="1" ht="27.6" hidden="1">
      <c r="A137" s="413"/>
      <c r="B137" s="414"/>
      <c r="C137" s="413" t="str">
        <f>'5.Tiên lượng'!C192</f>
        <v>AF.12151</v>
      </c>
      <c r="D137" s="413"/>
      <c r="E137" s="415" t="str">
        <f>'5.Tiên lượng'!D192</f>
        <v>BTXM đầu cống - Chiều dày ≤45cm, chiều cao ≤6m, M150, đá 2x4, PCB40</v>
      </c>
      <c r="F137" s="414" t="str">
        <f>'5.Tiên lượng'!E192</f>
        <v>m3</v>
      </c>
      <c r="G137" s="416">
        <f>'5.Tiên lượng'!M192</f>
        <v>2.29</v>
      </c>
      <c r="H137" s="416">
        <f>PTVT!G778</f>
        <v>9.5000000000000001E-2</v>
      </c>
      <c r="I137" s="416">
        <f>'5.Tiên lượng'!X192</f>
        <v>1</v>
      </c>
      <c r="J137" s="419">
        <f t="shared" si="17"/>
        <v>0.21754999999999999</v>
      </c>
      <c r="K137" s="420"/>
      <c r="L137" s="420"/>
      <c r="M137" s="420"/>
      <c r="N137" s="420"/>
      <c r="O137" s="420"/>
      <c r="P137" s="420"/>
      <c r="Q137" s="420"/>
      <c r="R137" s="420"/>
      <c r="S137" s="420"/>
      <c r="T137" s="420"/>
      <c r="U137" s="420"/>
      <c r="V137" s="420"/>
      <c r="W137" s="420"/>
      <c r="X137" s="420"/>
      <c r="Y137" s="420"/>
      <c r="Z137" s="420"/>
      <c r="AA137" s="420"/>
    </row>
    <row r="138" spans="1:27" s="410" customFormat="1" ht="27.6" hidden="1">
      <c r="A138" s="413"/>
      <c r="B138" s="414"/>
      <c r="C138" s="413" t="str">
        <f>'5.Tiên lượng'!C193</f>
        <v>AF.12152</v>
      </c>
      <c r="D138" s="413"/>
      <c r="E138" s="415" t="str">
        <f>'5.Tiên lượng'!D193</f>
        <v>BTXM thân cống - Chiều dày ≤45cm, chiều cao ≤6m, M200, đá 2x4, PCB40</v>
      </c>
      <c r="F138" s="414" t="str">
        <f>'5.Tiên lượng'!E193</f>
        <v>m3</v>
      </c>
      <c r="G138" s="416">
        <f>'5.Tiên lượng'!M193</f>
        <v>1.0900000000000001</v>
      </c>
      <c r="H138" s="416">
        <f>PTVT!G790</f>
        <v>9.5000000000000001E-2</v>
      </c>
      <c r="I138" s="416">
        <f>'5.Tiên lượng'!X193</f>
        <v>1</v>
      </c>
      <c r="J138" s="419">
        <f t="shared" si="17"/>
        <v>0.10355</v>
      </c>
      <c r="K138" s="420"/>
      <c r="L138" s="420"/>
      <c r="M138" s="420"/>
      <c r="N138" s="420"/>
      <c r="O138" s="420"/>
      <c r="P138" s="420"/>
      <c r="Q138" s="420"/>
      <c r="R138" s="420"/>
      <c r="S138" s="420"/>
      <c r="T138" s="420"/>
      <c r="U138" s="420"/>
      <c r="V138" s="420"/>
      <c r="W138" s="420"/>
      <c r="X138" s="420"/>
      <c r="Y138" s="420"/>
      <c r="Z138" s="420"/>
      <c r="AA138" s="420"/>
    </row>
    <row r="139" spans="1:27" s="410" customFormat="1" hidden="1">
      <c r="A139" s="413"/>
      <c r="B139" s="414"/>
      <c r="C139" s="413" t="str">
        <f>'5.Tiên lượng'!C194</f>
        <v>AF.11231</v>
      </c>
      <c r="D139" s="413"/>
      <c r="E139" s="415" t="str">
        <f>'5.Tiên lượng'!D194</f>
        <v>BTXM móng cống, M150, đá 2x4, PCB40</v>
      </c>
      <c r="F139" s="414" t="str">
        <f>'5.Tiên lượng'!E194</f>
        <v>m3</v>
      </c>
      <c r="G139" s="416">
        <f>'5.Tiên lượng'!M194</f>
        <v>4.38</v>
      </c>
      <c r="H139" s="416">
        <f>PTVT!G802</f>
        <v>9.5000000000000001E-2</v>
      </c>
      <c r="I139" s="416">
        <f>'5.Tiên lượng'!X194</f>
        <v>1</v>
      </c>
      <c r="J139" s="419">
        <f t="shared" si="17"/>
        <v>0.41609999999999997</v>
      </c>
      <c r="K139" s="420"/>
      <c r="L139" s="420"/>
      <c r="M139" s="420"/>
      <c r="N139" s="420"/>
      <c r="O139" s="420"/>
      <c r="P139" s="420"/>
      <c r="Q139" s="420"/>
      <c r="R139" s="420"/>
      <c r="S139" s="420"/>
      <c r="T139" s="420"/>
      <c r="U139" s="420"/>
      <c r="V139" s="420"/>
      <c r="W139" s="420"/>
      <c r="X139" s="420"/>
      <c r="Y139" s="420"/>
      <c r="Z139" s="420"/>
      <c r="AA139" s="420"/>
    </row>
    <row r="140" spans="1:27" s="410" customFormat="1" ht="41.4" hidden="1">
      <c r="A140" s="413"/>
      <c r="B140" s="414"/>
      <c r="C140" s="413" t="str">
        <f>'5.Tiên lượng'!C195</f>
        <v>AG.11413</v>
      </c>
      <c r="D140" s="413"/>
      <c r="E140" s="415" t="str">
        <f>'5.Tiên lượng'!D195</f>
        <v>BTCT tấm bản mặt, M250, đá 1x2, PCB40 - Đổ bê tông đúc sẵn bằng thủ công (vữa bê tông sản xuất bằng máy trộn)</v>
      </c>
      <c r="F140" s="414" t="str">
        <f>'5.Tiên lượng'!E195</f>
        <v>m3</v>
      </c>
      <c r="G140" s="416">
        <f>'5.Tiên lượng'!M195</f>
        <v>1.23</v>
      </c>
      <c r="H140" s="416">
        <f>PTVT!G814</f>
        <v>9.5000000000000001E-2</v>
      </c>
      <c r="I140" s="416">
        <f>'5.Tiên lượng'!X195</f>
        <v>1</v>
      </c>
      <c r="J140" s="419">
        <f t="shared" si="17"/>
        <v>0.11685</v>
      </c>
      <c r="K140" s="420"/>
      <c r="L140" s="420"/>
      <c r="M140" s="420"/>
      <c r="N140" s="420"/>
      <c r="O140" s="420"/>
      <c r="P140" s="420"/>
      <c r="Q140" s="420"/>
      <c r="R140" s="420"/>
      <c r="S140" s="420"/>
      <c r="T140" s="420"/>
      <c r="U140" s="420"/>
      <c r="V140" s="420"/>
      <c r="W140" s="420"/>
      <c r="X140" s="420"/>
      <c r="Y140" s="420"/>
      <c r="Z140" s="420"/>
      <c r="AA140" s="420"/>
    </row>
    <row r="141" spans="1:27" s="410" customFormat="1" hidden="1">
      <c r="A141" s="413"/>
      <c r="B141" s="414"/>
      <c r="C141" s="413" t="str">
        <f>'5.Tiên lượng'!C197</f>
        <v>AF.14232</v>
      </c>
      <c r="D141" s="413"/>
      <c r="E141" s="415" t="str">
        <f>'5.Tiên lượng'!D197</f>
        <v>BTCT mũ mố, M200, đá 2x4, PCB40</v>
      </c>
      <c r="F141" s="414" t="str">
        <f>'5.Tiên lượng'!E197</f>
        <v>m3</v>
      </c>
      <c r="G141" s="416">
        <f>'5.Tiên lượng'!M197</f>
        <v>0.79</v>
      </c>
      <c r="H141" s="416">
        <f>PTVT!G830</f>
        <v>9.5000000000000001E-2</v>
      </c>
      <c r="I141" s="416">
        <f>'5.Tiên lượng'!X197</f>
        <v>1</v>
      </c>
      <c r="J141" s="419">
        <f t="shared" si="17"/>
        <v>7.5050000000000006E-2</v>
      </c>
      <c r="K141" s="420"/>
      <c r="L141" s="420"/>
      <c r="M141" s="420"/>
      <c r="N141" s="420"/>
      <c r="O141" s="420"/>
      <c r="P141" s="420"/>
      <c r="Q141" s="420"/>
      <c r="R141" s="420"/>
      <c r="S141" s="420"/>
      <c r="T141" s="420"/>
      <c r="U141" s="420"/>
      <c r="V141" s="420"/>
      <c r="W141" s="420"/>
      <c r="X141" s="420"/>
      <c r="Y141" s="420"/>
      <c r="Z141" s="420"/>
      <c r="AA141" s="420"/>
    </row>
    <row r="142" spans="1:27">
      <c r="A142" s="246" t="s">
        <v>759</v>
      </c>
      <c r="B142" s="265">
        <v>24</v>
      </c>
      <c r="C142" s="246" t="s">
        <v>657</v>
      </c>
      <c r="D142" s="246">
        <f>'Giá Máy'!D28</f>
        <v>0</v>
      </c>
      <c r="E142" s="266" t="str">
        <f>'Giá Máy'!E28</f>
        <v>Máy trộn vữa 150l</v>
      </c>
      <c r="F142" s="265" t="s">
        <v>926</v>
      </c>
      <c r="G142" s="417"/>
      <c r="H142" s="417"/>
      <c r="I142" s="417"/>
      <c r="J142" s="268">
        <f>SUM(J143:J146)</f>
        <v>2.8955799999999998</v>
      </c>
      <c r="K142" s="421">
        <f>'Giá Máy'!G28</f>
        <v>277049.27605647099</v>
      </c>
      <c r="L142" s="421">
        <f>J142*K142</f>
        <v>802218.34276359621</v>
      </c>
      <c r="M142" s="421">
        <f>'Giá Máy'!H28</f>
        <v>276579</v>
      </c>
      <c r="N142" s="421">
        <f>J142*M142</f>
        <v>800856.62081999995</v>
      </c>
      <c r="O142" s="421">
        <f>M142-K142</f>
        <v>-470.27605647098972</v>
      </c>
      <c r="P142" s="421">
        <f>J142*O142</f>
        <v>-1361.7219435962684</v>
      </c>
      <c r="Q142" s="421">
        <v>1</v>
      </c>
      <c r="R142" s="421">
        <f>M142*Q142</f>
        <v>276579</v>
      </c>
      <c r="S142" s="421">
        <f>J142*R142</f>
        <v>800856.62081999995</v>
      </c>
      <c r="T142" s="421">
        <v>-470.27605647099</v>
      </c>
      <c r="U142" s="421">
        <v>-1361.72194359627</v>
      </c>
      <c r="V142" s="421">
        <f>'Giá Máy'!N28</f>
        <v>0</v>
      </c>
      <c r="W142" s="421">
        <f>J142*V142</f>
        <v>0</v>
      </c>
      <c r="X142" s="421">
        <f>'Giá Máy'!O28</f>
        <v>299617.31473647064</v>
      </c>
      <c r="Y142" s="421">
        <f>J142*X142</f>
        <v>867565.90420462959</v>
      </c>
      <c r="Z142" s="421">
        <f>X142-K142</f>
        <v>22568.038679999649</v>
      </c>
      <c r="AA142" s="421">
        <f>J142*Z142</f>
        <v>65347.56144103338</v>
      </c>
    </row>
    <row r="143" spans="1:27" s="410" customFormat="1" ht="27.6" hidden="1">
      <c r="A143" s="413"/>
      <c r="B143" s="414"/>
      <c r="C143" s="413" t="str">
        <f>'5.Tiên lượng'!C129</f>
        <v>AE.26313</v>
      </c>
      <c r="D143" s="413"/>
      <c r="E143" s="415" t="str">
        <f>'5.Tiên lượng'!D129</f>
        <v>Xây rãnh thoát nước bằng gạch KN 6,5x10,5x22cm, vữa XM M75, PCB40</v>
      </c>
      <c r="F143" s="414" t="str">
        <f>'5.Tiên lượng'!E129</f>
        <v>m3</v>
      </c>
      <c r="G143" s="416">
        <f>'5.Tiên lượng'!M129</f>
        <v>10.43</v>
      </c>
      <c r="H143" s="416">
        <f>PTVT!G485</f>
        <v>3.9E-2</v>
      </c>
      <c r="I143" s="416">
        <f>'5.Tiên lượng'!X129</f>
        <v>1</v>
      </c>
      <c r="J143" s="419">
        <f t="shared" ref="J143:J146" si="18">PRODUCT(G143,H143,I143)</f>
        <v>0.40676999999999996</v>
      </c>
      <c r="K143" s="420"/>
      <c r="L143" s="420"/>
      <c r="M143" s="420"/>
      <c r="N143" s="420"/>
      <c r="O143" s="420"/>
      <c r="P143" s="420"/>
      <c r="Q143" s="420"/>
      <c r="R143" s="420"/>
      <c r="S143" s="420"/>
      <c r="T143" s="420"/>
      <c r="U143" s="420"/>
      <c r="V143" s="420"/>
      <c r="W143" s="420"/>
      <c r="X143" s="420"/>
      <c r="Y143" s="420"/>
      <c r="Z143" s="420"/>
      <c r="AA143" s="420"/>
    </row>
    <row r="144" spans="1:27" s="410" customFormat="1" hidden="1">
      <c r="A144" s="413"/>
      <c r="B144" s="414"/>
      <c r="C144" s="413" t="str">
        <f>'5.Tiên lượng'!C130</f>
        <v>AK.21113</v>
      </c>
      <c r="D144" s="413"/>
      <c r="E144" s="415" t="str">
        <f>'5.Tiên lượng'!D130</f>
        <v>Trát tường ngoài dày 1cm, vữa XM M75, PCB40</v>
      </c>
      <c r="F144" s="414" t="str">
        <f>'5.Tiên lượng'!E130</f>
        <v>m2</v>
      </c>
      <c r="G144" s="416">
        <f>'5.Tiên lượng'!M130</f>
        <v>47.4</v>
      </c>
      <c r="H144" s="416">
        <f>PTVT!G495</f>
        <v>2E-3</v>
      </c>
      <c r="I144" s="416">
        <f>'5.Tiên lượng'!X130</f>
        <v>1</v>
      </c>
      <c r="J144" s="419">
        <f t="shared" si="18"/>
        <v>9.4799999999999995E-2</v>
      </c>
      <c r="K144" s="420"/>
      <c r="L144" s="420"/>
      <c r="M144" s="420"/>
      <c r="N144" s="420"/>
      <c r="O144" s="420"/>
      <c r="P144" s="420"/>
      <c r="Q144" s="420"/>
      <c r="R144" s="420"/>
      <c r="S144" s="420"/>
      <c r="T144" s="420"/>
      <c r="U144" s="420"/>
      <c r="V144" s="420"/>
      <c r="W144" s="420"/>
      <c r="X144" s="420"/>
      <c r="Y144" s="420"/>
      <c r="Z144" s="420"/>
      <c r="AA144" s="420"/>
    </row>
    <row r="145" spans="1:27" s="410" customFormat="1" ht="27.6" hidden="1">
      <c r="A145" s="413"/>
      <c r="B145" s="414"/>
      <c r="C145" s="413" t="str">
        <f>'5.Tiên lượng'!C163</f>
        <v>AE.11114</v>
      </c>
      <c r="D145" s="413"/>
      <c r="E145" s="415" t="str">
        <f>'5.Tiên lượng'!D163</f>
        <v>Khối xây bó nền bằng đá hộc - Chiều dày ≤60cm, vữa XM M100, PCB40</v>
      </c>
      <c r="F145" s="414" t="str">
        <f>'5.Tiên lượng'!E163</f>
        <v>m3</v>
      </c>
      <c r="G145" s="416">
        <f>'5.Tiên lượng'!M163</f>
        <v>3.6</v>
      </c>
      <c r="H145" s="416">
        <f>PTVT!G643</f>
        <v>5.2999999999999999E-2</v>
      </c>
      <c r="I145" s="416">
        <f>'5.Tiên lượng'!X163</f>
        <v>1</v>
      </c>
      <c r="J145" s="419">
        <f t="shared" si="18"/>
        <v>0.1908</v>
      </c>
      <c r="K145" s="420"/>
      <c r="L145" s="420"/>
      <c r="M145" s="420"/>
      <c r="N145" s="420"/>
      <c r="O145" s="420"/>
      <c r="P145" s="420"/>
      <c r="Q145" s="420"/>
      <c r="R145" s="420"/>
      <c r="S145" s="420"/>
      <c r="T145" s="420"/>
      <c r="U145" s="420"/>
      <c r="V145" s="420"/>
      <c r="W145" s="420"/>
      <c r="X145" s="420"/>
      <c r="Y145" s="420"/>
      <c r="Z145" s="420"/>
      <c r="AA145" s="420"/>
    </row>
    <row r="146" spans="1:27" s="410" customFormat="1" hidden="1">
      <c r="A146" s="413"/>
      <c r="B146" s="414"/>
      <c r="C146" s="413" t="str">
        <f>'5.Tiên lượng'!C178</f>
        <v>AE.12314</v>
      </c>
      <c r="D146" s="413"/>
      <c r="E146" s="415" t="str">
        <f>'5.Tiên lượng'!D178</f>
        <v>Xây cống, vữa XM M100, PCB40</v>
      </c>
      <c r="F146" s="414" t="str">
        <f>'5.Tiên lượng'!E178</f>
        <v>m3</v>
      </c>
      <c r="G146" s="416">
        <f>'5.Tiên lượng'!M178</f>
        <v>41.57</v>
      </c>
      <c r="H146" s="416">
        <f>PTVT!G684</f>
        <v>5.2999999999999999E-2</v>
      </c>
      <c r="I146" s="416">
        <f>'5.Tiên lượng'!X178</f>
        <v>1</v>
      </c>
      <c r="J146" s="419">
        <f t="shared" si="18"/>
        <v>2.2032099999999999</v>
      </c>
      <c r="K146" s="420"/>
      <c r="L146" s="420"/>
      <c r="M146" s="420"/>
      <c r="N146" s="420"/>
      <c r="O146" s="420"/>
      <c r="P146" s="420"/>
      <c r="Q146" s="420"/>
      <c r="R146" s="420"/>
      <c r="S146" s="420"/>
      <c r="T146" s="420"/>
      <c r="U146" s="420"/>
      <c r="V146" s="420"/>
      <c r="W146" s="420"/>
      <c r="X146" s="420"/>
      <c r="Y146" s="420"/>
      <c r="Z146" s="420"/>
      <c r="AA146" s="420"/>
    </row>
    <row r="147" spans="1:27">
      <c r="A147" s="246" t="s">
        <v>759</v>
      </c>
      <c r="B147" s="265">
        <v>25</v>
      </c>
      <c r="C147" s="246" t="s">
        <v>600</v>
      </c>
      <c r="D147" s="246">
        <f>'Giá Máy'!D29</f>
        <v>0</v>
      </c>
      <c r="E147" s="266" t="str">
        <f>'Giá Máy'!E29</f>
        <v>Máy ủi 110CV</v>
      </c>
      <c r="F147" s="265" t="s">
        <v>926</v>
      </c>
      <c r="G147" s="417"/>
      <c r="H147" s="417"/>
      <c r="I147" s="417"/>
      <c r="J147" s="268">
        <f>SUM(J148:J172)</f>
        <v>3.563501622920354</v>
      </c>
      <c r="K147" s="421">
        <f>'Giá Máy'!G29</f>
        <v>1758596.7608571399</v>
      </c>
      <c r="L147" s="421">
        <f>J147*K147</f>
        <v>6266762.4113768963</v>
      </c>
      <c r="M147" s="421">
        <f>'Giá Máy'!H29</f>
        <v>1933474</v>
      </c>
      <c r="N147" s="421">
        <f>J147*M147</f>
        <v>6889937.7368743084</v>
      </c>
      <c r="O147" s="421">
        <f>M147-K147</f>
        <v>174877.23914286005</v>
      </c>
      <c r="P147" s="421">
        <f>J147*O147</f>
        <v>623175.3254974127</v>
      </c>
      <c r="Q147" s="421">
        <v>1</v>
      </c>
      <c r="R147" s="421">
        <f>M147*Q147</f>
        <v>1933474</v>
      </c>
      <c r="S147" s="421">
        <f>J147*R147</f>
        <v>6889937.7368743084</v>
      </c>
      <c r="T147" s="421">
        <v>174877.23914285999</v>
      </c>
      <c r="U147" s="421">
        <v>623175.32549741305</v>
      </c>
      <c r="V147" s="421">
        <f>'Giá Máy'!N29</f>
        <v>0</v>
      </c>
      <c r="W147" s="421">
        <f>J147*V147</f>
        <v>0</v>
      </c>
      <c r="X147" s="421">
        <f>'Giá Máy'!O29</f>
        <v>1819307.232857143</v>
      </c>
      <c r="Y147" s="421">
        <f>J147*X147</f>
        <v>6483104.2768771676</v>
      </c>
      <c r="Z147" s="421">
        <f>X147-K147</f>
        <v>60710.472000003094</v>
      </c>
      <c r="AA147" s="421">
        <f>J147*Z147</f>
        <v>216341.86550027173</v>
      </c>
    </row>
    <row r="148" spans="1:27" s="410" customFormat="1" ht="27.6" hidden="1">
      <c r="A148" s="413"/>
      <c r="B148" s="414"/>
      <c r="C148" s="413" t="str">
        <f>'5.Tiên lượng'!C12</f>
        <v>AB.31132</v>
      </c>
      <c r="D148" s="413"/>
      <c r="E148" s="415" t="str">
        <f>'5.Tiên lượng'!D12</f>
        <v>Đào nền đường bằng máy đào 1,25m3 - Cấp đất II</v>
      </c>
      <c r="F148" s="414" t="str">
        <f>'5.Tiên lượng'!E12</f>
        <v>100m3</v>
      </c>
      <c r="G148" s="416">
        <f>'5.Tiên lượng'!M12</f>
        <v>0.95230000000000004</v>
      </c>
      <c r="H148" s="416">
        <f>PTVT!G13</f>
        <v>3.5000000000000003E-2</v>
      </c>
      <c r="I148" s="416">
        <f>'5.Tiên lượng'!X12</f>
        <v>1</v>
      </c>
      <c r="J148" s="419">
        <f t="shared" ref="J148:J172" si="19">PRODUCT(G148,H148,I148)</f>
        <v>3.3330500000000006E-2</v>
      </c>
      <c r="K148" s="420"/>
      <c r="L148" s="420"/>
      <c r="M148" s="420"/>
      <c r="N148" s="420"/>
      <c r="O148" s="420"/>
      <c r="P148" s="420"/>
      <c r="Q148" s="420"/>
      <c r="R148" s="420"/>
      <c r="S148" s="420"/>
      <c r="T148" s="420"/>
      <c r="U148" s="420"/>
      <c r="V148" s="420"/>
      <c r="W148" s="420"/>
      <c r="X148" s="420"/>
      <c r="Y148" s="420"/>
      <c r="Z148" s="420"/>
      <c r="AA148" s="420"/>
    </row>
    <row r="149" spans="1:27" s="410" customFormat="1" ht="27.6" hidden="1">
      <c r="A149" s="413"/>
      <c r="B149" s="414"/>
      <c r="C149" s="413" t="str">
        <f>'5.Tiên lượng'!C14</f>
        <v>AB.31133</v>
      </c>
      <c r="D149" s="413"/>
      <c r="E149" s="415" t="str">
        <f>'5.Tiên lượng'!D14</f>
        <v>Đào nền đường bằng máy đào 1,25m3 - Cấp đất III</v>
      </c>
      <c r="F149" s="414" t="str">
        <f>'5.Tiên lượng'!E14</f>
        <v>100m3</v>
      </c>
      <c r="G149" s="416">
        <f>'5.Tiên lượng'!M14</f>
        <v>2.7511999999999999</v>
      </c>
      <c r="H149" s="416">
        <f>PTVT!G19</f>
        <v>0.04</v>
      </c>
      <c r="I149" s="416">
        <f>'5.Tiên lượng'!X14</f>
        <v>1</v>
      </c>
      <c r="J149" s="419">
        <f t="shared" si="19"/>
        <v>0.11004799999999999</v>
      </c>
      <c r="K149" s="420"/>
      <c r="L149" s="420"/>
      <c r="M149" s="420"/>
      <c r="N149" s="420"/>
      <c r="O149" s="420"/>
      <c r="P149" s="420"/>
      <c r="Q149" s="420"/>
      <c r="R149" s="420"/>
      <c r="S149" s="420"/>
      <c r="T149" s="420"/>
      <c r="U149" s="420"/>
      <c r="V149" s="420"/>
      <c r="W149" s="420"/>
      <c r="X149" s="420"/>
      <c r="Y149" s="420"/>
      <c r="Z149" s="420"/>
      <c r="AA149" s="420"/>
    </row>
    <row r="150" spans="1:27" s="410" customFormat="1" ht="27.6" hidden="1">
      <c r="A150" s="413"/>
      <c r="B150" s="414"/>
      <c r="C150" s="413" t="str">
        <f>'5.Tiên lượng'!C16</f>
        <v>AB.31134</v>
      </c>
      <c r="D150" s="413"/>
      <c r="E150" s="415" t="str">
        <f>'5.Tiên lượng'!D16</f>
        <v>Đào nền đường bằng máy đào 1,25m3 - Cấp đất IV</v>
      </c>
      <c r="F150" s="414" t="str">
        <f>'5.Tiên lượng'!E16</f>
        <v>100m3</v>
      </c>
      <c r="G150" s="416">
        <f>'5.Tiên lượng'!M16</f>
        <v>1.4199999999999999E-2</v>
      </c>
      <c r="H150" s="416">
        <f>PTVT!G25</f>
        <v>5.8000000000000003E-2</v>
      </c>
      <c r="I150" s="416">
        <f>'5.Tiên lượng'!X16</f>
        <v>1</v>
      </c>
      <c r="J150" s="419">
        <f t="shared" si="19"/>
        <v>8.2359999999999996E-4</v>
      </c>
      <c r="K150" s="420"/>
      <c r="L150" s="420"/>
      <c r="M150" s="420"/>
      <c r="N150" s="420"/>
      <c r="O150" s="420"/>
      <c r="P150" s="420"/>
      <c r="Q150" s="420"/>
      <c r="R150" s="420"/>
      <c r="S150" s="420"/>
      <c r="T150" s="420"/>
      <c r="U150" s="420"/>
      <c r="V150" s="420"/>
      <c r="W150" s="420"/>
      <c r="X150" s="420"/>
      <c r="Y150" s="420"/>
      <c r="Z150" s="420"/>
      <c r="AA150" s="420"/>
    </row>
    <row r="151" spans="1:27" s="410" customFormat="1" hidden="1">
      <c r="A151" s="413"/>
      <c r="B151" s="414"/>
      <c r="C151" s="413" t="str">
        <f>'5.Tiên lượng'!C18</f>
        <v>MD.QĐ792</v>
      </c>
      <c r="D151" s="413"/>
      <c r="E151" s="415" t="str">
        <f>'5.Tiên lượng'!D18</f>
        <v>Đào nền đường đá cấp IV bằng máy đào 1,6m3</v>
      </c>
      <c r="F151" s="414" t="str">
        <f>'5.Tiên lượng'!E18</f>
        <v>m3</v>
      </c>
      <c r="G151" s="416">
        <f>'5.Tiên lượng'!M18</f>
        <v>88.07</v>
      </c>
      <c r="H151" s="416">
        <f>PTVT!G31</f>
        <v>3.5E-4</v>
      </c>
      <c r="I151" s="416">
        <f>'5.Tiên lượng'!X18</f>
        <v>1</v>
      </c>
      <c r="J151" s="419">
        <f t="shared" si="19"/>
        <v>3.0824499999999998E-2</v>
      </c>
      <c r="K151" s="420"/>
      <c r="L151" s="420"/>
      <c r="M151" s="420"/>
      <c r="N151" s="420"/>
      <c r="O151" s="420"/>
      <c r="P151" s="420"/>
      <c r="Q151" s="420"/>
      <c r="R151" s="420"/>
      <c r="S151" s="420"/>
      <c r="T151" s="420"/>
      <c r="U151" s="420"/>
      <c r="V151" s="420"/>
      <c r="W151" s="420"/>
      <c r="X151" s="420"/>
      <c r="Y151" s="420"/>
      <c r="Z151" s="420"/>
      <c r="AA151" s="420"/>
    </row>
    <row r="152" spans="1:27" s="410" customFormat="1" hidden="1">
      <c r="A152" s="413"/>
      <c r="B152" s="414"/>
      <c r="C152" s="413" t="str">
        <f>'5.Tiên lượng'!C19</f>
        <v>AB.31134VD</v>
      </c>
      <c r="D152" s="413"/>
      <c r="E152" s="415" t="str">
        <f>'5.Tiên lượng'!D19</f>
        <v>Đào đường cũ cấp phối bằng máy đào 1,25m3</v>
      </c>
      <c r="F152" s="414" t="str">
        <f>'5.Tiên lượng'!E19</f>
        <v>m3</v>
      </c>
      <c r="G152" s="416">
        <f>'5.Tiên lượng'!M19</f>
        <v>0</v>
      </c>
      <c r="H152" s="416">
        <f>PTVT!G37</f>
        <v>5.8E-4</v>
      </c>
      <c r="I152" s="416">
        <f>'5.Tiên lượng'!X19</f>
        <v>1</v>
      </c>
      <c r="J152" s="419">
        <f t="shared" si="19"/>
        <v>0</v>
      </c>
      <c r="K152" s="420"/>
      <c r="L152" s="420"/>
      <c r="M152" s="420"/>
      <c r="N152" s="420"/>
      <c r="O152" s="420"/>
      <c r="P152" s="420"/>
      <c r="Q152" s="420"/>
      <c r="R152" s="420"/>
      <c r="S152" s="420"/>
      <c r="T152" s="420"/>
      <c r="U152" s="420"/>
      <c r="V152" s="420"/>
      <c r="W152" s="420"/>
      <c r="X152" s="420"/>
      <c r="Y152" s="420"/>
      <c r="Z152" s="420"/>
      <c r="AA152" s="420"/>
    </row>
    <row r="153" spans="1:27" s="410" customFormat="1" hidden="1">
      <c r="A153" s="413"/>
      <c r="B153" s="414"/>
      <c r="C153" s="413" t="str">
        <f>'5.Tiên lượng'!C21</f>
        <v>AB.31132(VD)</v>
      </c>
      <c r="D153" s="413"/>
      <c r="E153" s="415" t="str">
        <f>'5.Tiên lượng'!D21</f>
        <v>Đào rãnh bằng máy đào 1,25m3 - Cấp đất II</v>
      </c>
      <c r="F153" s="414" t="str">
        <f>'5.Tiên lượng'!E21</f>
        <v>100m3</v>
      </c>
      <c r="G153" s="416">
        <f>'5.Tiên lượng'!M21</f>
        <v>7.2900000000000006E-2</v>
      </c>
      <c r="H153" s="416">
        <f>PTVT!G43</f>
        <v>3.5000000000000003E-2</v>
      </c>
      <c r="I153" s="416">
        <f>'5.Tiên lượng'!X21</f>
        <v>1</v>
      </c>
      <c r="J153" s="419">
        <f t="shared" si="19"/>
        <v>2.5515000000000004E-3</v>
      </c>
      <c r="K153" s="420"/>
      <c r="L153" s="420"/>
      <c r="M153" s="420"/>
      <c r="N153" s="420"/>
      <c r="O153" s="420"/>
      <c r="P153" s="420"/>
      <c r="Q153" s="420"/>
      <c r="R153" s="420"/>
      <c r="S153" s="420"/>
      <c r="T153" s="420"/>
      <c r="U153" s="420"/>
      <c r="V153" s="420"/>
      <c r="W153" s="420"/>
      <c r="X153" s="420"/>
      <c r="Y153" s="420"/>
      <c r="Z153" s="420"/>
      <c r="AA153" s="420"/>
    </row>
    <row r="154" spans="1:27" s="410" customFormat="1" hidden="1">
      <c r="A154" s="413"/>
      <c r="B154" s="414"/>
      <c r="C154" s="413" t="str">
        <f>'5.Tiên lượng'!C23</f>
        <v>AB.31133(VD)</v>
      </c>
      <c r="D154" s="413"/>
      <c r="E154" s="415" t="str">
        <f>'5.Tiên lượng'!D23</f>
        <v>Đào rãnh bằng máy đào 1,25m3 - Cấp đất III</v>
      </c>
      <c r="F154" s="414" t="str">
        <f>'5.Tiên lượng'!E23</f>
        <v>100m3</v>
      </c>
      <c r="G154" s="416">
        <f>'5.Tiên lượng'!M23</f>
        <v>0.88529999999999998</v>
      </c>
      <c r="H154" s="416">
        <f>PTVT!G49</f>
        <v>0.04</v>
      </c>
      <c r="I154" s="416">
        <f>'5.Tiên lượng'!X23</f>
        <v>1</v>
      </c>
      <c r="J154" s="419">
        <f t="shared" si="19"/>
        <v>3.5411999999999999E-2</v>
      </c>
      <c r="K154" s="420"/>
      <c r="L154" s="420"/>
      <c r="M154" s="420"/>
      <c r="N154" s="420"/>
      <c r="O154" s="420"/>
      <c r="P154" s="420"/>
      <c r="Q154" s="420"/>
      <c r="R154" s="420"/>
      <c r="S154" s="420"/>
      <c r="T154" s="420"/>
      <c r="U154" s="420"/>
      <c r="V154" s="420"/>
      <c r="W154" s="420"/>
      <c r="X154" s="420"/>
      <c r="Y154" s="420"/>
      <c r="Z154" s="420"/>
      <c r="AA154" s="420"/>
    </row>
    <row r="155" spans="1:27" s="410" customFormat="1" hidden="1">
      <c r="A155" s="413"/>
      <c r="B155" s="414"/>
      <c r="C155" s="413" t="str">
        <f>'5.Tiên lượng'!C25</f>
        <v>AB.31134(VD)</v>
      </c>
      <c r="D155" s="413"/>
      <c r="E155" s="415" t="str">
        <f>'5.Tiên lượng'!D25</f>
        <v>Đào rãnh bằng máy đào 1,25m3 - Cấp đất IV</v>
      </c>
      <c r="F155" s="414" t="str">
        <f>'5.Tiên lượng'!E25</f>
        <v>100m3</v>
      </c>
      <c r="G155" s="416">
        <f>'5.Tiên lượng'!M25</f>
        <v>1.1000000000000001E-3</v>
      </c>
      <c r="H155" s="416">
        <f>PTVT!G55</f>
        <v>5.8000000000000003E-2</v>
      </c>
      <c r="I155" s="416">
        <f>'5.Tiên lượng'!X25</f>
        <v>1</v>
      </c>
      <c r="J155" s="419">
        <f t="shared" si="19"/>
        <v>6.3800000000000006E-5</v>
      </c>
      <c r="K155" s="420"/>
      <c r="L155" s="420"/>
      <c r="M155" s="420"/>
      <c r="N155" s="420"/>
      <c r="O155" s="420"/>
      <c r="P155" s="420"/>
      <c r="Q155" s="420"/>
      <c r="R155" s="420"/>
      <c r="S155" s="420"/>
      <c r="T155" s="420"/>
      <c r="U155" s="420"/>
      <c r="V155" s="420"/>
      <c r="W155" s="420"/>
      <c r="X155" s="420"/>
      <c r="Y155" s="420"/>
      <c r="Z155" s="420"/>
      <c r="AA155" s="420"/>
    </row>
    <row r="156" spans="1:27" s="410" customFormat="1" hidden="1">
      <c r="A156" s="413"/>
      <c r="B156" s="414"/>
      <c r="C156" s="413" t="str">
        <f>'5.Tiên lượng'!C29</f>
        <v>AB.31132(VD)</v>
      </c>
      <c r="D156" s="413"/>
      <c r="E156" s="415" t="str">
        <f>'5.Tiên lượng'!D29</f>
        <v>Đào cấp bằng máy đào 1,25m3 - Cấp đất II</v>
      </c>
      <c r="F156" s="414" t="str">
        <f>'5.Tiên lượng'!E29</f>
        <v>100m3</v>
      </c>
      <c r="G156" s="416">
        <f>'5.Tiên lượng'!M29</f>
        <v>0.86290000000000011</v>
      </c>
      <c r="H156" s="416">
        <f>PTVT!G66</f>
        <v>3.5000000000000003E-2</v>
      </c>
      <c r="I156" s="416">
        <f>'5.Tiên lượng'!X29</f>
        <v>1</v>
      </c>
      <c r="J156" s="419">
        <f t="shared" si="19"/>
        <v>3.0201500000000006E-2</v>
      </c>
      <c r="K156" s="420"/>
      <c r="L156" s="420"/>
      <c r="M156" s="420"/>
      <c r="N156" s="420"/>
      <c r="O156" s="420"/>
      <c r="P156" s="420"/>
      <c r="Q156" s="420"/>
      <c r="R156" s="420"/>
      <c r="S156" s="420"/>
      <c r="T156" s="420"/>
      <c r="U156" s="420"/>
      <c r="V156" s="420"/>
      <c r="W156" s="420"/>
      <c r="X156" s="420"/>
      <c r="Y156" s="420"/>
      <c r="Z156" s="420"/>
      <c r="AA156" s="420"/>
    </row>
    <row r="157" spans="1:27" s="410" customFormat="1" hidden="1">
      <c r="A157" s="413"/>
      <c r="B157" s="414"/>
      <c r="C157" s="413" t="str">
        <f>'5.Tiên lượng'!C31</f>
        <v>AB.31132</v>
      </c>
      <c r="D157" s="413"/>
      <c r="E157" s="415" t="str">
        <f>'5.Tiên lượng'!D31</f>
        <v>Đào hữu cơ bằng máy đào 1,25m3 - Cấp đất II</v>
      </c>
      <c r="F157" s="414" t="str">
        <f>'5.Tiên lượng'!E31</f>
        <v>100m3</v>
      </c>
      <c r="G157" s="416">
        <f>'5.Tiên lượng'!M31</f>
        <v>3.8552999999999997</v>
      </c>
      <c r="H157" s="416">
        <f>PTVT!G72</f>
        <v>3.5000000000000003E-2</v>
      </c>
      <c r="I157" s="416">
        <f>'5.Tiên lượng'!X31</f>
        <v>1</v>
      </c>
      <c r="J157" s="419">
        <f t="shared" si="19"/>
        <v>0.13493550000000001</v>
      </c>
      <c r="K157" s="420"/>
      <c r="L157" s="420"/>
      <c r="M157" s="420"/>
      <c r="N157" s="420"/>
      <c r="O157" s="420"/>
      <c r="P157" s="420"/>
      <c r="Q157" s="420"/>
      <c r="R157" s="420"/>
      <c r="S157" s="420"/>
      <c r="T157" s="420"/>
      <c r="U157" s="420"/>
      <c r="V157" s="420"/>
      <c r="W157" s="420"/>
      <c r="X157" s="420"/>
      <c r="Y157" s="420"/>
      <c r="Z157" s="420"/>
      <c r="AA157" s="420"/>
    </row>
    <row r="158" spans="1:27" s="410" customFormat="1" ht="27.6" hidden="1">
      <c r="A158" s="413"/>
      <c r="B158" s="414"/>
      <c r="C158" s="413" t="str">
        <f>'5.Tiên lượng'!C38</f>
        <v>AB.64123</v>
      </c>
      <c r="D158" s="413"/>
      <c r="E158" s="415" t="str">
        <f>'5.Tiên lượng'!D38</f>
        <v>Đắp nền đường bằng máy lu bánh thép 16T, máy ủi 110CV, độ chặt Y/C K = 0,95</v>
      </c>
      <c r="F158" s="414" t="str">
        <f>'5.Tiên lượng'!E38</f>
        <v>100m3</v>
      </c>
      <c r="G158" s="416">
        <f>'5.Tiên lượng'!M38</f>
        <v>4.593362831858407</v>
      </c>
      <c r="H158" s="416">
        <f>PTVT!G96</f>
        <v>0.16700000000000001</v>
      </c>
      <c r="I158" s="416">
        <f>'5.Tiên lượng'!X38</f>
        <v>1</v>
      </c>
      <c r="J158" s="419">
        <f t="shared" si="19"/>
        <v>0.767091592920354</v>
      </c>
      <c r="K158" s="420"/>
      <c r="L158" s="420"/>
      <c r="M158" s="420"/>
      <c r="N158" s="420"/>
      <c r="O158" s="420"/>
      <c r="P158" s="420"/>
      <c r="Q158" s="420"/>
      <c r="R158" s="420"/>
      <c r="S158" s="420"/>
      <c r="T158" s="420"/>
      <c r="U158" s="420"/>
      <c r="V158" s="420"/>
      <c r="W158" s="420"/>
      <c r="X158" s="420"/>
      <c r="Y158" s="420"/>
      <c r="Z158" s="420"/>
      <c r="AA158" s="420"/>
    </row>
    <row r="159" spans="1:27" s="410" customFormat="1" ht="27.6" hidden="1">
      <c r="A159" s="413"/>
      <c r="B159" s="414"/>
      <c r="C159" s="413" t="str">
        <f>'5.Tiên lượng'!C42</f>
        <v>AB.31134VD</v>
      </c>
      <c r="D159" s="413"/>
      <c r="E159" s="415" t="str">
        <f>'5.Tiên lượng'!D42</f>
        <v>Đào khuôn đường cũ cấp phối bằng máy đào 1,25m3</v>
      </c>
      <c r="F159" s="414" t="str">
        <f>'5.Tiên lượng'!E42</f>
        <v>m3</v>
      </c>
      <c r="G159" s="416">
        <f>'5.Tiên lượng'!M42</f>
        <v>90.77</v>
      </c>
      <c r="H159" s="416">
        <f>PTVT!G105</f>
        <v>5.8E-4</v>
      </c>
      <c r="I159" s="416">
        <f>'5.Tiên lượng'!X42</f>
        <v>1</v>
      </c>
      <c r="J159" s="419">
        <f t="shared" si="19"/>
        <v>5.2646599999999995E-2</v>
      </c>
      <c r="K159" s="420"/>
      <c r="L159" s="420"/>
      <c r="M159" s="420"/>
      <c r="N159" s="420"/>
      <c r="O159" s="420"/>
      <c r="P159" s="420"/>
      <c r="Q159" s="420"/>
      <c r="R159" s="420"/>
      <c r="S159" s="420"/>
      <c r="T159" s="420"/>
      <c r="U159" s="420"/>
      <c r="V159" s="420"/>
      <c r="W159" s="420"/>
      <c r="X159" s="420"/>
      <c r="Y159" s="420"/>
      <c r="Z159" s="420"/>
      <c r="AA159" s="420"/>
    </row>
    <row r="160" spans="1:27" s="410" customFormat="1" ht="27.6" hidden="1">
      <c r="A160" s="413"/>
      <c r="B160" s="414"/>
      <c r="C160" s="413" t="str">
        <f>'5.Tiên lượng'!C43</f>
        <v>AB.31133</v>
      </c>
      <c r="D160" s="413"/>
      <c r="E160" s="415" t="str">
        <f>'5.Tiên lượng'!D43</f>
        <v>Đào nền đường bằng máy đào 1,25m3 - Cấp đất III</v>
      </c>
      <c r="F160" s="414" t="str">
        <f>'5.Tiên lượng'!E43</f>
        <v>100m3</v>
      </c>
      <c r="G160" s="416">
        <f>'5.Tiên lượng'!M43</f>
        <v>1.2237</v>
      </c>
      <c r="H160" s="416">
        <f>PTVT!G111</f>
        <v>0.04</v>
      </c>
      <c r="I160" s="416">
        <f>'5.Tiên lượng'!X43</f>
        <v>1</v>
      </c>
      <c r="J160" s="419">
        <f t="shared" si="19"/>
        <v>4.8947999999999998E-2</v>
      </c>
      <c r="K160" s="420"/>
      <c r="L160" s="420"/>
      <c r="M160" s="420"/>
      <c r="N160" s="420"/>
      <c r="O160" s="420"/>
      <c r="P160" s="420"/>
      <c r="Q160" s="420"/>
      <c r="R160" s="420"/>
      <c r="S160" s="420"/>
      <c r="T160" s="420"/>
      <c r="U160" s="420"/>
      <c r="V160" s="420"/>
      <c r="W160" s="420"/>
      <c r="X160" s="420"/>
      <c r="Y160" s="420"/>
      <c r="Z160" s="420"/>
      <c r="AA160" s="420"/>
    </row>
    <row r="161" spans="1:27" s="410" customFormat="1" ht="27.6" hidden="1">
      <c r="A161" s="413"/>
      <c r="B161" s="414"/>
      <c r="C161" s="413" t="str">
        <f>'5.Tiên lượng'!C76</f>
        <v>AB.31132</v>
      </c>
      <c r="D161" s="413"/>
      <c r="E161" s="415" t="str">
        <f>'5.Tiên lượng'!D76</f>
        <v>Đào nền đường bằng máy đào 1,25m3 - Cấp đất II</v>
      </c>
      <c r="F161" s="414" t="str">
        <f>'5.Tiên lượng'!E76</f>
        <v>100m3</v>
      </c>
      <c r="G161" s="416">
        <f>'5.Tiên lượng'!M76</f>
        <v>1.2262999999999999</v>
      </c>
      <c r="H161" s="416">
        <f>PTVT!G268</f>
        <v>3.5000000000000003E-2</v>
      </c>
      <c r="I161" s="416">
        <f>'5.Tiên lượng'!X76</f>
        <v>1</v>
      </c>
      <c r="J161" s="419">
        <f t="shared" si="19"/>
        <v>4.29205E-2</v>
      </c>
      <c r="K161" s="420"/>
      <c r="L161" s="420"/>
      <c r="M161" s="420"/>
      <c r="N161" s="420"/>
      <c r="O161" s="420"/>
      <c r="P161" s="420"/>
      <c r="Q161" s="420"/>
      <c r="R161" s="420"/>
      <c r="S161" s="420"/>
      <c r="T161" s="420"/>
      <c r="U161" s="420"/>
      <c r="V161" s="420"/>
      <c r="W161" s="420"/>
      <c r="X161" s="420"/>
      <c r="Y161" s="420"/>
      <c r="Z161" s="420"/>
      <c r="AA161" s="420"/>
    </row>
    <row r="162" spans="1:27" s="410" customFormat="1" ht="27.6" hidden="1">
      <c r="A162" s="413"/>
      <c r="B162" s="414"/>
      <c r="C162" s="413" t="str">
        <f>'5.Tiên lượng'!C78</f>
        <v>AB.31133</v>
      </c>
      <c r="D162" s="413"/>
      <c r="E162" s="415" t="str">
        <f>'5.Tiên lượng'!D78</f>
        <v>Đào nền đường bằng máy đào 1,25m3 - Cấp đất III</v>
      </c>
      <c r="F162" s="414" t="str">
        <f>'5.Tiên lượng'!E78</f>
        <v>100m3</v>
      </c>
      <c r="G162" s="416">
        <f>'5.Tiên lượng'!M78</f>
        <v>3.6326000000000001</v>
      </c>
      <c r="H162" s="416">
        <f>PTVT!G274</f>
        <v>0.04</v>
      </c>
      <c r="I162" s="416">
        <f>'5.Tiên lượng'!X78</f>
        <v>1</v>
      </c>
      <c r="J162" s="419">
        <f t="shared" si="19"/>
        <v>0.14530400000000002</v>
      </c>
      <c r="K162" s="420"/>
      <c r="L162" s="420"/>
      <c r="M162" s="420"/>
      <c r="N162" s="420"/>
      <c r="O162" s="420"/>
      <c r="P162" s="420"/>
      <c r="Q162" s="420"/>
      <c r="R162" s="420"/>
      <c r="S162" s="420"/>
      <c r="T162" s="420"/>
      <c r="U162" s="420"/>
      <c r="V162" s="420"/>
      <c r="W162" s="420"/>
      <c r="X162" s="420"/>
      <c r="Y162" s="420"/>
      <c r="Z162" s="420"/>
      <c r="AA162" s="420"/>
    </row>
    <row r="163" spans="1:27" s="410" customFormat="1" ht="27.6" hidden="1">
      <c r="A163" s="413"/>
      <c r="B163" s="414"/>
      <c r="C163" s="413" t="str">
        <f>'5.Tiên lượng'!C80</f>
        <v>AB.31134</v>
      </c>
      <c r="D163" s="413"/>
      <c r="E163" s="415" t="str">
        <f>'5.Tiên lượng'!D80</f>
        <v>Đào nền đường bằng máy đào 1,25m3 - Cấp đất IV</v>
      </c>
      <c r="F163" s="414" t="str">
        <f>'5.Tiên lượng'!E80</f>
        <v>100m3</v>
      </c>
      <c r="G163" s="416">
        <f>'5.Tiên lượng'!M80</f>
        <v>0.48090000000000005</v>
      </c>
      <c r="H163" s="416">
        <f>PTVT!G280</f>
        <v>5.8000000000000003E-2</v>
      </c>
      <c r="I163" s="416">
        <f>'5.Tiên lượng'!X80</f>
        <v>1</v>
      </c>
      <c r="J163" s="419">
        <f t="shared" si="19"/>
        <v>2.7892200000000006E-2</v>
      </c>
      <c r="K163" s="420"/>
      <c r="L163" s="420"/>
      <c r="M163" s="420"/>
      <c r="N163" s="420"/>
      <c r="O163" s="420"/>
      <c r="P163" s="420"/>
      <c r="Q163" s="420"/>
      <c r="R163" s="420"/>
      <c r="S163" s="420"/>
      <c r="T163" s="420"/>
      <c r="U163" s="420"/>
      <c r="V163" s="420"/>
      <c r="W163" s="420"/>
      <c r="X163" s="420"/>
      <c r="Y163" s="420"/>
      <c r="Z163" s="420"/>
      <c r="AA163" s="420"/>
    </row>
    <row r="164" spans="1:27" s="410" customFormat="1" hidden="1">
      <c r="A164" s="413"/>
      <c r="B164" s="414"/>
      <c r="C164" s="413" t="str">
        <f>'5.Tiên lượng'!C82</f>
        <v>AB.31134VD</v>
      </c>
      <c r="D164" s="413"/>
      <c r="E164" s="415" t="str">
        <f>'5.Tiên lượng'!D82</f>
        <v>Đào đường cũ cấp phối bằng máy đào 1,25m3</v>
      </c>
      <c r="F164" s="414" t="str">
        <f>'5.Tiên lượng'!E82</f>
        <v>m3</v>
      </c>
      <c r="G164" s="416">
        <f>'5.Tiên lượng'!M82</f>
        <v>32.340000000000003</v>
      </c>
      <c r="H164" s="416">
        <f>PTVT!G286</f>
        <v>5.8E-4</v>
      </c>
      <c r="I164" s="416">
        <f>'5.Tiên lượng'!X82</f>
        <v>1</v>
      </c>
      <c r="J164" s="419">
        <f t="shared" si="19"/>
        <v>1.8757200000000002E-2</v>
      </c>
      <c r="K164" s="420"/>
      <c r="L164" s="420"/>
      <c r="M164" s="420"/>
      <c r="N164" s="420"/>
      <c r="O164" s="420"/>
      <c r="P164" s="420"/>
      <c r="Q164" s="420"/>
      <c r="R164" s="420"/>
      <c r="S164" s="420"/>
      <c r="T164" s="420"/>
      <c r="U164" s="420"/>
      <c r="V164" s="420"/>
      <c r="W164" s="420"/>
      <c r="X164" s="420"/>
      <c r="Y164" s="420"/>
      <c r="Z164" s="420"/>
      <c r="AA164" s="420"/>
    </row>
    <row r="165" spans="1:27" s="410" customFormat="1" hidden="1">
      <c r="A165" s="413"/>
      <c r="B165" s="414"/>
      <c r="C165" s="413" t="str">
        <f>'5.Tiên lượng'!C85</f>
        <v>AB.31132(VD)</v>
      </c>
      <c r="D165" s="413"/>
      <c r="E165" s="415" t="str">
        <f>'5.Tiên lượng'!D85</f>
        <v>Đào rãnh bằng máy đào 1,25m3 - Cấp đất II</v>
      </c>
      <c r="F165" s="414" t="str">
        <f>'5.Tiên lượng'!E85</f>
        <v>100m3</v>
      </c>
      <c r="G165" s="416">
        <f>'5.Tiên lượng'!M85</f>
        <v>0.2107</v>
      </c>
      <c r="H165" s="416">
        <f>PTVT!G292</f>
        <v>3.5000000000000003E-2</v>
      </c>
      <c r="I165" s="416">
        <f>'5.Tiên lượng'!X85</f>
        <v>1</v>
      </c>
      <c r="J165" s="419">
        <f t="shared" si="19"/>
        <v>7.3745000000000008E-3</v>
      </c>
      <c r="K165" s="420"/>
      <c r="L165" s="420"/>
      <c r="M165" s="420"/>
      <c r="N165" s="420"/>
      <c r="O165" s="420"/>
      <c r="P165" s="420"/>
      <c r="Q165" s="420"/>
      <c r="R165" s="420"/>
      <c r="S165" s="420"/>
      <c r="T165" s="420"/>
      <c r="U165" s="420"/>
      <c r="V165" s="420"/>
      <c r="W165" s="420"/>
      <c r="X165" s="420"/>
      <c r="Y165" s="420"/>
      <c r="Z165" s="420"/>
      <c r="AA165" s="420"/>
    </row>
    <row r="166" spans="1:27" s="410" customFormat="1" hidden="1">
      <c r="A166" s="413"/>
      <c r="B166" s="414"/>
      <c r="C166" s="413" t="str">
        <f>'5.Tiên lượng'!C87</f>
        <v>AB.31133(VD)</v>
      </c>
      <c r="D166" s="413"/>
      <c r="E166" s="415" t="str">
        <f>'5.Tiên lượng'!D87</f>
        <v>Đào rãnh bằng máy đào 1,25m3 - Cấp đất III</v>
      </c>
      <c r="F166" s="414" t="str">
        <f>'5.Tiên lượng'!E87</f>
        <v>100m3</v>
      </c>
      <c r="G166" s="416">
        <f>'5.Tiên lượng'!M87</f>
        <v>2.9964</v>
      </c>
      <c r="H166" s="416">
        <f>PTVT!G298</f>
        <v>0.04</v>
      </c>
      <c r="I166" s="416">
        <f>'5.Tiên lượng'!X87</f>
        <v>1</v>
      </c>
      <c r="J166" s="419">
        <f t="shared" si="19"/>
        <v>0.119856</v>
      </c>
      <c r="K166" s="420"/>
      <c r="L166" s="420"/>
      <c r="M166" s="420"/>
      <c r="N166" s="420"/>
      <c r="O166" s="420"/>
      <c r="P166" s="420"/>
      <c r="Q166" s="420"/>
      <c r="R166" s="420"/>
      <c r="S166" s="420"/>
      <c r="T166" s="420"/>
      <c r="U166" s="420"/>
      <c r="V166" s="420"/>
      <c r="W166" s="420"/>
      <c r="X166" s="420"/>
      <c r="Y166" s="420"/>
      <c r="Z166" s="420"/>
      <c r="AA166" s="420"/>
    </row>
    <row r="167" spans="1:27" s="410" customFormat="1" hidden="1">
      <c r="A167" s="413"/>
      <c r="B167" s="414"/>
      <c r="C167" s="413" t="str">
        <f>'5.Tiên lượng'!C89</f>
        <v>AB.31134(VD)</v>
      </c>
      <c r="D167" s="413"/>
      <c r="E167" s="415" t="str">
        <f>'5.Tiên lượng'!D89</f>
        <v>Đào rãnh bằng máy đào 1,25m3 - Cấp đất IV</v>
      </c>
      <c r="F167" s="414" t="str">
        <f>'5.Tiên lượng'!E89</f>
        <v>100m3</v>
      </c>
      <c r="G167" s="416">
        <f>'5.Tiên lượng'!M89</f>
        <v>6.1699999999999998E-2</v>
      </c>
      <c r="H167" s="416">
        <f>PTVT!G304</f>
        <v>5.8000000000000003E-2</v>
      </c>
      <c r="I167" s="416">
        <f>'5.Tiên lượng'!X89</f>
        <v>1</v>
      </c>
      <c r="J167" s="419">
        <f t="shared" si="19"/>
        <v>3.5785999999999999E-3</v>
      </c>
      <c r="K167" s="420"/>
      <c r="L167" s="420"/>
      <c r="M167" s="420"/>
      <c r="N167" s="420"/>
      <c r="O167" s="420"/>
      <c r="P167" s="420"/>
      <c r="Q167" s="420"/>
      <c r="R167" s="420"/>
      <c r="S167" s="420"/>
      <c r="T167" s="420"/>
      <c r="U167" s="420"/>
      <c r="V167" s="420"/>
      <c r="W167" s="420"/>
      <c r="X167" s="420"/>
      <c r="Y167" s="420"/>
      <c r="Z167" s="420"/>
      <c r="AA167" s="420"/>
    </row>
    <row r="168" spans="1:27" s="410" customFormat="1" hidden="1">
      <c r="A168" s="413"/>
      <c r="B168" s="414"/>
      <c r="C168" s="413" t="str">
        <f>'5.Tiên lượng'!C92</f>
        <v>AB.31132(VD)</v>
      </c>
      <c r="D168" s="413"/>
      <c r="E168" s="415" t="str">
        <f>'5.Tiên lượng'!D92</f>
        <v>Đào cấp bằng máy đào 1,25m3 - Cấp đất II</v>
      </c>
      <c r="F168" s="414" t="str">
        <f>'5.Tiên lượng'!E92</f>
        <v>100m3</v>
      </c>
      <c r="G168" s="416">
        <f>'5.Tiên lượng'!M92</f>
        <v>0.92680000000000007</v>
      </c>
      <c r="H168" s="416">
        <f>PTVT!G310</f>
        <v>3.5000000000000003E-2</v>
      </c>
      <c r="I168" s="416">
        <f>'5.Tiên lượng'!X92</f>
        <v>1</v>
      </c>
      <c r="J168" s="419">
        <f t="shared" si="19"/>
        <v>3.2438000000000008E-2</v>
      </c>
      <c r="K168" s="420"/>
      <c r="L168" s="420"/>
      <c r="M168" s="420"/>
      <c r="N168" s="420"/>
      <c r="O168" s="420"/>
      <c r="P168" s="420"/>
      <c r="Q168" s="420"/>
      <c r="R168" s="420"/>
      <c r="S168" s="420"/>
      <c r="T168" s="420"/>
      <c r="U168" s="420"/>
      <c r="V168" s="420"/>
      <c r="W168" s="420"/>
      <c r="X168" s="420"/>
      <c r="Y168" s="420"/>
      <c r="Z168" s="420"/>
      <c r="AA168" s="420"/>
    </row>
    <row r="169" spans="1:27" s="410" customFormat="1" hidden="1">
      <c r="A169" s="413"/>
      <c r="B169" s="414"/>
      <c r="C169" s="413" t="str">
        <f>'5.Tiên lượng'!C94</f>
        <v>AB.31132</v>
      </c>
      <c r="D169" s="413"/>
      <c r="E169" s="415" t="str">
        <f>'5.Tiên lượng'!D94</f>
        <v>Đào hữu cơ bằng máy đào 1,25m3 - Cấp đất II</v>
      </c>
      <c r="F169" s="414" t="str">
        <f>'5.Tiên lượng'!E94</f>
        <v>100m3</v>
      </c>
      <c r="G169" s="416">
        <f>'5.Tiên lượng'!M94</f>
        <v>1.2434000000000001</v>
      </c>
      <c r="H169" s="416">
        <f>PTVT!G316</f>
        <v>3.5000000000000003E-2</v>
      </c>
      <c r="I169" s="416">
        <f>'5.Tiên lượng'!X94</f>
        <v>1</v>
      </c>
      <c r="J169" s="419">
        <f t="shared" si="19"/>
        <v>4.3519000000000009E-2</v>
      </c>
      <c r="K169" s="420"/>
      <c r="L169" s="420"/>
      <c r="M169" s="420"/>
      <c r="N169" s="420"/>
      <c r="O169" s="420"/>
      <c r="P169" s="420"/>
      <c r="Q169" s="420"/>
      <c r="R169" s="420"/>
      <c r="S169" s="420"/>
      <c r="T169" s="420"/>
      <c r="U169" s="420"/>
      <c r="V169" s="420"/>
      <c r="W169" s="420"/>
      <c r="X169" s="420"/>
      <c r="Y169" s="420"/>
      <c r="Z169" s="420"/>
      <c r="AA169" s="420"/>
    </row>
    <row r="170" spans="1:27" s="410" customFormat="1" ht="27.6" hidden="1">
      <c r="A170" s="413"/>
      <c r="B170" s="414"/>
      <c r="C170" s="413" t="str">
        <f>'5.Tiên lượng'!C101</f>
        <v>AB.64113</v>
      </c>
      <c r="D170" s="413"/>
      <c r="E170" s="415" t="str">
        <f>'5.Tiên lượng'!D101</f>
        <v>Đắp nền đường bằng máy lu bánh thép 9T, máy ủi 110CV, độ chặt Y/C K = 0,95</v>
      </c>
      <c r="F170" s="414" t="str">
        <f>'5.Tiên lượng'!E101</f>
        <v>100m3</v>
      </c>
      <c r="G170" s="416">
        <f>'5.Tiên lượng'!M101</f>
        <v>8.2415929999999999</v>
      </c>
      <c r="H170" s="416">
        <f>PTVT!G340</f>
        <v>0.21</v>
      </c>
      <c r="I170" s="416">
        <f>'5.Tiên lượng'!X101</f>
        <v>1</v>
      </c>
      <c r="J170" s="419">
        <f t="shared" si="19"/>
        <v>1.7307345299999999</v>
      </c>
      <c r="K170" s="420"/>
      <c r="L170" s="420"/>
      <c r="M170" s="420"/>
      <c r="N170" s="420"/>
      <c r="O170" s="420"/>
      <c r="P170" s="420"/>
      <c r="Q170" s="420"/>
      <c r="R170" s="420"/>
      <c r="S170" s="420"/>
      <c r="T170" s="420"/>
      <c r="U170" s="420"/>
      <c r="V170" s="420"/>
      <c r="W170" s="420"/>
      <c r="X170" s="420"/>
      <c r="Y170" s="420"/>
      <c r="Z170" s="420"/>
      <c r="AA170" s="420"/>
    </row>
    <row r="171" spans="1:27" s="410" customFormat="1" ht="27.6" hidden="1">
      <c r="A171" s="413"/>
      <c r="B171" s="414"/>
      <c r="C171" s="413" t="str">
        <f>'5.Tiên lượng'!C107</f>
        <v>AB.31133</v>
      </c>
      <c r="D171" s="413"/>
      <c r="E171" s="415" t="str">
        <f>'5.Tiên lượng'!D107</f>
        <v>Đào đất phần cạp mở rộng bằng máy đào 1,25m3 - Cấp đất III</v>
      </c>
      <c r="F171" s="414" t="str">
        <f>'5.Tiên lượng'!E107</f>
        <v>100m3</v>
      </c>
      <c r="G171" s="416">
        <f>'5.Tiên lượng'!M107</f>
        <v>2.1415000000000002</v>
      </c>
      <c r="H171" s="416">
        <f>PTVT!G361</f>
        <v>0.04</v>
      </c>
      <c r="I171" s="416">
        <f>'5.Tiên lượng'!X107</f>
        <v>1</v>
      </c>
      <c r="J171" s="419">
        <f t="shared" si="19"/>
        <v>8.5660000000000014E-2</v>
      </c>
      <c r="K171" s="420"/>
      <c r="L171" s="420"/>
      <c r="M171" s="420"/>
      <c r="N171" s="420"/>
      <c r="O171" s="420"/>
      <c r="P171" s="420"/>
      <c r="Q171" s="420"/>
      <c r="R171" s="420"/>
      <c r="S171" s="420"/>
      <c r="T171" s="420"/>
      <c r="U171" s="420"/>
      <c r="V171" s="420"/>
      <c r="W171" s="420"/>
      <c r="X171" s="420"/>
      <c r="Y171" s="420"/>
      <c r="Z171" s="420"/>
      <c r="AA171" s="420"/>
    </row>
    <row r="172" spans="1:27" s="410" customFormat="1" ht="27.6" hidden="1">
      <c r="A172" s="413"/>
      <c r="B172" s="414"/>
      <c r="C172" s="413" t="str">
        <f>'5.Tiên lượng'!C149</f>
        <v>AB.64113</v>
      </c>
      <c r="D172" s="413"/>
      <c r="E172" s="415" t="str">
        <f>'5.Tiên lượng'!D149</f>
        <v>Đắp nền đường bằng máy lu bánh thép 9T, máy ủi 110CV, độ chặt Y/C K = 0,95</v>
      </c>
      <c r="F172" s="414" t="str">
        <f>'5.Tiên lượng'!E149</f>
        <v>100m3</v>
      </c>
      <c r="G172" s="416">
        <f>'5.Tiên lượng'!M149</f>
        <v>0.27899999999999997</v>
      </c>
      <c r="H172" s="416">
        <f>PTVT!G589</f>
        <v>0.21</v>
      </c>
      <c r="I172" s="416">
        <f>'5.Tiên lượng'!X149</f>
        <v>1</v>
      </c>
      <c r="J172" s="419">
        <f t="shared" si="19"/>
        <v>5.8589999999999989E-2</v>
      </c>
      <c r="K172" s="420"/>
      <c r="L172" s="420"/>
      <c r="M172" s="420"/>
      <c r="N172" s="420"/>
      <c r="O172" s="420"/>
      <c r="P172" s="420"/>
      <c r="Q172" s="420"/>
      <c r="R172" s="420"/>
      <c r="S172" s="420"/>
      <c r="T172" s="420"/>
      <c r="U172" s="420"/>
      <c r="V172" s="420"/>
      <c r="W172" s="420"/>
      <c r="X172" s="420"/>
      <c r="Y172" s="420"/>
      <c r="Z172" s="420"/>
      <c r="AA172" s="420"/>
    </row>
    <row r="173" spans="1:27">
      <c r="A173" s="246" t="s">
        <v>759</v>
      </c>
      <c r="B173" s="265">
        <v>26</v>
      </c>
      <c r="C173" s="246" t="s">
        <v>603</v>
      </c>
      <c r="D173" s="246">
        <f>'Giá Máy'!D30</f>
        <v>0</v>
      </c>
      <c r="E173" s="266" t="str">
        <f>'Giá Máy'!E30</f>
        <v>Máy ủi 180CV</v>
      </c>
      <c r="F173" s="265" t="s">
        <v>926</v>
      </c>
      <c r="G173" s="417"/>
      <c r="H173" s="417"/>
      <c r="I173" s="417"/>
      <c r="J173" s="268">
        <f>SUM(J174:J175)</f>
        <v>0</v>
      </c>
      <c r="K173" s="421">
        <f>'Giá Máy'!G30</f>
        <v>2999218.6830000002</v>
      </c>
      <c r="L173" s="421">
        <f>J173*K173</f>
        <v>0</v>
      </c>
      <c r="M173" s="421">
        <f>'Giá Máy'!H30</f>
        <v>3288146</v>
      </c>
      <c r="N173" s="421">
        <f>J173*M173</f>
        <v>0</v>
      </c>
      <c r="O173" s="421">
        <f>M173-K173</f>
        <v>288927.31699999981</v>
      </c>
      <c r="P173" s="421">
        <f>J173*O173</f>
        <v>0</v>
      </c>
      <c r="Q173" s="421">
        <v>1</v>
      </c>
      <c r="R173" s="421">
        <f>M173*Q173</f>
        <v>3288146</v>
      </c>
      <c r="S173" s="421">
        <f>J173*R173</f>
        <v>0</v>
      </c>
      <c r="T173" s="421">
        <v>288927.31699999998</v>
      </c>
      <c r="U173" s="421">
        <v>0</v>
      </c>
      <c r="V173" s="421">
        <f>'Giá Máy'!N30</f>
        <v>0</v>
      </c>
      <c r="W173" s="421">
        <f>J173*V173</f>
        <v>0</v>
      </c>
      <c r="X173" s="421">
        <f>'Giá Máy'!O30</f>
        <v>3083240.1150000002</v>
      </c>
      <c r="Y173" s="421">
        <f>J173*X173</f>
        <v>0</v>
      </c>
      <c r="Z173" s="421">
        <f>X173-K173</f>
        <v>84021.43200000003</v>
      </c>
      <c r="AA173" s="421">
        <f>J173*Z173</f>
        <v>0</v>
      </c>
    </row>
    <row r="174" spans="1:27" s="410" customFormat="1" hidden="1">
      <c r="A174" s="413"/>
      <c r="B174" s="414"/>
      <c r="C174" s="413" t="str">
        <f>'5.Tiên lượng'!C34</f>
        <v>AB.67110</v>
      </c>
      <c r="D174" s="413"/>
      <c r="E174" s="415" t="str">
        <f>'5.Tiên lượng'!D34</f>
        <v>Đắp đá hỗn hợp công trình bằng máy ủi 180CV</v>
      </c>
      <c r="F174" s="414" t="str">
        <f>'5.Tiên lượng'!E34</f>
        <v>100m3</v>
      </c>
      <c r="G174" s="416">
        <f>'5.Tiên lượng'!M34</f>
        <v>0</v>
      </c>
      <c r="H174" s="416">
        <f>PTVT!G78</f>
        <v>1.1200000000000001</v>
      </c>
      <c r="I174" s="416">
        <f>'5.Tiên lượng'!X34</f>
        <v>1</v>
      </c>
      <c r="J174" s="419">
        <f t="shared" ref="J174:J175" si="20">PRODUCT(G174,H174,I174)</f>
        <v>0</v>
      </c>
      <c r="K174" s="420"/>
      <c r="L174" s="420"/>
      <c r="M174" s="420"/>
      <c r="N174" s="420"/>
      <c r="O174" s="420"/>
      <c r="P174" s="420"/>
      <c r="Q174" s="420"/>
      <c r="R174" s="420"/>
      <c r="S174" s="420"/>
      <c r="T174" s="420"/>
      <c r="U174" s="420"/>
      <c r="V174" s="420"/>
      <c r="W174" s="420"/>
      <c r="X174" s="420"/>
      <c r="Y174" s="420"/>
      <c r="Z174" s="420"/>
      <c r="AA174" s="420"/>
    </row>
    <row r="175" spans="1:27" s="410" customFormat="1" hidden="1">
      <c r="A175" s="413"/>
      <c r="B175" s="414"/>
      <c r="C175" s="413" t="str">
        <f>'5.Tiên lượng'!C97</f>
        <v>AB.67110</v>
      </c>
      <c r="D175" s="413"/>
      <c r="E175" s="415" t="str">
        <f>'5.Tiên lượng'!D97</f>
        <v>Đắp đá hỗn hợp công trình bằng máy ủi 180CV</v>
      </c>
      <c r="F175" s="414" t="str">
        <f>'5.Tiên lượng'!E97</f>
        <v>100m3</v>
      </c>
      <c r="G175" s="416">
        <f>'5.Tiên lượng'!M97</f>
        <v>0</v>
      </c>
      <c r="H175" s="416">
        <f>PTVT!G322</f>
        <v>1.1200000000000001</v>
      </c>
      <c r="I175" s="416">
        <f>'5.Tiên lượng'!X97</f>
        <v>1</v>
      </c>
      <c r="J175" s="419">
        <f t="shared" si="20"/>
        <v>0</v>
      </c>
      <c r="K175" s="420"/>
      <c r="L175" s="420"/>
      <c r="M175" s="420"/>
      <c r="N175" s="420"/>
      <c r="O175" s="420"/>
      <c r="P175" s="420"/>
      <c r="Q175" s="420"/>
      <c r="R175" s="420"/>
      <c r="S175" s="420"/>
      <c r="T175" s="420"/>
      <c r="U175" s="420"/>
      <c r="V175" s="420"/>
      <c r="W175" s="420"/>
      <c r="X175" s="420"/>
      <c r="Y175" s="420"/>
      <c r="Z175" s="420"/>
      <c r="AA175" s="420"/>
    </row>
    <row r="176" spans="1:27">
      <c r="A176" s="246" t="s">
        <v>759</v>
      </c>
      <c r="B176" s="265">
        <v>27</v>
      </c>
      <c r="C176" s="246" t="s">
        <v>683</v>
      </c>
      <c r="D176" s="246">
        <f>'Giá Máy'!D31</f>
        <v>0</v>
      </c>
      <c r="E176" s="266" t="str">
        <f>'Giá Máy'!E31</f>
        <v>Ô tô tự đổ 10T</v>
      </c>
      <c r="F176" s="265" t="s">
        <v>926</v>
      </c>
      <c r="G176" s="417"/>
      <c r="H176" s="417"/>
      <c r="I176" s="417"/>
      <c r="J176" s="268">
        <f>SUM(J177:J178)</f>
        <v>10.5229157</v>
      </c>
      <c r="K176" s="421">
        <f>'Giá Máy'!G31</f>
        <v>1929864.1702857099</v>
      </c>
      <c r="L176" s="421">
        <f>J176*K176</f>
        <v>20307797.976366971</v>
      </c>
      <c r="M176" s="421">
        <f>'Giá Máy'!H31</f>
        <v>2146560</v>
      </c>
      <c r="N176" s="421">
        <f>J176*M176</f>
        <v>22588069.924992003</v>
      </c>
      <c r="O176" s="421">
        <f>M176-K176</f>
        <v>216695.8297142901</v>
      </c>
      <c r="P176" s="421">
        <f>J176*O176</f>
        <v>2280271.94862503</v>
      </c>
      <c r="Q176" s="421">
        <v>1</v>
      </c>
      <c r="R176" s="421">
        <f>M176*Q176</f>
        <v>2146560</v>
      </c>
      <c r="S176" s="421">
        <f>J176*R176</f>
        <v>22588069.924992003</v>
      </c>
      <c r="T176" s="421">
        <v>216695.82971429001</v>
      </c>
      <c r="U176" s="421">
        <v>2280271.94862503</v>
      </c>
      <c r="V176" s="421">
        <f>'Giá Máy'!N31</f>
        <v>0</v>
      </c>
      <c r="W176" s="421">
        <f>J176*V176</f>
        <v>0</v>
      </c>
      <c r="X176" s="421">
        <f>'Giá Máy'!O31</f>
        <v>1974154.9942857143</v>
      </c>
      <c r="Y176" s="421">
        <f>J176*X176</f>
        <v>20773866.583602555</v>
      </c>
      <c r="Z176" s="421">
        <f>X176-K176</f>
        <v>44290.824000004446</v>
      </c>
      <c r="AA176" s="421">
        <f>J176*Z176</f>
        <v>466068.60723558359</v>
      </c>
    </row>
    <row r="177" spans="1:27" s="410" customFormat="1" ht="27.6" hidden="1">
      <c r="A177" s="413"/>
      <c r="B177" s="414"/>
      <c r="C177" s="413" t="str">
        <f>'5.Tiên lượng'!C209</f>
        <v>AB.41432</v>
      </c>
      <c r="D177" s="413"/>
      <c r="E177" s="415" t="str">
        <f>'5.Tiên lượng'!D209</f>
        <v>Vận chuyển đất bằng ô tô tự đổ 10T, phạm vi ≤1000m - Cấp đất II</v>
      </c>
      <c r="F177" s="414" t="str">
        <f>'5.Tiên lượng'!E209</f>
        <v>100m3</v>
      </c>
      <c r="G177" s="416">
        <f>'5.Tiên lượng'!M209</f>
        <v>9.4894999999999996</v>
      </c>
      <c r="H177" s="416">
        <f>PTVT!G883</f>
        <v>0.76900000000000002</v>
      </c>
      <c r="I177" s="416">
        <f>'5.Tiên lượng'!X209</f>
        <v>1</v>
      </c>
      <c r="J177" s="419">
        <f t="shared" ref="J177:J178" si="21">PRODUCT(G177,H177,I177)</f>
        <v>7.2974255000000001</v>
      </c>
      <c r="K177" s="420"/>
      <c r="L177" s="420"/>
      <c r="M177" s="420"/>
      <c r="N177" s="420"/>
      <c r="O177" s="420"/>
      <c r="P177" s="420"/>
      <c r="Q177" s="420"/>
      <c r="R177" s="420"/>
      <c r="S177" s="420"/>
      <c r="T177" s="420"/>
      <c r="U177" s="420"/>
      <c r="V177" s="420"/>
      <c r="W177" s="420"/>
      <c r="X177" s="420"/>
      <c r="Y177" s="420"/>
      <c r="Z177" s="420"/>
      <c r="AA177" s="420"/>
    </row>
    <row r="178" spans="1:27" s="410" customFormat="1" ht="27.6" hidden="1">
      <c r="A178" s="413"/>
      <c r="B178" s="414"/>
      <c r="C178" s="413" t="str">
        <f>'5.Tiên lượng'!C211</f>
        <v>AB.53431</v>
      </c>
      <c r="D178" s="413"/>
      <c r="E178" s="415" t="str">
        <f>'5.Tiên lượng'!D211</f>
        <v>Vận chuyển đá sau nổ mìn bằng ô tô tự đổ 10T trong phạm vi ≤1000m</v>
      </c>
      <c r="F178" s="414" t="str">
        <f>'5.Tiên lượng'!E211</f>
        <v>100m3</v>
      </c>
      <c r="G178" s="416">
        <f>'5.Tiên lượng'!M211</f>
        <v>2.2446000000000002</v>
      </c>
      <c r="H178" s="416">
        <f>PTVT!G886</f>
        <v>1.4370000000000001</v>
      </c>
      <c r="I178" s="416">
        <f>'5.Tiên lượng'!X211</f>
        <v>1</v>
      </c>
      <c r="J178" s="419">
        <f t="shared" si="21"/>
        <v>3.2254902000000003</v>
      </c>
      <c r="K178" s="420"/>
      <c r="L178" s="420"/>
      <c r="M178" s="420"/>
      <c r="N178" s="420"/>
      <c r="O178" s="420"/>
      <c r="P178" s="420"/>
      <c r="Q178" s="420"/>
      <c r="R178" s="420"/>
      <c r="S178" s="420"/>
      <c r="T178" s="420"/>
      <c r="U178" s="420"/>
      <c r="V178" s="420"/>
      <c r="W178" s="420"/>
      <c r="X178" s="420"/>
      <c r="Y178" s="420"/>
      <c r="Z178" s="420"/>
      <c r="AA178" s="420"/>
    </row>
    <row r="179" spans="1:27">
      <c r="A179" s="246" t="s">
        <v>759</v>
      </c>
      <c r="B179" s="265">
        <v>28</v>
      </c>
      <c r="C179" s="246" t="s">
        <v>652</v>
      </c>
      <c r="D179" s="246">
        <f>'Giá Máy'!D32</f>
        <v>0</v>
      </c>
      <c r="E179" s="266" t="str">
        <f>'Giá Máy'!E32</f>
        <v>Ô tô tự đổ 5T</v>
      </c>
      <c r="F179" s="265" t="s">
        <v>926</v>
      </c>
      <c r="G179" s="417"/>
      <c r="H179" s="417"/>
      <c r="I179" s="417"/>
      <c r="J179" s="268">
        <f>SUM(J180:J181)</f>
        <v>13.9693971</v>
      </c>
      <c r="K179" s="421">
        <f>'Giá Máy'!G32</f>
        <v>1425715.5664615401</v>
      </c>
      <c r="L179" s="421">
        <f>J179*K179</f>
        <v>19916386.899552695</v>
      </c>
      <c r="M179" s="421">
        <f>'Giá Máy'!H32</f>
        <v>1581584</v>
      </c>
      <c r="N179" s="421">
        <f>J179*M179</f>
        <v>22093774.9430064</v>
      </c>
      <c r="O179" s="421">
        <f>M179-K179</f>
        <v>155868.43353845994</v>
      </c>
      <c r="P179" s="421">
        <f>J179*O179</f>
        <v>2177388.043453705</v>
      </c>
      <c r="Q179" s="421">
        <v>1</v>
      </c>
      <c r="R179" s="421">
        <f>M179*Q179</f>
        <v>1581584</v>
      </c>
      <c r="S179" s="421">
        <f>J179*R179</f>
        <v>22093774.9430064</v>
      </c>
      <c r="T179" s="421">
        <v>155868.43353846</v>
      </c>
      <c r="U179" s="421">
        <v>2177388.0434537102</v>
      </c>
      <c r="V179" s="421">
        <f>'Giá Máy'!N32</f>
        <v>0</v>
      </c>
      <c r="W179" s="421">
        <f>J179*V179</f>
        <v>0</v>
      </c>
      <c r="X179" s="421">
        <f>'Giá Máy'!O32</f>
        <v>1457573.8784615383</v>
      </c>
      <c r="Y179" s="421">
        <f>J179*X179</f>
        <v>20361428.310816366</v>
      </c>
      <c r="Z179" s="421">
        <f>X179-K179</f>
        <v>31858.311999998288</v>
      </c>
      <c r="AA179" s="421">
        <f>J179*Z179</f>
        <v>445041.4112636713</v>
      </c>
    </row>
    <row r="180" spans="1:27" s="410" customFormat="1" ht="27.6" hidden="1">
      <c r="A180" s="413"/>
      <c r="B180" s="414"/>
      <c r="C180" s="413" t="str">
        <f>'5.Tiên lượng'!C115</f>
        <v>AD.24132</v>
      </c>
      <c r="D180" s="413"/>
      <c r="E180" s="415" t="str">
        <f>'5.Tiên lượng'!D115</f>
        <v>Thi công mặt đường láng nhũ tương 03 lớp - Tiêu chuẩn nhựa 4,5kg/m2</v>
      </c>
      <c r="F180" s="414" t="str">
        <f>'5.Tiên lượng'!E115</f>
        <v>100m2</v>
      </c>
      <c r="G180" s="416">
        <f>'5.Tiên lượng'!M115</f>
        <v>106.9627</v>
      </c>
      <c r="H180" s="416">
        <f>PTVT!G413</f>
        <v>0.129</v>
      </c>
      <c r="I180" s="416">
        <f>'5.Tiên lượng'!X115</f>
        <v>1</v>
      </c>
      <c r="J180" s="419">
        <f t="shared" ref="J180:J181" si="22">PRODUCT(G180,H180,I180)</f>
        <v>13.7981883</v>
      </c>
      <c r="K180" s="420"/>
      <c r="L180" s="420"/>
      <c r="M180" s="420"/>
      <c r="N180" s="420"/>
      <c r="O180" s="420"/>
      <c r="P180" s="420"/>
      <c r="Q180" s="420"/>
      <c r="R180" s="420"/>
      <c r="S180" s="420"/>
      <c r="T180" s="420"/>
      <c r="U180" s="420"/>
      <c r="V180" s="420"/>
      <c r="W180" s="420"/>
      <c r="X180" s="420"/>
      <c r="Y180" s="420"/>
      <c r="Z180" s="420"/>
      <c r="AA180" s="420"/>
    </row>
    <row r="181" spans="1:27" s="410" customFormat="1" ht="27.6" hidden="1">
      <c r="A181" s="413"/>
      <c r="B181" s="414"/>
      <c r="C181" s="413" t="str">
        <f>'5.Tiên lượng'!C122</f>
        <v>AD.24132</v>
      </c>
      <c r="D181" s="413"/>
      <c r="E181" s="415" t="str">
        <f>'5.Tiên lượng'!D122</f>
        <v>Thi công mặt đường láng nhũ tương 03 lớp - Tiêu chuẩn nhựa 4,5kg/m2</v>
      </c>
      <c r="F181" s="414" t="str">
        <f>'5.Tiên lượng'!E122</f>
        <v>100m2</v>
      </c>
      <c r="G181" s="416">
        <f>'5.Tiên lượng'!M122</f>
        <v>1.3271999999999999</v>
      </c>
      <c r="H181" s="416">
        <f>PTVT!G454</f>
        <v>0.129</v>
      </c>
      <c r="I181" s="416">
        <f>'5.Tiên lượng'!X122</f>
        <v>1</v>
      </c>
      <c r="J181" s="419">
        <f t="shared" si="22"/>
        <v>0.17120879999999999</v>
      </c>
      <c r="K181" s="420"/>
      <c r="L181" s="420"/>
      <c r="M181" s="420"/>
      <c r="N181" s="420"/>
      <c r="O181" s="420"/>
      <c r="P181" s="420"/>
      <c r="Q181" s="420"/>
      <c r="R181" s="420"/>
      <c r="S181" s="420"/>
      <c r="T181" s="420"/>
      <c r="U181" s="420"/>
      <c r="V181" s="420"/>
      <c r="W181" s="420"/>
      <c r="X181" s="420"/>
      <c r="Y181" s="420"/>
      <c r="Z181" s="420"/>
      <c r="AA181" s="420"/>
    </row>
    <row r="182" spans="1:27">
      <c r="A182" s="246" t="s">
        <v>759</v>
      </c>
      <c r="B182" s="265">
        <v>29</v>
      </c>
      <c r="C182" s="246" t="s">
        <v>610</v>
      </c>
      <c r="D182" s="246">
        <f>'Giá Máy'!D33</f>
        <v>0</v>
      </c>
      <c r="E182" s="266" t="str">
        <f>'Giá Máy'!E33</f>
        <v>Ô tô tưới nước 5m3</v>
      </c>
      <c r="F182" s="265" t="s">
        <v>926</v>
      </c>
      <c r="G182" s="417"/>
      <c r="H182" s="417"/>
      <c r="I182" s="417"/>
      <c r="J182" s="268">
        <f>SUM(J183:J183)</f>
        <v>1.9390848053097345</v>
      </c>
      <c r="K182" s="421">
        <f>'Giá Máy'!G33</f>
        <v>1089892.2532307699</v>
      </c>
      <c r="L182" s="421">
        <f>J182*K182</f>
        <v>2113393.5076645752</v>
      </c>
      <c r="M182" s="421">
        <f>'Giá Máy'!H33</f>
        <v>0</v>
      </c>
      <c r="N182" s="421">
        <f>J182*M182</f>
        <v>0</v>
      </c>
      <c r="O182" s="421">
        <f>M182-K182</f>
        <v>-1089892.2532307699</v>
      </c>
      <c r="P182" s="421">
        <f>J182*O182</f>
        <v>-2113393.5076645752</v>
      </c>
      <c r="Q182" s="421">
        <v>1</v>
      </c>
      <c r="R182" s="421">
        <f>M182*Q182</f>
        <v>0</v>
      </c>
      <c r="S182" s="421">
        <f>J182*R182</f>
        <v>0</v>
      </c>
      <c r="T182" s="421">
        <v>-1089892.2532307699</v>
      </c>
      <c r="U182" s="421">
        <v>-2113393.5076645701</v>
      </c>
      <c r="V182" s="421">
        <f>'Giá Máy'!N33</f>
        <v>0</v>
      </c>
      <c r="W182" s="421">
        <f>J182*V182</f>
        <v>0</v>
      </c>
      <c r="X182" s="421">
        <f>'Giá Máy'!O33</f>
        <v>1107763.9892307692</v>
      </c>
      <c r="Y182" s="421">
        <f>J182*X182</f>
        <v>2148048.3193866811</v>
      </c>
      <c r="Z182" s="421">
        <f>X182-K182</f>
        <v>17871.735999999335</v>
      </c>
      <c r="AA182" s="421">
        <f>J182*Z182</f>
        <v>34654.811722105682</v>
      </c>
    </row>
    <row r="183" spans="1:27" s="410" customFormat="1" hidden="1">
      <c r="A183" s="413"/>
      <c r="B183" s="414"/>
      <c r="C183" s="413" t="str">
        <f>'5.Tiên lượng'!C36</f>
        <v>AD.11212</v>
      </c>
      <c r="D183" s="413"/>
      <c r="E183" s="415" t="str">
        <f>'5.Tiên lượng'!D36</f>
        <v>Thi công đắp cấp phối đá dăm loại 2</v>
      </c>
      <c r="F183" s="414" t="str">
        <f>'5.Tiên lượng'!E36</f>
        <v>100m3</v>
      </c>
      <c r="G183" s="416">
        <f>'5.Tiên lượng'!M36</f>
        <v>9.2337371681415927</v>
      </c>
      <c r="H183" s="416">
        <f>PTVT!G89</f>
        <v>0.21</v>
      </c>
      <c r="I183" s="416">
        <f>'5.Tiên lượng'!X36</f>
        <v>1</v>
      </c>
      <c r="J183" s="419">
        <f>PRODUCT(G183,H183,I183)</f>
        <v>1.9390848053097345</v>
      </c>
      <c r="K183" s="420"/>
      <c r="L183" s="420"/>
      <c r="M183" s="420"/>
      <c r="N183" s="420"/>
      <c r="O183" s="420"/>
      <c r="P183" s="420"/>
      <c r="Q183" s="420"/>
      <c r="R183" s="420"/>
      <c r="S183" s="420"/>
      <c r="T183" s="420"/>
      <c r="U183" s="420"/>
      <c r="V183" s="420"/>
      <c r="W183" s="420"/>
      <c r="X183" s="420"/>
      <c r="Y183" s="420"/>
      <c r="Z183" s="420"/>
      <c r="AA183" s="420"/>
    </row>
    <row r="184" spans="1:27">
      <c r="A184" s="246" t="s">
        <v>759</v>
      </c>
      <c r="B184" s="265">
        <v>30</v>
      </c>
      <c r="C184" s="246" t="s">
        <v>610</v>
      </c>
      <c r="D184" s="246">
        <f>'Giá Máy'!D34</f>
        <v>0</v>
      </c>
      <c r="E184" s="266" t="str">
        <f>'Giá Máy'!E34</f>
        <v>Ô tô tưới nước 5m3</v>
      </c>
      <c r="F184" s="265" t="s">
        <v>926</v>
      </c>
      <c r="G184" s="417"/>
      <c r="H184" s="417"/>
      <c r="I184" s="417"/>
      <c r="J184" s="268">
        <f>SUM(J185:J190)</f>
        <v>4.72967607</v>
      </c>
      <c r="K184" s="421">
        <f>'Giá Máy'!G34</f>
        <v>1089892.2532307699</v>
      </c>
      <c r="L184" s="421">
        <f>J184*K184</f>
        <v>5154837.3089839527</v>
      </c>
      <c r="M184" s="421">
        <f>'Giá Máy'!H34</f>
        <v>1177331</v>
      </c>
      <c r="N184" s="421">
        <f>J184*M184</f>
        <v>5568394.2571691703</v>
      </c>
      <c r="O184" s="421">
        <f>M184-K184</f>
        <v>87438.746769230114</v>
      </c>
      <c r="P184" s="421">
        <f>J184*O184</f>
        <v>413556.94818521751</v>
      </c>
      <c r="Q184" s="421">
        <v>1</v>
      </c>
      <c r="R184" s="421">
        <f>M184*Q184</f>
        <v>1177331</v>
      </c>
      <c r="S184" s="421">
        <f>J184*R184</f>
        <v>5568394.2571691703</v>
      </c>
      <c r="T184" s="421">
        <v>87438.7467692301</v>
      </c>
      <c r="U184" s="421">
        <v>413556.94818521797</v>
      </c>
      <c r="V184" s="421">
        <f>'Giá Máy'!N34</f>
        <v>0</v>
      </c>
      <c r="W184" s="421">
        <f>J184*V184</f>
        <v>0</v>
      </c>
      <c r="X184" s="421">
        <f>'Giá Máy'!O34</f>
        <v>1107763.9892307692</v>
      </c>
      <c r="Y184" s="421">
        <f>J184*X184</f>
        <v>5239364.8310725065</v>
      </c>
      <c r="Z184" s="421">
        <f>X184-K184</f>
        <v>17871.735999999335</v>
      </c>
      <c r="AA184" s="421">
        <f>J184*Z184</f>
        <v>84527.522088554382</v>
      </c>
    </row>
    <row r="185" spans="1:27" s="410" customFormat="1" hidden="1">
      <c r="A185" s="413"/>
      <c r="B185" s="414"/>
      <c r="C185" s="413" t="str">
        <f>'5.Tiên lượng'!C51</f>
        <v>AD.11212</v>
      </c>
      <c r="D185" s="413"/>
      <c r="E185" s="415" t="str">
        <f>'5.Tiên lượng'!D51</f>
        <v xml:space="preserve">Thi công móng cấp phối đá dăm lớp dưới </v>
      </c>
      <c r="F185" s="414" t="str">
        <f>'5.Tiên lượng'!E51</f>
        <v>100m3</v>
      </c>
      <c r="G185" s="416">
        <f>'5.Tiên lượng'!M51</f>
        <v>1.3379759999999998</v>
      </c>
      <c r="H185" s="416">
        <f>PTVT!G145</f>
        <v>0.21</v>
      </c>
      <c r="I185" s="416">
        <f>'5.Tiên lượng'!X51</f>
        <v>1</v>
      </c>
      <c r="J185" s="419">
        <f t="shared" ref="J185:J190" si="23">PRODUCT(G185,H185,I185)</f>
        <v>0.28097495999999994</v>
      </c>
      <c r="K185" s="420"/>
      <c r="L185" s="420"/>
      <c r="M185" s="420"/>
      <c r="N185" s="420"/>
      <c r="O185" s="420"/>
      <c r="P185" s="420"/>
      <c r="Q185" s="420"/>
      <c r="R185" s="420"/>
      <c r="S185" s="420"/>
      <c r="T185" s="420"/>
      <c r="U185" s="420"/>
      <c r="V185" s="420"/>
      <c r="W185" s="420"/>
      <c r="X185" s="420"/>
      <c r="Y185" s="420"/>
      <c r="Z185" s="420"/>
      <c r="AA185" s="420"/>
    </row>
    <row r="186" spans="1:27" s="410" customFormat="1" hidden="1">
      <c r="A186" s="413"/>
      <c r="B186" s="414"/>
      <c r="C186" s="413" t="str">
        <f>'5.Tiên lượng'!C53</f>
        <v>AD.11212</v>
      </c>
      <c r="D186" s="413"/>
      <c r="E186" s="415" t="str">
        <f>'5.Tiên lượng'!D53</f>
        <v xml:space="preserve">Thi công móng cấp phối đá dăm lớp dưới </v>
      </c>
      <c r="F186" s="414" t="str">
        <f>'5.Tiên lượng'!E53</f>
        <v>100m3</v>
      </c>
      <c r="G186" s="416">
        <f>'5.Tiên lượng'!M53</f>
        <v>1.7016</v>
      </c>
      <c r="H186" s="416">
        <f>PTVT!G157</f>
        <v>0.21</v>
      </c>
      <c r="I186" s="416">
        <f>'5.Tiên lượng'!X53</f>
        <v>1</v>
      </c>
      <c r="J186" s="419">
        <f t="shared" si="23"/>
        <v>0.35733599999999999</v>
      </c>
      <c r="K186" s="420"/>
      <c r="L186" s="420"/>
      <c r="M186" s="420"/>
      <c r="N186" s="420"/>
      <c r="O186" s="420"/>
      <c r="P186" s="420"/>
      <c r="Q186" s="420"/>
      <c r="R186" s="420"/>
      <c r="S186" s="420"/>
      <c r="T186" s="420"/>
      <c r="U186" s="420"/>
      <c r="V186" s="420"/>
      <c r="W186" s="420"/>
      <c r="X186" s="420"/>
      <c r="Y186" s="420"/>
      <c r="Z186" s="420"/>
      <c r="AA186" s="420"/>
    </row>
    <row r="187" spans="1:27" s="410" customFormat="1" hidden="1">
      <c r="A187" s="413"/>
      <c r="B187" s="414"/>
      <c r="C187" s="413" t="str">
        <f>'5.Tiên lượng'!C63</f>
        <v>AD.11212</v>
      </c>
      <c r="D187" s="413"/>
      <c r="E187" s="415" t="str">
        <f>'5.Tiên lượng'!D63</f>
        <v xml:space="preserve">Thi công móng cấp phối đá dăm lớp dưới </v>
      </c>
      <c r="F187" s="414" t="str">
        <f>'5.Tiên lượng'!E63</f>
        <v>100m3</v>
      </c>
      <c r="G187" s="416">
        <f>'5.Tiên lượng'!M63</f>
        <v>7.6583999999999999E-2</v>
      </c>
      <c r="H187" s="416">
        <f>PTVT!G202</f>
        <v>0.21</v>
      </c>
      <c r="I187" s="416">
        <f>'5.Tiên lượng'!X63</f>
        <v>1</v>
      </c>
      <c r="J187" s="419">
        <f t="shared" si="23"/>
        <v>1.6082639999999999E-2</v>
      </c>
      <c r="K187" s="420"/>
      <c r="L187" s="420"/>
      <c r="M187" s="420"/>
      <c r="N187" s="420"/>
      <c r="O187" s="420"/>
      <c r="P187" s="420"/>
      <c r="Q187" s="420"/>
      <c r="R187" s="420"/>
      <c r="S187" s="420"/>
      <c r="T187" s="420"/>
      <c r="U187" s="420"/>
      <c r="V187" s="420"/>
      <c r="W187" s="420"/>
      <c r="X187" s="420"/>
      <c r="Y187" s="420"/>
      <c r="Z187" s="420"/>
      <c r="AA187" s="420"/>
    </row>
    <row r="188" spans="1:27" s="410" customFormat="1" hidden="1">
      <c r="A188" s="413"/>
      <c r="B188" s="414"/>
      <c r="C188" s="413" t="str">
        <f>'5.Tiên lượng'!C99</f>
        <v>AD.11212</v>
      </c>
      <c r="D188" s="413"/>
      <c r="E188" s="415" t="str">
        <f>'5.Tiên lượng'!D99</f>
        <v xml:space="preserve">Thi công móng cấp phối đá dăm lớp dưới </v>
      </c>
      <c r="F188" s="414" t="str">
        <f>'5.Tiên lượng'!E99</f>
        <v>100m3</v>
      </c>
      <c r="G188" s="416">
        <f>'5.Tiên lượng'!M99</f>
        <v>4.3350070000000001</v>
      </c>
      <c r="H188" s="416">
        <f>PTVT!G333</f>
        <v>0.21</v>
      </c>
      <c r="I188" s="416">
        <f>'5.Tiên lượng'!X99</f>
        <v>1</v>
      </c>
      <c r="J188" s="419">
        <f t="shared" si="23"/>
        <v>0.91035146999999994</v>
      </c>
      <c r="K188" s="420"/>
      <c r="L188" s="420"/>
      <c r="M188" s="420"/>
      <c r="N188" s="420"/>
      <c r="O188" s="420"/>
      <c r="P188" s="420"/>
      <c r="Q188" s="420"/>
      <c r="R188" s="420"/>
      <c r="S188" s="420"/>
      <c r="T188" s="420"/>
      <c r="U188" s="420"/>
      <c r="V188" s="420"/>
      <c r="W188" s="420"/>
      <c r="X188" s="420"/>
      <c r="Y188" s="420"/>
      <c r="Z188" s="420"/>
      <c r="AA188" s="420"/>
    </row>
    <row r="189" spans="1:27" s="410" customFormat="1" ht="27.6" hidden="1">
      <c r="A189" s="413"/>
      <c r="B189" s="414"/>
      <c r="C189" s="413" t="str">
        <f>'5.Tiên lượng'!C105</f>
        <v>AD.11212(VD)</v>
      </c>
      <c r="D189" s="413"/>
      <c r="E189" s="415" t="str">
        <f>'5.Tiên lượng'!D105</f>
        <v>Bù vật liệu (trên mặt đường cũ lồi lõm) bằng cấp phối đá dăm loại 2 (không lu)</v>
      </c>
      <c r="F189" s="414" t="str">
        <f>'5.Tiên lượng'!E105</f>
        <v>100m3</v>
      </c>
      <c r="G189" s="416">
        <f>'5.Tiên lượng'!M105</f>
        <v>10.24</v>
      </c>
      <c r="H189" s="416">
        <f>PTVT!G354</f>
        <v>0.21</v>
      </c>
      <c r="I189" s="416">
        <f>'5.Tiên lượng'!X105</f>
        <v>1</v>
      </c>
      <c r="J189" s="419">
        <f t="shared" si="23"/>
        <v>2.1503999999999999</v>
      </c>
      <c r="K189" s="420"/>
      <c r="L189" s="420"/>
      <c r="M189" s="420"/>
      <c r="N189" s="420"/>
      <c r="O189" s="420"/>
      <c r="P189" s="420"/>
      <c r="Q189" s="420"/>
      <c r="R189" s="420"/>
      <c r="S189" s="420"/>
      <c r="T189" s="420"/>
      <c r="U189" s="420"/>
      <c r="V189" s="420"/>
      <c r="W189" s="420"/>
      <c r="X189" s="420"/>
      <c r="Y189" s="420"/>
      <c r="Z189" s="420"/>
      <c r="AA189" s="420"/>
    </row>
    <row r="190" spans="1:27" s="410" customFormat="1" ht="27.6" hidden="1">
      <c r="A190" s="413"/>
      <c r="B190" s="414"/>
      <c r="C190" s="413" t="str">
        <f>'5.Tiên lượng'!C109</f>
        <v>AD.11212</v>
      </c>
      <c r="D190" s="413"/>
      <c r="E190" s="415" t="str">
        <f>'5.Tiên lượng'!D109</f>
        <v>Bù trả vật liệu phần cạp mở rộng bằng cấp phối đá dăm loại 2 dày 18cm (không lu)</v>
      </c>
      <c r="F190" s="414" t="str">
        <f>'5.Tiên lượng'!E109</f>
        <v>100m3</v>
      </c>
      <c r="G190" s="416">
        <f>'5.Tiên lượng'!M109</f>
        <v>4.8311000000000002</v>
      </c>
      <c r="H190" s="416">
        <f>PTVT!G372</f>
        <v>0.21</v>
      </c>
      <c r="I190" s="416">
        <f>'5.Tiên lượng'!X109</f>
        <v>1</v>
      </c>
      <c r="J190" s="419">
        <f t="shared" si="23"/>
        <v>1.0145310000000001</v>
      </c>
      <c r="K190" s="420"/>
      <c r="L190" s="420"/>
      <c r="M190" s="420"/>
      <c r="N190" s="420"/>
      <c r="O190" s="420"/>
      <c r="P190" s="420"/>
      <c r="Q190" s="420"/>
      <c r="R190" s="420"/>
      <c r="S190" s="420"/>
      <c r="T190" s="420"/>
      <c r="U190" s="420"/>
      <c r="V190" s="420"/>
      <c r="W190" s="420"/>
      <c r="X190" s="420"/>
      <c r="Y190" s="420"/>
      <c r="Z190" s="420"/>
      <c r="AA190" s="420"/>
    </row>
    <row r="191" spans="1:27">
      <c r="A191" s="246" t="s">
        <v>759</v>
      </c>
      <c r="B191" s="265">
        <v>31</v>
      </c>
      <c r="C191" s="246" t="s">
        <v>640</v>
      </c>
      <c r="D191" s="246">
        <f>'Giá Máy'!D35</f>
        <v>0</v>
      </c>
      <c r="E191" s="266" t="str">
        <f>'Giá Máy'!E35</f>
        <v>Máy cào bóc tái sinh Wirtgen 2400</v>
      </c>
      <c r="F191" s="265" t="s">
        <v>926</v>
      </c>
      <c r="G191" s="417"/>
      <c r="H191" s="417"/>
      <c r="I191" s="417"/>
      <c r="J191" s="268">
        <f>SUM(J192:J193)</f>
        <v>5.6839255199999998</v>
      </c>
      <c r="K191" s="421">
        <f>'Giá Máy'!G35</f>
        <v>40653159.719999999</v>
      </c>
      <c r="L191" s="421">
        <f>J191*K191</f>
        <v>231069532.00114405</v>
      </c>
      <c r="M191" s="421">
        <f>'Giá Máy'!H35</f>
        <v>41945728</v>
      </c>
      <c r="N191" s="421">
        <f>J191*M191</f>
        <v>238416393.83417857</v>
      </c>
      <c r="O191" s="421">
        <f>M191-K191</f>
        <v>1292568.2800000012</v>
      </c>
      <c r="P191" s="421">
        <f>J191*O191</f>
        <v>7346861.8330345126</v>
      </c>
      <c r="Q191" s="421">
        <v>1</v>
      </c>
      <c r="R191" s="421">
        <f>M191*Q191</f>
        <v>41945728</v>
      </c>
      <c r="S191" s="421">
        <f>J191*R191</f>
        <v>238416393.83417857</v>
      </c>
      <c r="T191" s="421">
        <v>1292568.28</v>
      </c>
      <c r="U191" s="421">
        <v>8163179.8144827904</v>
      </c>
      <c r="V191" s="421">
        <f>'Giá Máy'!N35</f>
        <v>0</v>
      </c>
      <c r="W191" s="421">
        <f>J191*V191</f>
        <v>0</v>
      </c>
      <c r="X191" s="421">
        <f>'Giá Máy'!O35</f>
        <v>40942317.600000001</v>
      </c>
      <c r="Y191" s="421">
        <f>J191*X191</f>
        <v>232713083.85458514</v>
      </c>
      <c r="Z191" s="421">
        <f>X191-K191</f>
        <v>289157.88000000268</v>
      </c>
      <c r="AA191" s="421">
        <f>J191*Z191</f>
        <v>1643551.8534411129</v>
      </c>
    </row>
    <row r="192" spans="1:27" s="410" customFormat="1" ht="41.4" hidden="1">
      <c r="A192" s="413"/>
      <c r="B192" s="414"/>
      <c r="C192" s="413" t="str">
        <f>'5.Tiên lượng'!C111</f>
        <v>LS.11110(ĐM.1322)</v>
      </c>
      <c r="D192" s="413"/>
      <c r="E192" s="415" t="str">
        <f>'5.Tiên lượng'!D111</f>
        <v>Cào bóc tái sinh nguội tại chỗ bằng máy cào bóc tái sinh WR2400 trên mặt đường láng nhựa, chiều dày 18cm (4% xi măng rải thủ công)</v>
      </c>
      <c r="F192" s="414" t="str">
        <f>'5.Tiên lượng'!E111</f>
        <v>100m3</v>
      </c>
      <c r="G192" s="416">
        <f>'5.Tiên lượng'!M111</f>
        <v>19.253299999999999</v>
      </c>
      <c r="H192" s="416">
        <f>PTVT!G384</f>
        <v>0.32400000000000001</v>
      </c>
      <c r="I192" s="416">
        <f>'5.Tiên lượng'!X111</f>
        <v>0.9</v>
      </c>
      <c r="J192" s="419">
        <f t="shared" ref="J192:J193" si="24">PRODUCT(G192,H192,I192)</f>
        <v>5.6142622800000002</v>
      </c>
      <c r="K192" s="420"/>
      <c r="L192" s="420"/>
      <c r="M192" s="420"/>
      <c r="N192" s="420"/>
      <c r="O192" s="420"/>
      <c r="P192" s="420"/>
      <c r="Q192" s="420"/>
      <c r="R192" s="420"/>
      <c r="S192" s="420"/>
      <c r="T192" s="420"/>
      <c r="U192" s="420"/>
      <c r="V192" s="420"/>
      <c r="W192" s="420"/>
      <c r="X192" s="420"/>
      <c r="Y192" s="420"/>
      <c r="Z192" s="420"/>
      <c r="AA192" s="420"/>
    </row>
    <row r="193" spans="1:27" s="410" customFormat="1" ht="41.4" hidden="1">
      <c r="A193" s="413"/>
      <c r="B193" s="414"/>
      <c r="C193" s="413" t="str">
        <f>'5.Tiên lượng'!C118</f>
        <v>LS.11110(ĐM.1322)</v>
      </c>
      <c r="D193" s="413"/>
      <c r="E193" s="415" t="str">
        <f>'5.Tiên lượng'!D118</f>
        <v>Cào bóc tái sinh nguội tại chỗ bằng máy cào bóc tái sinh WR2400 trên mặt đường láng nhựa, chiều dày 18cm (4% xi măng rải thủ công)</v>
      </c>
      <c r="F193" s="414" t="str">
        <f>'5.Tiên lượng'!E118</f>
        <v>100m3</v>
      </c>
      <c r="G193" s="416">
        <f>'5.Tiên lượng'!M118</f>
        <v>0.2389</v>
      </c>
      <c r="H193" s="416">
        <f>PTVT!G425</f>
        <v>0.32400000000000001</v>
      </c>
      <c r="I193" s="416">
        <f>'5.Tiên lượng'!X118</f>
        <v>0.9</v>
      </c>
      <c r="J193" s="419">
        <f t="shared" si="24"/>
        <v>6.9663240000000001E-2</v>
      </c>
      <c r="K193" s="420"/>
      <c r="L193" s="420"/>
      <c r="M193" s="420"/>
      <c r="N193" s="420"/>
      <c r="O193" s="420"/>
      <c r="P193" s="420"/>
      <c r="Q193" s="420"/>
      <c r="R193" s="420"/>
      <c r="S193" s="420"/>
      <c r="T193" s="420"/>
      <c r="U193" s="420"/>
      <c r="V193" s="420"/>
      <c r="W193" s="420"/>
      <c r="X193" s="420"/>
      <c r="Y193" s="420"/>
      <c r="Z193" s="420"/>
      <c r="AA193" s="420"/>
    </row>
    <row r="194" spans="1:27">
      <c r="A194" s="246" t="s">
        <v>759</v>
      </c>
      <c r="B194" s="265">
        <v>32</v>
      </c>
      <c r="C194" s="246" t="s">
        <v>643</v>
      </c>
      <c r="D194" s="246">
        <f>'Giá Máy'!D36</f>
        <v>0</v>
      </c>
      <c r="E194" s="266" t="str">
        <f>'Giá Máy'!E36</f>
        <v>Máy lu rung chân cừu 12T</v>
      </c>
      <c r="F194" s="265" t="s">
        <v>926</v>
      </c>
      <c r="G194" s="417"/>
      <c r="H194" s="417"/>
      <c r="I194" s="417"/>
      <c r="J194" s="268">
        <f>SUM(J195:J196)</f>
        <v>8.1750286800000005</v>
      </c>
      <c r="K194" s="421">
        <f>'Giá Máy'!G36</f>
        <v>1638784.24681481</v>
      </c>
      <c r="L194" s="421">
        <f>J194*K194</f>
        <v>13397108.218043271</v>
      </c>
      <c r="M194" s="421">
        <f>'Giá Máy'!H36</f>
        <v>1749033</v>
      </c>
      <c r="N194" s="421">
        <f>J194*M194</f>
        <v>14298394.937266441</v>
      </c>
      <c r="O194" s="421">
        <f>M194-K194</f>
        <v>110248.75318519003</v>
      </c>
      <c r="P194" s="421">
        <f>J194*O194</f>
        <v>901286.71922316984</v>
      </c>
      <c r="Q194" s="421">
        <v>1</v>
      </c>
      <c r="R194" s="421">
        <f>M194*Q194</f>
        <v>1749033</v>
      </c>
      <c r="S194" s="421">
        <f>J194*R194</f>
        <v>14298394.937266441</v>
      </c>
      <c r="T194" s="421">
        <v>110248.75318519</v>
      </c>
      <c r="U194" s="421">
        <v>1001429.68802574</v>
      </c>
      <c r="V194" s="421">
        <f>'Giá Máy'!N36</f>
        <v>0</v>
      </c>
      <c r="W194" s="421">
        <f>J194*V194</f>
        <v>0</v>
      </c>
      <c r="X194" s="421">
        <f>'Giá Máy'!O36</f>
        <v>1686285.1748148147</v>
      </c>
      <c r="Y194" s="421">
        <f>J194*X194</f>
        <v>13785429.666769926</v>
      </c>
      <c r="Z194" s="421">
        <f>X194-K194</f>
        <v>47500.928000004729</v>
      </c>
      <c r="AA194" s="421">
        <f>J194*Z194</f>
        <v>388321.4487266537</v>
      </c>
    </row>
    <row r="195" spans="1:27" s="410" customFormat="1" ht="41.4" hidden="1">
      <c r="A195" s="413"/>
      <c r="B195" s="414"/>
      <c r="C195" s="413" t="str">
        <f>'5.Tiên lượng'!C111</f>
        <v>LS.11110(ĐM.1322)</v>
      </c>
      <c r="D195" s="413"/>
      <c r="E195" s="415" t="str">
        <f>'5.Tiên lượng'!D111</f>
        <v>Cào bóc tái sinh nguội tại chỗ bằng máy cào bóc tái sinh WR2400 trên mặt đường láng nhựa, chiều dày 18cm (4% xi măng rải thủ công)</v>
      </c>
      <c r="F195" s="414" t="str">
        <f>'5.Tiên lượng'!E111</f>
        <v>100m3</v>
      </c>
      <c r="G195" s="416">
        <f>'5.Tiên lượng'!M111</f>
        <v>19.253299999999999</v>
      </c>
      <c r="H195" s="416">
        <f>PTVT!G387</f>
        <v>0.46600000000000003</v>
      </c>
      <c r="I195" s="416">
        <f>'5.Tiên lượng'!X111</f>
        <v>0.9</v>
      </c>
      <c r="J195" s="419">
        <f t="shared" ref="J195:J196" si="25">PRODUCT(G195,H195,I195)</f>
        <v>8.0748340200000008</v>
      </c>
      <c r="K195" s="420"/>
      <c r="L195" s="420"/>
      <c r="M195" s="420"/>
      <c r="N195" s="420"/>
      <c r="O195" s="420"/>
      <c r="P195" s="420"/>
      <c r="Q195" s="420"/>
      <c r="R195" s="420"/>
      <c r="S195" s="420"/>
      <c r="T195" s="420"/>
      <c r="U195" s="420"/>
      <c r="V195" s="420"/>
      <c r="W195" s="420"/>
      <c r="X195" s="420"/>
      <c r="Y195" s="420"/>
      <c r="Z195" s="420"/>
      <c r="AA195" s="420"/>
    </row>
    <row r="196" spans="1:27" s="410" customFormat="1" ht="41.4" hidden="1">
      <c r="A196" s="413"/>
      <c r="B196" s="414"/>
      <c r="C196" s="413" t="str">
        <f>'5.Tiên lượng'!C118</f>
        <v>LS.11110(ĐM.1322)</v>
      </c>
      <c r="D196" s="413"/>
      <c r="E196" s="415" t="str">
        <f>'5.Tiên lượng'!D118</f>
        <v>Cào bóc tái sinh nguội tại chỗ bằng máy cào bóc tái sinh WR2400 trên mặt đường láng nhựa, chiều dày 18cm (4% xi măng rải thủ công)</v>
      </c>
      <c r="F196" s="414" t="str">
        <f>'5.Tiên lượng'!E118</f>
        <v>100m3</v>
      </c>
      <c r="G196" s="416">
        <f>'5.Tiên lượng'!M118</f>
        <v>0.2389</v>
      </c>
      <c r="H196" s="416">
        <f>PTVT!G428</f>
        <v>0.46600000000000003</v>
      </c>
      <c r="I196" s="416">
        <f>'5.Tiên lượng'!X118</f>
        <v>0.9</v>
      </c>
      <c r="J196" s="419">
        <f t="shared" si="25"/>
        <v>0.10019466</v>
      </c>
      <c r="K196" s="420"/>
      <c r="L196" s="420"/>
      <c r="M196" s="420"/>
      <c r="N196" s="420"/>
      <c r="O196" s="420"/>
      <c r="P196" s="420"/>
      <c r="Q196" s="420"/>
      <c r="R196" s="420"/>
      <c r="S196" s="420"/>
      <c r="T196" s="420"/>
      <c r="U196" s="420"/>
      <c r="V196" s="420"/>
      <c r="W196" s="420"/>
      <c r="X196" s="420"/>
      <c r="Y196" s="420"/>
      <c r="Z196" s="420"/>
      <c r="AA196" s="420"/>
    </row>
    <row r="197" spans="1:27">
      <c r="A197" s="246" t="s">
        <v>759</v>
      </c>
      <c r="B197" s="265">
        <v>33</v>
      </c>
      <c r="C197" s="246" t="s">
        <v>608</v>
      </c>
      <c r="D197" s="246">
        <f>'Giá Máy'!D38</f>
        <v>0</v>
      </c>
      <c r="E197" s="266" t="str">
        <f>'Giá Máy'!E38</f>
        <v>Máy lu bánh hơi tự hành 16T</v>
      </c>
      <c r="F197" s="265" t="s">
        <v>926</v>
      </c>
      <c r="G197" s="417"/>
      <c r="H197" s="417"/>
      <c r="I197" s="417"/>
      <c r="J197" s="268">
        <f>SUM(J198:J198)</f>
        <v>1.1080484601769911</v>
      </c>
      <c r="K197" s="421">
        <f>'Giá Máy'!G38</f>
        <v>1498752.32622222</v>
      </c>
      <c r="L197" s="421">
        <f>J197*K197</f>
        <v>1660690.2072572142</v>
      </c>
      <c r="M197" s="422">
        <f>'Giá Máy'!H38</f>
        <v>1643216</v>
      </c>
      <c r="N197" s="421">
        <f>J197*M197</f>
        <v>1820762.9585381947</v>
      </c>
      <c r="O197" s="421">
        <f>M197-K197</f>
        <v>144463.67377778003</v>
      </c>
      <c r="P197" s="421">
        <f>J197*O197</f>
        <v>160072.75128098033</v>
      </c>
      <c r="Q197" s="421">
        <v>1</v>
      </c>
      <c r="R197" s="421">
        <f>M197*Q197</f>
        <v>1643216</v>
      </c>
      <c r="S197" s="421">
        <f>J197*R197</f>
        <v>1820762.9585381947</v>
      </c>
      <c r="T197" s="421">
        <v>-1498752.32622222</v>
      </c>
      <c r="U197" s="421">
        <v>-1660690.20725721</v>
      </c>
      <c r="V197" s="421">
        <f>'Giá Máy'!N38</f>
        <v>0</v>
      </c>
      <c r="W197" s="421">
        <f>J197*V197</f>
        <v>0</v>
      </c>
      <c r="X197" s="421">
        <f>'Giá Máy'!O38</f>
        <v>1553246.5422222223</v>
      </c>
      <c r="Y197" s="421">
        <f>J197*X197</f>
        <v>1721072.4393845692</v>
      </c>
      <c r="Z197" s="421">
        <f>X197-K197</f>
        <v>54494.216000002343</v>
      </c>
      <c r="AA197" s="421">
        <f>J197*Z197</f>
        <v>60382.232127354946</v>
      </c>
    </row>
    <row r="198" spans="1:27" s="410" customFormat="1" hidden="1">
      <c r="A198" s="413"/>
      <c r="B198" s="414"/>
      <c r="C198" s="413" t="str">
        <f>'5.Tiên lượng'!C36</f>
        <v>AD.11212</v>
      </c>
      <c r="D198" s="413"/>
      <c r="E198" s="415" t="str">
        <f>'5.Tiên lượng'!D36</f>
        <v>Thi công đắp cấp phối đá dăm loại 2</v>
      </c>
      <c r="F198" s="414" t="str">
        <f>'5.Tiên lượng'!E36</f>
        <v>100m3</v>
      </c>
      <c r="G198" s="416">
        <f>'5.Tiên lượng'!M36</f>
        <v>9.2337371681415927</v>
      </c>
      <c r="H198" s="416">
        <f>PTVT!G87</f>
        <v>0.12</v>
      </c>
      <c r="I198" s="416">
        <f>'5.Tiên lượng'!X36</f>
        <v>1</v>
      </c>
      <c r="J198" s="419">
        <f>PRODUCT(G198,H198,I198)</f>
        <v>1.1080484601769911</v>
      </c>
      <c r="K198" s="420"/>
      <c r="L198" s="420"/>
      <c r="M198" s="420"/>
      <c r="N198" s="420"/>
      <c r="O198" s="420"/>
      <c r="P198" s="420"/>
      <c r="Q198" s="420"/>
      <c r="R198" s="420"/>
      <c r="S198" s="420"/>
      <c r="T198" s="420"/>
      <c r="U198" s="420"/>
      <c r="V198" s="420"/>
      <c r="W198" s="420"/>
      <c r="X198" s="420"/>
      <c r="Y198" s="420"/>
      <c r="Z198" s="420"/>
      <c r="AA198" s="420"/>
    </row>
    <row r="199" spans="1:27">
      <c r="A199" s="246" t="s">
        <v>759</v>
      </c>
      <c r="B199" s="265">
        <v>34</v>
      </c>
      <c r="C199" s="246" t="s">
        <v>608</v>
      </c>
      <c r="D199" s="246">
        <f>'Giá Máy'!D38</f>
        <v>0</v>
      </c>
      <c r="E199" s="266" t="str">
        <f>'Giá Máy'!E38</f>
        <v>Máy lu bánh hơi tự hành 16T</v>
      </c>
      <c r="F199" s="265" t="s">
        <v>926</v>
      </c>
      <c r="G199" s="417"/>
      <c r="H199" s="417"/>
      <c r="I199" s="417"/>
      <c r="J199" s="268">
        <f>SUM(J200:J207)</f>
        <v>11.01804456</v>
      </c>
      <c r="K199" s="421">
        <f>'Giá Máy'!G38</f>
        <v>1498752.32622222</v>
      </c>
      <c r="L199" s="421">
        <f>J199*K199</f>
        <v>16513319.914720075</v>
      </c>
      <c r="M199" s="421">
        <f>'Giá Máy'!H38</f>
        <v>1643216</v>
      </c>
      <c r="N199" s="421">
        <f>J199*M199</f>
        <v>18105027.10970496</v>
      </c>
      <c r="O199" s="421">
        <f>M199-K199</f>
        <v>144463.67377778003</v>
      </c>
      <c r="P199" s="421">
        <f>J199*O199</f>
        <v>1591707.194984884</v>
      </c>
      <c r="Q199" s="421">
        <v>1</v>
      </c>
      <c r="R199" s="421">
        <f>M199*Q199</f>
        <v>1643216</v>
      </c>
      <c r="S199" s="421">
        <f>J199*R199</f>
        <v>18105027.10970496</v>
      </c>
      <c r="T199" s="421">
        <v>144463.67377778</v>
      </c>
      <c r="U199" s="421">
        <v>1725181.55754822</v>
      </c>
      <c r="V199" s="421">
        <f>'Giá Máy'!N38</f>
        <v>0</v>
      </c>
      <c r="W199" s="421">
        <f>J199*V199</f>
        <v>0</v>
      </c>
      <c r="X199" s="421">
        <f>'Giá Máy'!O38</f>
        <v>1553246.5422222223</v>
      </c>
      <c r="Y199" s="421">
        <f>J199*X199</f>
        <v>17113739.614870366</v>
      </c>
      <c r="Z199" s="421">
        <f>X199-K199</f>
        <v>54494.216000002343</v>
      </c>
      <c r="AA199" s="421">
        <f>J199*Z199</f>
        <v>600419.70015029074</v>
      </c>
    </row>
    <row r="200" spans="1:27" s="410" customFormat="1" hidden="1">
      <c r="A200" s="413"/>
      <c r="B200" s="414"/>
      <c r="C200" s="413" t="str">
        <f>'5.Tiên lượng'!C51</f>
        <v>AD.11212</v>
      </c>
      <c r="D200" s="413"/>
      <c r="E200" s="415" t="str">
        <f>'5.Tiên lượng'!D51</f>
        <v xml:space="preserve">Thi công móng cấp phối đá dăm lớp dưới </v>
      </c>
      <c r="F200" s="414" t="str">
        <f>'5.Tiên lượng'!E51</f>
        <v>100m3</v>
      </c>
      <c r="G200" s="416">
        <f>'5.Tiên lượng'!M51</f>
        <v>1.3379759999999998</v>
      </c>
      <c r="H200" s="416">
        <f>PTVT!G143</f>
        <v>0.12</v>
      </c>
      <c r="I200" s="416">
        <f>'5.Tiên lượng'!X51</f>
        <v>1</v>
      </c>
      <c r="J200" s="419">
        <f t="shared" ref="J200:J207" si="26">PRODUCT(G200,H200,I200)</f>
        <v>0.16055711999999997</v>
      </c>
      <c r="K200" s="420"/>
      <c r="L200" s="420"/>
      <c r="M200" s="420"/>
      <c r="N200" s="420"/>
      <c r="O200" s="420"/>
      <c r="P200" s="420"/>
      <c r="Q200" s="420"/>
      <c r="R200" s="420"/>
      <c r="S200" s="420"/>
      <c r="T200" s="420"/>
      <c r="U200" s="420"/>
      <c r="V200" s="420"/>
      <c r="W200" s="420"/>
      <c r="X200" s="420"/>
      <c r="Y200" s="420"/>
      <c r="Z200" s="420"/>
      <c r="AA200" s="420"/>
    </row>
    <row r="201" spans="1:27" s="410" customFormat="1" hidden="1">
      <c r="A201" s="413"/>
      <c r="B201" s="414"/>
      <c r="C201" s="413" t="str">
        <f>'5.Tiên lượng'!C53</f>
        <v>AD.11212</v>
      </c>
      <c r="D201" s="413"/>
      <c r="E201" s="415" t="str">
        <f>'5.Tiên lượng'!D53</f>
        <v xml:space="preserve">Thi công móng cấp phối đá dăm lớp dưới </v>
      </c>
      <c r="F201" s="414" t="str">
        <f>'5.Tiên lượng'!E53</f>
        <v>100m3</v>
      </c>
      <c r="G201" s="416">
        <f>'5.Tiên lượng'!M53</f>
        <v>1.7016</v>
      </c>
      <c r="H201" s="416">
        <f>PTVT!G155</f>
        <v>0.12</v>
      </c>
      <c r="I201" s="416">
        <f>'5.Tiên lượng'!X53</f>
        <v>1</v>
      </c>
      <c r="J201" s="419">
        <f t="shared" si="26"/>
        <v>0.20419199999999998</v>
      </c>
      <c r="K201" s="420"/>
      <c r="L201" s="420"/>
      <c r="M201" s="420"/>
      <c r="N201" s="420"/>
      <c r="O201" s="420"/>
      <c r="P201" s="420"/>
      <c r="Q201" s="420"/>
      <c r="R201" s="420"/>
      <c r="S201" s="420"/>
      <c r="T201" s="420"/>
      <c r="U201" s="420"/>
      <c r="V201" s="420"/>
      <c r="W201" s="420"/>
      <c r="X201" s="420"/>
      <c r="Y201" s="420"/>
      <c r="Z201" s="420"/>
      <c r="AA201" s="420"/>
    </row>
    <row r="202" spans="1:27" s="410" customFormat="1" hidden="1">
      <c r="A202" s="413"/>
      <c r="B202" s="414"/>
      <c r="C202" s="413" t="str">
        <f>'5.Tiên lượng'!C63</f>
        <v>AD.11212</v>
      </c>
      <c r="D202" s="413"/>
      <c r="E202" s="415" t="str">
        <f>'5.Tiên lượng'!D63</f>
        <v xml:space="preserve">Thi công móng cấp phối đá dăm lớp dưới </v>
      </c>
      <c r="F202" s="414" t="str">
        <f>'5.Tiên lượng'!E63</f>
        <v>100m3</v>
      </c>
      <c r="G202" s="416">
        <f>'5.Tiên lượng'!M63</f>
        <v>7.6583999999999999E-2</v>
      </c>
      <c r="H202" s="416">
        <f>PTVT!G200</f>
        <v>0.12</v>
      </c>
      <c r="I202" s="416">
        <f>'5.Tiên lượng'!X63</f>
        <v>1</v>
      </c>
      <c r="J202" s="419">
        <f t="shared" si="26"/>
        <v>9.1900799999999998E-3</v>
      </c>
      <c r="K202" s="420"/>
      <c r="L202" s="420"/>
      <c r="M202" s="420"/>
      <c r="N202" s="420"/>
      <c r="O202" s="420"/>
      <c r="P202" s="420"/>
      <c r="Q202" s="420"/>
      <c r="R202" s="420"/>
      <c r="S202" s="420"/>
      <c r="T202" s="420"/>
      <c r="U202" s="420"/>
      <c r="V202" s="420"/>
      <c r="W202" s="420"/>
      <c r="X202" s="420"/>
      <c r="Y202" s="420"/>
      <c r="Z202" s="420"/>
      <c r="AA202" s="420"/>
    </row>
    <row r="203" spans="1:27" s="410" customFormat="1" hidden="1">
      <c r="A203" s="413"/>
      <c r="B203" s="414"/>
      <c r="C203" s="413" t="str">
        <f>'5.Tiên lượng'!C99</f>
        <v>AD.11212</v>
      </c>
      <c r="D203" s="413"/>
      <c r="E203" s="415" t="str">
        <f>'5.Tiên lượng'!D99</f>
        <v xml:space="preserve">Thi công móng cấp phối đá dăm lớp dưới </v>
      </c>
      <c r="F203" s="414" t="str">
        <f>'5.Tiên lượng'!E99</f>
        <v>100m3</v>
      </c>
      <c r="G203" s="416">
        <f>'5.Tiên lượng'!M99</f>
        <v>4.3350070000000001</v>
      </c>
      <c r="H203" s="416">
        <f>PTVT!G331</f>
        <v>0.12</v>
      </c>
      <c r="I203" s="416">
        <f>'5.Tiên lượng'!X99</f>
        <v>1</v>
      </c>
      <c r="J203" s="419">
        <f t="shared" si="26"/>
        <v>0.52020084</v>
      </c>
      <c r="K203" s="420"/>
      <c r="L203" s="420"/>
      <c r="M203" s="420"/>
      <c r="N203" s="420"/>
      <c r="O203" s="420"/>
      <c r="P203" s="420"/>
      <c r="Q203" s="420"/>
      <c r="R203" s="420"/>
      <c r="S203" s="420"/>
      <c r="T203" s="420"/>
      <c r="U203" s="420"/>
      <c r="V203" s="420"/>
      <c r="W203" s="420"/>
      <c r="X203" s="420"/>
      <c r="Y203" s="420"/>
      <c r="Z203" s="420"/>
      <c r="AA203" s="420"/>
    </row>
    <row r="204" spans="1:27" s="410" customFormat="1" ht="27.6" hidden="1">
      <c r="A204" s="413"/>
      <c r="B204" s="414"/>
      <c r="C204" s="413" t="str">
        <f>'5.Tiên lượng'!C105</f>
        <v>AD.11212(VD)</v>
      </c>
      <c r="D204" s="413"/>
      <c r="E204" s="415" t="str">
        <f>'5.Tiên lượng'!D105</f>
        <v>Bù vật liệu (trên mặt đường cũ lồi lõm) bằng cấp phối đá dăm loại 2 (không lu)</v>
      </c>
      <c r="F204" s="414" t="str">
        <f>'5.Tiên lượng'!E105</f>
        <v>100m3</v>
      </c>
      <c r="G204" s="416">
        <f>'5.Tiên lượng'!M105</f>
        <v>10.24</v>
      </c>
      <c r="H204" s="416">
        <f>PTVT!G352</f>
        <v>0.12</v>
      </c>
      <c r="I204" s="416">
        <f>'5.Tiên lượng'!X105</f>
        <v>1</v>
      </c>
      <c r="J204" s="419">
        <f t="shared" si="26"/>
        <v>1.2287999999999999</v>
      </c>
      <c r="K204" s="420"/>
      <c r="L204" s="420"/>
      <c r="M204" s="420"/>
      <c r="N204" s="420"/>
      <c r="O204" s="420"/>
      <c r="P204" s="420"/>
      <c r="Q204" s="420"/>
      <c r="R204" s="420"/>
      <c r="S204" s="420"/>
      <c r="T204" s="420"/>
      <c r="U204" s="420"/>
      <c r="V204" s="420"/>
      <c r="W204" s="420"/>
      <c r="X204" s="420"/>
      <c r="Y204" s="420"/>
      <c r="Z204" s="420"/>
      <c r="AA204" s="420"/>
    </row>
    <row r="205" spans="1:27" s="410" customFormat="1" ht="27.6" hidden="1">
      <c r="A205" s="413"/>
      <c r="B205" s="414"/>
      <c r="C205" s="413" t="str">
        <f>'5.Tiên lượng'!C109</f>
        <v>AD.11212</v>
      </c>
      <c r="D205" s="413"/>
      <c r="E205" s="415" t="str">
        <f>'5.Tiên lượng'!D109</f>
        <v>Bù trả vật liệu phần cạp mở rộng bằng cấp phối đá dăm loại 2 dày 18cm (không lu)</v>
      </c>
      <c r="F205" s="414" t="str">
        <f>'5.Tiên lượng'!E109</f>
        <v>100m3</v>
      </c>
      <c r="G205" s="416">
        <f>'5.Tiên lượng'!M109</f>
        <v>4.8311000000000002</v>
      </c>
      <c r="H205" s="416">
        <f>PTVT!G370</f>
        <v>0.12</v>
      </c>
      <c r="I205" s="416">
        <f>'5.Tiên lượng'!X109</f>
        <v>1</v>
      </c>
      <c r="J205" s="419">
        <f t="shared" si="26"/>
        <v>0.57973200000000003</v>
      </c>
      <c r="K205" s="420"/>
      <c r="L205" s="420"/>
      <c r="M205" s="420"/>
      <c r="N205" s="420"/>
      <c r="O205" s="420"/>
      <c r="P205" s="420"/>
      <c r="Q205" s="420"/>
      <c r="R205" s="420"/>
      <c r="S205" s="420"/>
      <c r="T205" s="420"/>
      <c r="U205" s="420"/>
      <c r="V205" s="420"/>
      <c r="W205" s="420"/>
      <c r="X205" s="420"/>
      <c r="Y205" s="420"/>
      <c r="Z205" s="420"/>
      <c r="AA205" s="420"/>
    </row>
    <row r="206" spans="1:27" s="410" customFormat="1" ht="41.4" hidden="1">
      <c r="A206" s="413"/>
      <c r="B206" s="414"/>
      <c r="C206" s="413" t="str">
        <f>'5.Tiên lượng'!C111</f>
        <v>LS.11110(ĐM.1322)</v>
      </c>
      <c r="D206" s="413"/>
      <c r="E206" s="415" t="str">
        <f>'5.Tiên lượng'!D111</f>
        <v>Cào bóc tái sinh nguội tại chỗ bằng máy cào bóc tái sinh WR2400 trên mặt đường láng nhựa, chiều dày 18cm (4% xi măng rải thủ công)</v>
      </c>
      <c r="F206" s="414" t="str">
        <f>'5.Tiên lượng'!E111</f>
        <v>100m3</v>
      </c>
      <c r="G206" s="416">
        <f>'5.Tiên lượng'!M111</f>
        <v>19.253299999999999</v>
      </c>
      <c r="H206" s="416">
        <f>PTVT!G390</f>
        <v>0.47399999999999998</v>
      </c>
      <c r="I206" s="416">
        <f>'5.Tiên lượng'!X111</f>
        <v>0.9</v>
      </c>
      <c r="J206" s="419">
        <f t="shared" si="26"/>
        <v>8.2134577800000006</v>
      </c>
      <c r="K206" s="420"/>
      <c r="L206" s="420"/>
      <c r="M206" s="420"/>
      <c r="N206" s="420"/>
      <c r="O206" s="420"/>
      <c r="P206" s="420"/>
      <c r="Q206" s="420"/>
      <c r="R206" s="420"/>
      <c r="S206" s="420"/>
      <c r="T206" s="420"/>
      <c r="U206" s="420"/>
      <c r="V206" s="420"/>
      <c r="W206" s="420"/>
      <c r="X206" s="420"/>
      <c r="Y206" s="420"/>
      <c r="Z206" s="420"/>
      <c r="AA206" s="420"/>
    </row>
    <row r="207" spans="1:27" s="410" customFormat="1" ht="41.4" hidden="1">
      <c r="A207" s="413"/>
      <c r="B207" s="414"/>
      <c r="C207" s="413" t="str">
        <f>'5.Tiên lượng'!C118</f>
        <v>LS.11110(ĐM.1322)</v>
      </c>
      <c r="D207" s="413"/>
      <c r="E207" s="415" t="str">
        <f>'5.Tiên lượng'!D118</f>
        <v>Cào bóc tái sinh nguội tại chỗ bằng máy cào bóc tái sinh WR2400 trên mặt đường láng nhựa, chiều dày 18cm (4% xi măng rải thủ công)</v>
      </c>
      <c r="F207" s="414" t="str">
        <f>'5.Tiên lượng'!E118</f>
        <v>100m3</v>
      </c>
      <c r="G207" s="416">
        <f>'5.Tiên lượng'!M118</f>
        <v>0.2389</v>
      </c>
      <c r="H207" s="416">
        <f>PTVT!G431</f>
        <v>0.47399999999999998</v>
      </c>
      <c r="I207" s="416">
        <f>'5.Tiên lượng'!X118</f>
        <v>0.9</v>
      </c>
      <c r="J207" s="419">
        <f t="shared" si="26"/>
        <v>0.10191474</v>
      </c>
      <c r="K207" s="420"/>
      <c r="L207" s="420"/>
      <c r="M207" s="420"/>
      <c r="N207" s="420"/>
      <c r="O207" s="420"/>
      <c r="P207" s="420"/>
      <c r="Q207" s="420"/>
      <c r="R207" s="420"/>
      <c r="S207" s="420"/>
      <c r="T207" s="420"/>
      <c r="U207" s="420"/>
      <c r="V207" s="420"/>
      <c r="W207" s="420"/>
      <c r="X207" s="420"/>
      <c r="Y207" s="420"/>
      <c r="Z207" s="420"/>
      <c r="AA207" s="420"/>
    </row>
    <row r="208" spans="1:27">
      <c r="A208" s="246" t="s">
        <v>759</v>
      </c>
      <c r="B208" s="265">
        <v>35</v>
      </c>
      <c r="C208" s="246" t="s">
        <v>651</v>
      </c>
      <c r="D208" s="246">
        <f>'Giá Máy'!D39</f>
        <v>0</v>
      </c>
      <c r="E208" s="266" t="str">
        <f>'Giá Máy'!E39</f>
        <v>Máy lu bánh thép tự hành 8,5T</v>
      </c>
      <c r="F208" s="265" t="s">
        <v>926</v>
      </c>
      <c r="G208" s="417"/>
      <c r="H208" s="417"/>
      <c r="I208" s="417"/>
      <c r="J208" s="268">
        <f>SUM(J209:J210)</f>
        <v>27.9387942</v>
      </c>
      <c r="K208" s="421">
        <f>'Giá Máy'!G39</f>
        <v>965860.19200000004</v>
      </c>
      <c r="L208" s="421">
        <f>J208*K208</f>
        <v>26984969.130260486</v>
      </c>
      <c r="M208" s="421">
        <f>'Giá Máy'!H39</f>
        <v>1057100</v>
      </c>
      <c r="N208" s="421">
        <f>J208*M208</f>
        <v>29534099.348820001</v>
      </c>
      <c r="O208" s="421">
        <f>M208-K208</f>
        <v>91239.807999999961</v>
      </c>
      <c r="P208" s="421">
        <f>J208*O208</f>
        <v>2549130.2185595124</v>
      </c>
      <c r="Q208" s="421">
        <v>1</v>
      </c>
      <c r="R208" s="421">
        <f>M208*Q208</f>
        <v>1057100</v>
      </c>
      <c r="S208" s="421">
        <f>J208*R208</f>
        <v>29534099.348820001</v>
      </c>
      <c r="T208" s="421">
        <v>91239.808000000005</v>
      </c>
      <c r="U208" s="421">
        <v>2549130.2185595101</v>
      </c>
      <c r="V208" s="421">
        <f>'Giá Máy'!N39</f>
        <v>0</v>
      </c>
      <c r="W208" s="421">
        <f>J208*V208</f>
        <v>0</v>
      </c>
      <c r="X208" s="421">
        <f>'Giá Máy'!O39</f>
        <v>1009475.96</v>
      </c>
      <c r="Y208" s="421">
        <f>J208*X208</f>
        <v>28203541.096287433</v>
      </c>
      <c r="Z208" s="421">
        <f>X208-K208</f>
        <v>43615.767999999924</v>
      </c>
      <c r="AA208" s="421">
        <f>J208*Z208</f>
        <v>1218571.9660269434</v>
      </c>
    </row>
    <row r="209" spans="1:27" s="410" customFormat="1" ht="27.6" hidden="1">
      <c r="A209" s="413"/>
      <c r="B209" s="414"/>
      <c r="C209" s="413" t="str">
        <f>'5.Tiên lượng'!C115</f>
        <v>AD.24132</v>
      </c>
      <c r="D209" s="413"/>
      <c r="E209" s="415" t="str">
        <f>'5.Tiên lượng'!D115</f>
        <v>Thi công mặt đường láng nhũ tương 03 lớp - Tiêu chuẩn nhựa 4,5kg/m2</v>
      </c>
      <c r="F209" s="414" t="str">
        <f>'5.Tiên lượng'!E115</f>
        <v>100m2</v>
      </c>
      <c r="G209" s="416">
        <f>'5.Tiên lượng'!M115</f>
        <v>106.9627</v>
      </c>
      <c r="H209" s="416">
        <f>PTVT!G411</f>
        <v>0.25800000000000001</v>
      </c>
      <c r="I209" s="416">
        <f>'5.Tiên lượng'!X115</f>
        <v>1</v>
      </c>
      <c r="J209" s="419">
        <f t="shared" ref="J209:J210" si="27">PRODUCT(G209,H209,I209)</f>
        <v>27.596376599999999</v>
      </c>
      <c r="K209" s="420"/>
      <c r="L209" s="420"/>
      <c r="M209" s="420"/>
      <c r="N209" s="420"/>
      <c r="O209" s="420"/>
      <c r="P209" s="420"/>
      <c r="Q209" s="420"/>
      <c r="R209" s="420"/>
      <c r="S209" s="420"/>
      <c r="T209" s="420"/>
      <c r="U209" s="420"/>
      <c r="V209" s="420"/>
      <c r="W209" s="420"/>
      <c r="X209" s="420"/>
      <c r="Y209" s="420"/>
      <c r="Z209" s="420"/>
      <c r="AA209" s="420"/>
    </row>
    <row r="210" spans="1:27" s="410" customFormat="1" ht="27.6" hidden="1">
      <c r="A210" s="413"/>
      <c r="B210" s="414"/>
      <c r="C210" s="413" t="str">
        <f>'5.Tiên lượng'!C122</f>
        <v>AD.24132</v>
      </c>
      <c r="D210" s="413"/>
      <c r="E210" s="415" t="str">
        <f>'5.Tiên lượng'!D122</f>
        <v>Thi công mặt đường láng nhũ tương 03 lớp - Tiêu chuẩn nhựa 4,5kg/m2</v>
      </c>
      <c r="F210" s="414" t="str">
        <f>'5.Tiên lượng'!E122</f>
        <v>100m2</v>
      </c>
      <c r="G210" s="416">
        <f>'5.Tiên lượng'!M122</f>
        <v>1.3271999999999999</v>
      </c>
      <c r="H210" s="416">
        <f>PTVT!G452</f>
        <v>0.25800000000000001</v>
      </c>
      <c r="I210" s="416">
        <f>'5.Tiên lượng'!X122</f>
        <v>1</v>
      </c>
      <c r="J210" s="419">
        <f t="shared" si="27"/>
        <v>0.34241759999999999</v>
      </c>
      <c r="K210" s="420"/>
      <c r="L210" s="420"/>
      <c r="M210" s="420"/>
      <c r="N210" s="420"/>
      <c r="O210" s="420"/>
      <c r="P210" s="420"/>
      <c r="Q210" s="420"/>
      <c r="R210" s="420"/>
      <c r="S210" s="420"/>
      <c r="T210" s="420"/>
      <c r="U210" s="420"/>
      <c r="V210" s="420"/>
      <c r="W210" s="420"/>
      <c r="X210" s="420"/>
      <c r="Y210" s="420"/>
      <c r="Z210" s="420"/>
      <c r="AA210" s="420"/>
    </row>
    <row r="211" spans="1:27">
      <c r="A211" s="246" t="s">
        <v>759</v>
      </c>
      <c r="B211" s="265">
        <v>36</v>
      </c>
      <c r="C211" s="246" t="s">
        <v>642</v>
      </c>
      <c r="D211" s="246">
        <f>'Giá Máy'!D40</f>
        <v>0</v>
      </c>
      <c r="E211" s="266" t="str">
        <f>'Giá Máy'!E40</f>
        <v>Ô tô tưới nước 10m3</v>
      </c>
      <c r="F211" s="265" t="s">
        <v>926</v>
      </c>
      <c r="G211" s="417"/>
      <c r="H211" s="417"/>
      <c r="I211" s="417"/>
      <c r="J211" s="268">
        <f>SUM(J212:J213)</f>
        <v>11.087163359999998</v>
      </c>
      <c r="K211" s="421">
        <f>'Giá Máy'!G40</f>
        <v>1468502.9323076899</v>
      </c>
      <c r="L211" s="421">
        <f>J211*K211</f>
        <v>16281531.905134378</v>
      </c>
      <c r="M211" s="421">
        <f>'Giá Máy'!H40</f>
        <v>1582553</v>
      </c>
      <c r="N211" s="421">
        <f>J211*M211</f>
        <v>17546023.636858076</v>
      </c>
      <c r="O211" s="421">
        <f>M211-K211</f>
        <v>114050.06769231008</v>
      </c>
      <c r="P211" s="421">
        <f>J211*O211</f>
        <v>1264491.7317237</v>
      </c>
      <c r="Q211" s="421">
        <v>1</v>
      </c>
      <c r="R211" s="421">
        <f>M211*Q211</f>
        <v>1582553</v>
      </c>
      <c r="S211" s="421">
        <f>J211*R211</f>
        <v>17546023.636858076</v>
      </c>
      <c r="T211" s="421">
        <v>114050.06769231</v>
      </c>
      <c r="U211" s="421">
        <v>1404990.81302633</v>
      </c>
      <c r="V211" s="421">
        <f>'Giá Máy'!N40</f>
        <v>0</v>
      </c>
      <c r="W211" s="421">
        <f>J211*V211</f>
        <v>0</v>
      </c>
      <c r="X211" s="421">
        <f>'Giá Máy'!O40</f>
        <v>1491813.8923076922</v>
      </c>
      <c r="Y211" s="421">
        <f>J211*X211</f>
        <v>16539984.326732827</v>
      </c>
      <c r="Z211" s="421">
        <f>X211-K211</f>
        <v>23310.960000002291</v>
      </c>
      <c r="AA211" s="421">
        <f>J211*Z211</f>
        <v>258452.42159845095</v>
      </c>
    </row>
    <row r="212" spans="1:27" s="410" customFormat="1" ht="41.4" hidden="1">
      <c r="A212" s="413"/>
      <c r="B212" s="414"/>
      <c r="C212" s="413" t="str">
        <f>'5.Tiên lượng'!C111</f>
        <v>LS.11110(ĐM.1322)</v>
      </c>
      <c r="D212" s="413"/>
      <c r="E212" s="415" t="str">
        <f>'5.Tiên lượng'!D111</f>
        <v>Cào bóc tái sinh nguội tại chỗ bằng máy cào bóc tái sinh WR2400 trên mặt đường láng nhựa, chiều dày 18cm (4% xi măng rải thủ công)</v>
      </c>
      <c r="F212" s="414" t="str">
        <f>'5.Tiên lượng'!E111</f>
        <v>100m3</v>
      </c>
      <c r="G212" s="416">
        <f>'5.Tiên lượng'!M111</f>
        <v>19.253299999999999</v>
      </c>
      <c r="H212" s="416">
        <f>PTVT!G386</f>
        <v>0.63200000000000001</v>
      </c>
      <c r="I212" s="416">
        <f>'5.Tiên lượng'!X111</f>
        <v>0.9</v>
      </c>
      <c r="J212" s="419">
        <f t="shared" ref="J212:J213" si="28">PRODUCT(G212,H212,I212)</f>
        <v>10.951277039999999</v>
      </c>
      <c r="K212" s="420"/>
      <c r="L212" s="420"/>
      <c r="M212" s="420"/>
      <c r="N212" s="420"/>
      <c r="O212" s="420"/>
      <c r="P212" s="420"/>
      <c r="Q212" s="420"/>
      <c r="R212" s="420"/>
      <c r="S212" s="420"/>
      <c r="T212" s="420"/>
      <c r="U212" s="420"/>
      <c r="V212" s="420"/>
      <c r="W212" s="420"/>
      <c r="X212" s="420"/>
      <c r="Y212" s="420"/>
      <c r="Z212" s="420"/>
      <c r="AA212" s="420"/>
    </row>
    <row r="213" spans="1:27" s="410" customFormat="1" ht="41.4" hidden="1">
      <c r="A213" s="413"/>
      <c r="B213" s="414"/>
      <c r="C213" s="413" t="str">
        <f>'5.Tiên lượng'!C118</f>
        <v>LS.11110(ĐM.1322)</v>
      </c>
      <c r="D213" s="413"/>
      <c r="E213" s="415" t="str">
        <f>'5.Tiên lượng'!D118</f>
        <v>Cào bóc tái sinh nguội tại chỗ bằng máy cào bóc tái sinh WR2400 trên mặt đường láng nhựa, chiều dày 18cm (4% xi măng rải thủ công)</v>
      </c>
      <c r="F213" s="414" t="str">
        <f>'5.Tiên lượng'!E118</f>
        <v>100m3</v>
      </c>
      <c r="G213" s="416">
        <f>'5.Tiên lượng'!M118</f>
        <v>0.2389</v>
      </c>
      <c r="H213" s="416">
        <f>PTVT!G427</f>
        <v>0.63200000000000001</v>
      </c>
      <c r="I213" s="416">
        <f>'5.Tiên lượng'!X118</f>
        <v>0.9</v>
      </c>
      <c r="J213" s="419">
        <f t="shared" si="28"/>
        <v>0.13588632</v>
      </c>
      <c r="K213" s="420"/>
      <c r="L213" s="420"/>
      <c r="M213" s="420"/>
      <c r="N213" s="420"/>
      <c r="O213" s="420"/>
      <c r="P213" s="420"/>
      <c r="Q213" s="420"/>
      <c r="R213" s="420"/>
      <c r="S213" s="420"/>
      <c r="T213" s="420"/>
      <c r="U213" s="420"/>
      <c r="V213" s="420"/>
      <c r="W213" s="420"/>
      <c r="X213" s="420"/>
      <c r="Y213" s="420"/>
      <c r="Z213" s="420"/>
      <c r="AA213" s="420"/>
    </row>
    <row r="214" spans="1:27">
      <c r="A214" s="246" t="s">
        <v>759</v>
      </c>
      <c r="B214" s="265">
        <v>37</v>
      </c>
      <c r="C214" s="246" t="s">
        <v>638</v>
      </c>
      <c r="D214" s="246">
        <f>'Giá Máy'!D41</f>
        <v>0</v>
      </c>
      <c r="E214" s="266" t="str">
        <f>'Giá Máy'!E41</f>
        <v>Máy lu bánh thép 9T</v>
      </c>
      <c r="F214" s="265" t="s">
        <v>926</v>
      </c>
      <c r="G214" s="417"/>
      <c r="H214" s="417"/>
      <c r="I214" s="417"/>
      <c r="J214" s="268">
        <f>SUM(J215:J216)</f>
        <v>3.5786490599999996</v>
      </c>
      <c r="K214" s="421">
        <f>'Giá Máy'!G41</f>
        <v>965860.19200000004</v>
      </c>
      <c r="L214" s="421">
        <f>J214*K214</f>
        <v>3456474.6681922195</v>
      </c>
      <c r="M214" s="421">
        <f>'Giá Máy'!H41</f>
        <v>1057100</v>
      </c>
      <c r="N214" s="421">
        <f>J214*M214</f>
        <v>3782989.9213259998</v>
      </c>
      <c r="O214" s="421">
        <f>M214-K214</f>
        <v>91239.807999999961</v>
      </c>
      <c r="P214" s="421">
        <f>J214*O214</f>
        <v>326515.25313378032</v>
      </c>
      <c r="Q214" s="421">
        <v>1</v>
      </c>
      <c r="R214" s="421">
        <f>M214*Q214</f>
        <v>1057100</v>
      </c>
      <c r="S214" s="421">
        <f>J214*R214</f>
        <v>3782989.9213259998</v>
      </c>
      <c r="T214" s="421">
        <v>91239.808000000005</v>
      </c>
      <c r="U214" s="421">
        <v>326515.25313377997</v>
      </c>
      <c r="V214" s="421">
        <f>'Giá Máy'!N41</f>
        <v>0</v>
      </c>
      <c r="W214" s="421">
        <f>J214*V214</f>
        <v>0</v>
      </c>
      <c r="X214" s="421">
        <f>'Giá Máy'!O41</f>
        <v>1009475.96</v>
      </c>
      <c r="Y214" s="421">
        <f>J214*X214</f>
        <v>3612560.1953465971</v>
      </c>
      <c r="Z214" s="421">
        <f>X214-K214</f>
        <v>43615.767999999924</v>
      </c>
      <c r="AA214" s="421">
        <f>J214*Z214</f>
        <v>156085.52715437778</v>
      </c>
    </row>
    <row r="215" spans="1:27" s="410" customFormat="1" ht="27.6" hidden="1">
      <c r="A215" s="413"/>
      <c r="B215" s="414"/>
      <c r="C215" s="413" t="str">
        <f>'5.Tiên lượng'!C101</f>
        <v>AB.64113</v>
      </c>
      <c r="D215" s="413"/>
      <c r="E215" s="415" t="str">
        <f>'5.Tiên lượng'!D101</f>
        <v>Đắp nền đường bằng máy lu bánh thép 9T, máy ủi 110CV, độ chặt Y/C K = 0,95</v>
      </c>
      <c r="F215" s="414" t="str">
        <f>'5.Tiên lượng'!E101</f>
        <v>100m3</v>
      </c>
      <c r="G215" s="416">
        <f>'5.Tiên lượng'!M101</f>
        <v>8.2415929999999999</v>
      </c>
      <c r="H215" s="416">
        <f>PTVT!G339</f>
        <v>0.42</v>
      </c>
      <c r="I215" s="416">
        <f>'5.Tiên lượng'!X101</f>
        <v>1</v>
      </c>
      <c r="J215" s="419">
        <f t="shared" ref="J215:J216" si="29">PRODUCT(G215,H215,I215)</f>
        <v>3.4614690599999998</v>
      </c>
      <c r="K215" s="420"/>
      <c r="L215" s="420"/>
      <c r="M215" s="420"/>
      <c r="N215" s="420"/>
      <c r="O215" s="420"/>
      <c r="P215" s="420"/>
      <c r="Q215" s="420"/>
      <c r="R215" s="420"/>
      <c r="S215" s="420"/>
      <c r="T215" s="420"/>
      <c r="U215" s="420"/>
      <c r="V215" s="420"/>
      <c r="W215" s="420"/>
      <c r="X215" s="420"/>
      <c r="Y215" s="420"/>
      <c r="Z215" s="420"/>
      <c r="AA215" s="420"/>
    </row>
    <row r="216" spans="1:27" s="410" customFormat="1" ht="27.6" hidden="1">
      <c r="A216" s="413"/>
      <c r="B216" s="414"/>
      <c r="C216" s="413" t="str">
        <f>'5.Tiên lượng'!C149</f>
        <v>AB.64113</v>
      </c>
      <c r="D216" s="413"/>
      <c r="E216" s="415" t="str">
        <f>'5.Tiên lượng'!D149</f>
        <v>Đắp nền đường bằng máy lu bánh thép 9T, máy ủi 110CV, độ chặt Y/C K = 0,95</v>
      </c>
      <c r="F216" s="414" t="str">
        <f>'5.Tiên lượng'!E149</f>
        <v>100m3</v>
      </c>
      <c r="G216" s="416">
        <f>'5.Tiên lượng'!M149</f>
        <v>0.27899999999999997</v>
      </c>
      <c r="H216" s="416">
        <f>PTVT!G588</f>
        <v>0.42</v>
      </c>
      <c r="I216" s="416">
        <f>'5.Tiên lượng'!X149</f>
        <v>1</v>
      </c>
      <c r="J216" s="419">
        <f t="shared" si="29"/>
        <v>0.11717999999999998</v>
      </c>
      <c r="K216" s="420"/>
      <c r="L216" s="420"/>
      <c r="M216" s="420"/>
      <c r="N216" s="420"/>
      <c r="O216" s="420"/>
      <c r="P216" s="420"/>
      <c r="Q216" s="420"/>
      <c r="R216" s="420"/>
      <c r="S216" s="420"/>
      <c r="T216" s="420"/>
      <c r="U216" s="420"/>
      <c r="V216" s="420"/>
      <c r="W216" s="420"/>
      <c r="X216" s="420"/>
      <c r="Y216" s="420"/>
      <c r="Z216" s="420"/>
      <c r="AA216" s="420"/>
    </row>
    <row r="217" spans="1:27">
      <c r="A217" s="246" t="s">
        <v>759</v>
      </c>
      <c r="B217" s="265">
        <v>38</v>
      </c>
      <c r="C217" s="246" t="s">
        <v>613</v>
      </c>
      <c r="D217" s="246">
        <f>'Giá Máy'!D42</f>
        <v>0</v>
      </c>
      <c r="E217" s="266" t="str">
        <f>'Giá Máy'!E42</f>
        <v>Máy lu bánh thép 16T</v>
      </c>
      <c r="F217" s="265" t="s">
        <v>926</v>
      </c>
      <c r="G217" s="417"/>
      <c r="H217" s="417"/>
      <c r="I217" s="417"/>
      <c r="J217" s="268">
        <f>SUM(J218:J218)</f>
        <v>1.5387765486725664</v>
      </c>
      <c r="K217" s="421">
        <f>'Giá Máy'!G42</f>
        <v>1318899.50711111</v>
      </c>
      <c r="L217" s="421">
        <f>J217*K217</f>
        <v>2029491.631598383</v>
      </c>
      <c r="M217" s="421">
        <f>'Giá Máy'!H42</f>
        <v>1459561</v>
      </c>
      <c r="N217" s="421">
        <f>J217*M217</f>
        <v>2245938.2381570796</v>
      </c>
      <c r="O217" s="421">
        <f>M217-K217</f>
        <v>140661.49288888997</v>
      </c>
      <c r="P217" s="421">
        <f>J217*O217</f>
        <v>216446.60655869686</v>
      </c>
      <c r="Q217" s="421">
        <v>1</v>
      </c>
      <c r="R217" s="421">
        <f>M217*Q217</f>
        <v>1459561</v>
      </c>
      <c r="S217" s="421">
        <f>J217*R217</f>
        <v>2245938.2381570796</v>
      </c>
      <c r="T217" s="421">
        <v>140661.49288889</v>
      </c>
      <c r="U217" s="421">
        <v>216446.60655869701</v>
      </c>
      <c r="V217" s="421">
        <f>'Giá Máy'!N42</f>
        <v>0</v>
      </c>
      <c r="W217" s="421">
        <f>J217*V217</f>
        <v>0</v>
      </c>
      <c r="X217" s="421">
        <f>'Giá Máy'!O42</f>
        <v>1372616.6911111111</v>
      </c>
      <c r="Y217" s="421">
        <f>J217*X217</f>
        <v>2112150.3745983136</v>
      </c>
      <c r="Z217" s="421">
        <f>X217-K217</f>
        <v>53717.184000001056</v>
      </c>
      <c r="AA217" s="421">
        <f>J217*Z217</f>
        <v>82658.742999930837</v>
      </c>
    </row>
    <row r="218" spans="1:27" s="410" customFormat="1" ht="27.6" hidden="1">
      <c r="A218" s="413"/>
      <c r="B218" s="414"/>
      <c r="C218" s="413" t="str">
        <f>'5.Tiên lượng'!C38</f>
        <v>AB.64123</v>
      </c>
      <c r="D218" s="413"/>
      <c r="E218" s="415" t="str">
        <f>'5.Tiên lượng'!D38</f>
        <v>Đắp nền đường bằng máy lu bánh thép 16T, máy ủi 110CV, độ chặt Y/C K = 0,95</v>
      </c>
      <c r="F218" s="414" t="str">
        <f>'5.Tiên lượng'!E38</f>
        <v>100m3</v>
      </c>
      <c r="G218" s="416">
        <f>'5.Tiên lượng'!M38</f>
        <v>4.593362831858407</v>
      </c>
      <c r="H218" s="416">
        <f>PTVT!G95</f>
        <v>0.33500000000000002</v>
      </c>
      <c r="I218" s="416">
        <f>'5.Tiên lượng'!X38</f>
        <v>1</v>
      </c>
      <c r="J218" s="419">
        <f>PRODUCT(G218,H218,I218)</f>
        <v>1.5387765486725664</v>
      </c>
      <c r="K218" s="420"/>
      <c r="L218" s="420"/>
      <c r="M218" s="420"/>
      <c r="N218" s="420"/>
      <c r="O218" s="420"/>
      <c r="P218" s="420"/>
      <c r="Q218" s="420"/>
      <c r="R218" s="420"/>
      <c r="S218" s="420"/>
      <c r="T218" s="420"/>
      <c r="U218" s="420"/>
      <c r="V218" s="420"/>
      <c r="W218" s="420"/>
      <c r="X218" s="420"/>
      <c r="Y218" s="420"/>
      <c r="Z218" s="420"/>
      <c r="AA218" s="420"/>
    </row>
    <row r="219" spans="1:27">
      <c r="A219" s="246" t="s">
        <v>759</v>
      </c>
      <c r="B219" s="265">
        <v>39</v>
      </c>
      <c r="C219" s="246" t="s">
        <v>641</v>
      </c>
      <c r="D219" s="246">
        <f>'Giá Máy'!D43</f>
        <v>0</v>
      </c>
      <c r="E219" s="266" t="str">
        <f>'Giá Máy'!E43</f>
        <v>Máy rải xi măng SW16TC (16m3)</v>
      </c>
      <c r="F219" s="265" t="s">
        <v>926</v>
      </c>
      <c r="G219" s="417"/>
      <c r="H219" s="417"/>
      <c r="I219" s="417"/>
      <c r="J219" s="268">
        <f>SUM(J220:J221)</f>
        <v>0</v>
      </c>
      <c r="K219" s="421">
        <f>'Giá Máy'!G43</f>
        <v>10247292.844888899</v>
      </c>
      <c r="L219" s="421">
        <f>J219*K219</f>
        <v>0</v>
      </c>
      <c r="M219" s="421">
        <f>'Giá Máy'!H43</f>
        <v>10463988</v>
      </c>
      <c r="N219" s="421">
        <f>J219*M219</f>
        <v>0</v>
      </c>
      <c r="O219" s="421">
        <f>M219-K219</f>
        <v>216695.15511110052</v>
      </c>
      <c r="P219" s="421">
        <f>J219*O219</f>
        <v>0</v>
      </c>
      <c r="Q219" s="421">
        <v>1</v>
      </c>
      <c r="R219" s="421">
        <f>M219*Q219</f>
        <v>10463988</v>
      </c>
      <c r="S219" s="421">
        <f>J219*R219</f>
        <v>0</v>
      </c>
      <c r="T219" s="421">
        <v>216695.15511110099</v>
      </c>
      <c r="U219" s="421">
        <v>0</v>
      </c>
      <c r="V219" s="421">
        <f>'Giá Máy'!N43</f>
        <v>0</v>
      </c>
      <c r="W219" s="421">
        <f>J219*V219</f>
        <v>0</v>
      </c>
      <c r="X219" s="421">
        <f>'Giá Máy'!O43</f>
        <v>10312616.668888887</v>
      </c>
      <c r="Y219" s="421">
        <f>J219*X219</f>
        <v>0</v>
      </c>
      <c r="Z219" s="421">
        <f>X219-K219</f>
        <v>65323.823999987915</v>
      </c>
      <c r="AA219" s="421">
        <f>J219*Z219</f>
        <v>0</v>
      </c>
    </row>
    <row r="220" spans="1:27" s="410" customFormat="1" ht="41.4" hidden="1">
      <c r="A220" s="413"/>
      <c r="B220" s="414"/>
      <c r="C220" s="413" t="str">
        <f>'5.Tiên lượng'!C111</f>
        <v>LS.11110(ĐM.1322)</v>
      </c>
      <c r="D220" s="413"/>
      <c r="E220" s="415" t="str">
        <f>'5.Tiên lượng'!D111</f>
        <v>Cào bóc tái sinh nguội tại chỗ bằng máy cào bóc tái sinh WR2400 trên mặt đường láng nhựa, chiều dày 18cm (4% xi măng rải thủ công)</v>
      </c>
      <c r="F220" s="414" t="str">
        <f>'5.Tiên lượng'!E111</f>
        <v>100m3</v>
      </c>
      <c r="G220" s="416">
        <f>'5.Tiên lượng'!M111</f>
        <v>19.253299999999999</v>
      </c>
      <c r="H220" s="416">
        <f>PTVT!G385</f>
        <v>0</v>
      </c>
      <c r="I220" s="416">
        <f>'5.Tiên lượng'!X111</f>
        <v>0.9</v>
      </c>
      <c r="J220" s="419">
        <f t="shared" ref="J220:J221" si="30">PRODUCT(G220,H220,I220)</f>
        <v>0</v>
      </c>
      <c r="K220" s="420"/>
      <c r="L220" s="420"/>
      <c r="M220" s="420"/>
      <c r="N220" s="420"/>
      <c r="O220" s="420"/>
      <c r="P220" s="420"/>
      <c r="Q220" s="420"/>
      <c r="R220" s="420"/>
      <c r="S220" s="420"/>
      <c r="T220" s="420"/>
      <c r="U220" s="420"/>
      <c r="V220" s="420"/>
      <c r="W220" s="420"/>
      <c r="X220" s="420"/>
      <c r="Y220" s="420"/>
      <c r="Z220" s="420"/>
      <c r="AA220" s="420"/>
    </row>
    <row r="221" spans="1:27" s="410" customFormat="1" ht="41.4" hidden="1">
      <c r="A221" s="413"/>
      <c r="B221" s="414"/>
      <c r="C221" s="413" t="str">
        <f>'5.Tiên lượng'!C118</f>
        <v>LS.11110(ĐM.1322)</v>
      </c>
      <c r="D221" s="413"/>
      <c r="E221" s="415" t="str">
        <f>'5.Tiên lượng'!D118</f>
        <v>Cào bóc tái sinh nguội tại chỗ bằng máy cào bóc tái sinh WR2400 trên mặt đường láng nhựa, chiều dày 18cm (4% xi măng rải thủ công)</v>
      </c>
      <c r="F221" s="414" t="str">
        <f>'5.Tiên lượng'!E118</f>
        <v>100m3</v>
      </c>
      <c r="G221" s="416">
        <f>'5.Tiên lượng'!M118</f>
        <v>0.2389</v>
      </c>
      <c r="H221" s="416">
        <f>PTVT!G426</f>
        <v>0</v>
      </c>
      <c r="I221" s="416">
        <f>'5.Tiên lượng'!X118</f>
        <v>0.9</v>
      </c>
      <c r="J221" s="419">
        <f t="shared" si="30"/>
        <v>0</v>
      </c>
      <c r="K221" s="420"/>
      <c r="L221" s="420"/>
      <c r="M221" s="420"/>
      <c r="N221" s="420"/>
      <c r="O221" s="420"/>
      <c r="P221" s="420"/>
      <c r="Q221" s="420"/>
      <c r="R221" s="420"/>
      <c r="S221" s="420"/>
      <c r="T221" s="420"/>
      <c r="U221" s="420"/>
      <c r="V221" s="420"/>
      <c r="W221" s="420"/>
      <c r="X221" s="420"/>
      <c r="Y221" s="420"/>
      <c r="Z221" s="420"/>
      <c r="AA221" s="420"/>
    </row>
    <row r="222" spans="1:27">
      <c r="A222" s="246" t="s">
        <v>759</v>
      </c>
      <c r="B222" s="265">
        <v>40</v>
      </c>
      <c r="C222" s="246" t="s">
        <v>644</v>
      </c>
      <c r="D222" s="246">
        <f>'Giá Máy'!D44</f>
        <v>0</v>
      </c>
      <c r="E222" s="266" t="str">
        <f>'Giá Máy'!E44</f>
        <v>Máy lu bánh thép tự hành 12T</v>
      </c>
      <c r="F222" s="265" t="s">
        <v>926</v>
      </c>
      <c r="G222" s="417"/>
      <c r="H222" s="417"/>
      <c r="I222" s="417"/>
      <c r="J222" s="268">
        <f>SUM(J223:J224)</f>
        <v>8.0873137800000006</v>
      </c>
      <c r="K222" s="421">
        <f>'Giá Máy'!G44</f>
        <v>1220464.9226666701</v>
      </c>
      <c r="L222" s="421">
        <f>J222*K222</f>
        <v>9870282.7870887965</v>
      </c>
      <c r="M222" s="421">
        <f>'Giá Máy'!H44</f>
        <v>1342118</v>
      </c>
      <c r="N222" s="421">
        <f>J222*M222</f>
        <v>10854129.395786041</v>
      </c>
      <c r="O222" s="421">
        <f>M222-K222</f>
        <v>121653.07733332994</v>
      </c>
      <c r="P222" s="421">
        <f>J222*O222</f>
        <v>983846.60869724501</v>
      </c>
      <c r="Q222" s="421">
        <v>1</v>
      </c>
      <c r="R222" s="421">
        <f>M222*Q222</f>
        <v>1342118</v>
      </c>
      <c r="S222" s="421">
        <f>J222*R222</f>
        <v>10854129.395786041</v>
      </c>
      <c r="T222" s="421">
        <v>121653.07733333</v>
      </c>
      <c r="U222" s="421">
        <v>1093162.8985524899</v>
      </c>
      <c r="V222" s="421">
        <f>'Giá Máy'!N44</f>
        <v>0</v>
      </c>
      <c r="W222" s="421">
        <f>J222*V222</f>
        <v>0</v>
      </c>
      <c r="X222" s="421">
        <f>'Giá Máy'!O44</f>
        <v>1270296.9466666668</v>
      </c>
      <c r="Y222" s="421">
        <f>J222*X222</f>
        <v>10273290.00146926</v>
      </c>
      <c r="Z222" s="421">
        <f>X222-K222</f>
        <v>49832.023999996716</v>
      </c>
      <c r="AA222" s="421">
        <f>J222*Z222</f>
        <v>403007.21438046417</v>
      </c>
    </row>
    <row r="223" spans="1:27" s="410" customFormat="1" ht="41.4" hidden="1">
      <c r="A223" s="413"/>
      <c r="B223" s="414"/>
      <c r="C223" s="413" t="str">
        <f>'5.Tiên lượng'!C111</f>
        <v>LS.11110(ĐM.1322)</v>
      </c>
      <c r="D223" s="413"/>
      <c r="E223" s="415" t="str">
        <f>'5.Tiên lượng'!D111</f>
        <v>Cào bóc tái sinh nguội tại chỗ bằng máy cào bóc tái sinh WR2400 trên mặt đường láng nhựa, chiều dày 18cm (4% xi măng rải thủ công)</v>
      </c>
      <c r="F223" s="414" t="str">
        <f>'5.Tiên lượng'!E111</f>
        <v>100m3</v>
      </c>
      <c r="G223" s="416">
        <f>'5.Tiên lượng'!M111</f>
        <v>19.253299999999999</v>
      </c>
      <c r="H223" s="416">
        <f>PTVT!G388</f>
        <v>0.46100000000000002</v>
      </c>
      <c r="I223" s="416">
        <f>'5.Tiên lượng'!X111</f>
        <v>0.9</v>
      </c>
      <c r="J223" s="419">
        <f t="shared" ref="J223:J224" si="31">PRODUCT(G223,H223,I223)</f>
        <v>7.9881941700000008</v>
      </c>
      <c r="K223" s="420"/>
      <c r="L223" s="420"/>
      <c r="M223" s="420"/>
      <c r="N223" s="420"/>
      <c r="O223" s="420"/>
      <c r="P223" s="420"/>
      <c r="Q223" s="420"/>
      <c r="R223" s="420"/>
      <c r="S223" s="420"/>
      <c r="T223" s="420"/>
      <c r="U223" s="420"/>
      <c r="V223" s="420"/>
      <c r="W223" s="420"/>
      <c r="X223" s="420"/>
      <c r="Y223" s="420"/>
      <c r="Z223" s="420"/>
      <c r="AA223" s="420"/>
    </row>
    <row r="224" spans="1:27" s="410" customFormat="1" ht="41.4" hidden="1">
      <c r="A224" s="413"/>
      <c r="B224" s="414"/>
      <c r="C224" s="413" t="str">
        <f>'5.Tiên lượng'!C118</f>
        <v>LS.11110(ĐM.1322)</v>
      </c>
      <c r="D224" s="413"/>
      <c r="E224" s="415" t="str">
        <f>'5.Tiên lượng'!D118</f>
        <v>Cào bóc tái sinh nguội tại chỗ bằng máy cào bóc tái sinh WR2400 trên mặt đường láng nhựa, chiều dày 18cm (4% xi măng rải thủ công)</v>
      </c>
      <c r="F224" s="414" t="str">
        <f>'5.Tiên lượng'!E118</f>
        <v>100m3</v>
      </c>
      <c r="G224" s="416">
        <f>'5.Tiên lượng'!M118</f>
        <v>0.2389</v>
      </c>
      <c r="H224" s="416">
        <f>PTVT!G429</f>
        <v>0.46100000000000002</v>
      </c>
      <c r="I224" s="416">
        <f>'5.Tiên lượng'!X118</f>
        <v>0.9</v>
      </c>
      <c r="J224" s="419">
        <f t="shared" si="31"/>
        <v>9.9119610000000011E-2</v>
      </c>
      <c r="K224" s="420"/>
      <c r="L224" s="420"/>
      <c r="M224" s="420"/>
      <c r="N224" s="420"/>
      <c r="O224" s="420"/>
      <c r="P224" s="420"/>
      <c r="Q224" s="420"/>
      <c r="R224" s="420"/>
      <c r="S224" s="420"/>
      <c r="T224" s="420"/>
      <c r="U224" s="420"/>
      <c r="V224" s="420"/>
      <c r="W224" s="420"/>
      <c r="X224" s="420"/>
      <c r="Y224" s="420"/>
      <c r="Z224" s="420"/>
      <c r="AA224" s="420"/>
    </row>
    <row r="225" spans="1:27">
      <c r="A225" s="246" t="s">
        <v>759</v>
      </c>
      <c r="B225" s="265">
        <v>41</v>
      </c>
      <c r="C225" s="246" t="s">
        <v>611</v>
      </c>
      <c r="D225" s="246"/>
      <c r="E225" s="266" t="s">
        <v>961</v>
      </c>
      <c r="F225" s="265" t="s">
        <v>37</v>
      </c>
      <c r="G225" s="417"/>
      <c r="H225" s="417"/>
      <c r="I225" s="417"/>
      <c r="J225" s="268">
        <f>SUM(J226:J260)</f>
        <v>6542.0490667409522</v>
      </c>
      <c r="K225" s="421">
        <v>0</v>
      </c>
      <c r="L225" s="421">
        <f>SUM(L226:L260)</f>
        <v>5205607.5497044772</v>
      </c>
      <c r="M225" s="421">
        <v>0</v>
      </c>
      <c r="N225" s="421">
        <f>SUM(N226:N260)</f>
        <v>5012809.8165990198</v>
      </c>
      <c r="O225" s="421">
        <v>0</v>
      </c>
      <c r="P225" s="421">
        <v>118197.037200778</v>
      </c>
      <c r="Q225" s="421">
        <v>1</v>
      </c>
      <c r="R225" s="421">
        <v>0</v>
      </c>
      <c r="S225" s="421">
        <f>SUM(S226:S260)</f>
        <v>5012809.8165990198</v>
      </c>
      <c r="T225" s="421">
        <v>0</v>
      </c>
      <c r="U225" s="421">
        <v>118197.037200778</v>
      </c>
      <c r="V225" s="421">
        <v>0</v>
      </c>
      <c r="W225" s="421">
        <f>SUM(W226:W260)</f>
        <v>-107901.46962306487</v>
      </c>
      <c r="X225" s="421">
        <v>0</v>
      </c>
      <c r="Y225" s="421">
        <f>SUM(Y226:Y260)</f>
        <v>5404629.7203677678</v>
      </c>
      <c r="Z225" s="421"/>
      <c r="AA225" s="421">
        <f>SUM(AA226:AA260)</f>
        <v>199022.17066329127</v>
      </c>
    </row>
    <row r="226" spans="1:27" s="410" customFormat="1" hidden="1">
      <c r="A226" s="413"/>
      <c r="B226" s="414"/>
      <c r="C226" s="413" t="str">
        <f>'5.Tiên lượng'!C69</f>
        <v>AL.24113(VD)</v>
      </c>
      <c r="D226" s="413"/>
      <c r="E226" s="415" t="str">
        <f>'5.Tiên lượng'!D69</f>
        <v>Thi công  khe dọc</v>
      </c>
      <c r="F226" s="414" t="str">
        <f>'5.Tiên lượng'!E69</f>
        <v>m</v>
      </c>
      <c r="G226" s="416">
        <f>'5.Tiên lượng'!M69</f>
        <v>1000.04</v>
      </c>
      <c r="H226" s="416">
        <f>PTVT!G251</f>
        <v>2</v>
      </c>
      <c r="I226" s="416">
        <f>'5.Tiên lượng'!X69</f>
        <v>1</v>
      </c>
      <c r="J226" s="419">
        <f t="shared" ref="J226:J260" si="32">PRODUCT(G226,H226,I226)</f>
        <v>2000.08</v>
      </c>
      <c r="K226" s="420">
        <f>PTVT!J251</f>
        <v>101.21040480733319</v>
      </c>
      <c r="L226" s="420">
        <f t="shared" ref="L226:L260" si="33">J226*K226</f>
        <v>202428.90644705095</v>
      </c>
      <c r="M226" s="420">
        <f>PTVT!L251</f>
        <v>110.09145000000001</v>
      </c>
      <c r="N226" s="420">
        <f t="shared" ref="N226:N260" si="34">J226*M226</f>
        <v>220191.70731600001</v>
      </c>
      <c r="O226" s="420">
        <f t="shared" ref="O226:O260" si="35">M226-K226</f>
        <v>8.8810451926668179</v>
      </c>
      <c r="P226" s="420">
        <f t="shared" ref="P226:P260" si="36">J226*O226</f>
        <v>17762.800868949049</v>
      </c>
      <c r="Q226" s="420">
        <v>1</v>
      </c>
      <c r="R226" s="420">
        <f t="shared" ref="R226:R260" si="37">M226*Q226</f>
        <v>110.09145000000001</v>
      </c>
      <c r="S226" s="420">
        <f t="shared" ref="S226:S260" si="38">J226*R226</f>
        <v>220191.70731600001</v>
      </c>
      <c r="T226" s="420"/>
      <c r="U226" s="420"/>
      <c r="V226" s="420">
        <v>-8.8810451926669902</v>
      </c>
      <c r="W226" s="420">
        <f t="shared" ref="W226:W260" si="39">J226*V226</f>
        <v>-17762.800868949394</v>
      </c>
      <c r="X226" s="420">
        <f>PTVT!P251</f>
        <v>106.56077185883333</v>
      </c>
      <c r="Y226" s="420">
        <f t="shared" ref="Y226:Y260" si="40">J226*X226</f>
        <v>213130.06857941535</v>
      </c>
      <c r="Z226" s="420">
        <f t="shared" ref="Z226:Z260" si="41">X226-K226</f>
        <v>5.3503670515001431</v>
      </c>
      <c r="AA226" s="420">
        <f t="shared" ref="AA226:AA260" si="42">J226*Z226</f>
        <v>10701.162132364407</v>
      </c>
    </row>
    <row r="227" spans="1:27" s="410" customFormat="1" hidden="1">
      <c r="A227" s="413"/>
      <c r="B227" s="414"/>
      <c r="C227" s="413" t="str">
        <f>'5.Tiên lượng'!C67</f>
        <v>AL.24111</v>
      </c>
      <c r="D227" s="413"/>
      <c r="E227" s="415" t="str">
        <f>'5.Tiên lượng'!D67</f>
        <v>Thi công khe co không có thanh TL</v>
      </c>
      <c r="F227" s="414" t="str">
        <f>'5.Tiên lượng'!E67</f>
        <v>m</v>
      </c>
      <c r="G227" s="416">
        <f>'5.Tiên lượng'!M67</f>
        <v>1026</v>
      </c>
      <c r="H227" s="416">
        <f>PTVT!G225</f>
        <v>2</v>
      </c>
      <c r="I227" s="416">
        <f>'5.Tiên lượng'!X67</f>
        <v>1</v>
      </c>
      <c r="J227" s="419">
        <f t="shared" si="32"/>
        <v>2052</v>
      </c>
      <c r="K227" s="420">
        <f>PTVT!J225</f>
        <v>109.11614560953319</v>
      </c>
      <c r="L227" s="420">
        <f t="shared" si="33"/>
        <v>223906.33079076212</v>
      </c>
      <c r="M227" s="420">
        <f>PTVT!L225</f>
        <v>117.98133</v>
      </c>
      <c r="N227" s="420">
        <f t="shared" si="34"/>
        <v>242097.68916000001</v>
      </c>
      <c r="O227" s="420">
        <f t="shared" si="35"/>
        <v>8.8651843904668084</v>
      </c>
      <c r="P227" s="420">
        <f t="shared" si="36"/>
        <v>18191.358369237892</v>
      </c>
      <c r="Q227" s="420">
        <v>1</v>
      </c>
      <c r="R227" s="420">
        <f t="shared" si="37"/>
        <v>117.98133</v>
      </c>
      <c r="S227" s="420">
        <f t="shared" si="38"/>
        <v>242097.68916000001</v>
      </c>
      <c r="T227" s="420"/>
      <c r="U227" s="420"/>
      <c r="V227" s="420">
        <v>-8.8651843904669896</v>
      </c>
      <c r="W227" s="420">
        <f t="shared" si="39"/>
        <v>-18191.358369238264</v>
      </c>
      <c r="X227" s="420">
        <f>PTVT!P225</f>
        <v>115.14931021648334</v>
      </c>
      <c r="Y227" s="420">
        <f t="shared" si="40"/>
        <v>236286.38456422382</v>
      </c>
      <c r="Z227" s="420">
        <f t="shared" si="41"/>
        <v>6.0331646069501517</v>
      </c>
      <c r="AA227" s="420">
        <f t="shared" si="42"/>
        <v>12380.053773461712</v>
      </c>
    </row>
    <row r="228" spans="1:27" s="410" customFormat="1" hidden="1">
      <c r="A228" s="413"/>
      <c r="B228" s="414"/>
      <c r="C228" s="413" t="str">
        <f>'5.Tiên lượng'!C68</f>
        <v>AL.24112(VD)</v>
      </c>
      <c r="D228" s="413"/>
      <c r="E228" s="415" t="str">
        <f>'5.Tiên lượng'!D68</f>
        <v>Thi công khe giãn</v>
      </c>
      <c r="F228" s="414" t="str">
        <f>'5.Tiên lượng'!E68</f>
        <v>m</v>
      </c>
      <c r="G228" s="416">
        <f>'5.Tiên lượng'!M68</f>
        <v>103.46</v>
      </c>
      <c r="H228" s="416">
        <f>PTVT!G240</f>
        <v>2</v>
      </c>
      <c r="I228" s="416">
        <f>'5.Tiên lượng'!X68</f>
        <v>1</v>
      </c>
      <c r="J228" s="419">
        <f t="shared" si="32"/>
        <v>206.92</v>
      </c>
      <c r="K228" s="420">
        <f>PTVT!J240</f>
        <v>143.37435575239991</v>
      </c>
      <c r="L228" s="420">
        <f t="shared" si="33"/>
        <v>29667.021692286587</v>
      </c>
      <c r="M228" s="420">
        <f>PTVT!L240</f>
        <v>152.17080999999999</v>
      </c>
      <c r="N228" s="420">
        <f t="shared" si="34"/>
        <v>31487.184005199997</v>
      </c>
      <c r="O228" s="420">
        <f t="shared" si="35"/>
        <v>8.7964542476000815</v>
      </c>
      <c r="P228" s="420">
        <f t="shared" si="36"/>
        <v>1820.1623129134089</v>
      </c>
      <c r="Q228" s="420">
        <v>1</v>
      </c>
      <c r="R228" s="420">
        <f t="shared" si="37"/>
        <v>152.17080999999999</v>
      </c>
      <c r="S228" s="420">
        <f t="shared" si="38"/>
        <v>31487.184005199997</v>
      </c>
      <c r="T228" s="420"/>
      <c r="U228" s="420"/>
      <c r="V228" s="420">
        <v>-8.7964542475999998</v>
      </c>
      <c r="W228" s="420">
        <f t="shared" si="39"/>
        <v>-1820.1623129133918</v>
      </c>
      <c r="X228" s="420">
        <f>PTVT!P240</f>
        <v>152.36630976629999</v>
      </c>
      <c r="Y228" s="420">
        <f t="shared" si="40"/>
        <v>31527.636816842791</v>
      </c>
      <c r="Z228" s="420">
        <f t="shared" si="41"/>
        <v>8.9919540139000844</v>
      </c>
      <c r="AA228" s="420">
        <f t="shared" si="42"/>
        <v>1860.6151245562053</v>
      </c>
    </row>
    <row r="229" spans="1:27" s="410" customFormat="1" ht="27.6" hidden="1">
      <c r="A229" s="413"/>
      <c r="B229" s="414"/>
      <c r="C229" s="413" t="str">
        <f>'5.Tiên lượng'!C180</f>
        <v>BB.11211VD</v>
      </c>
      <c r="D229" s="413"/>
      <c r="E229" s="415" t="str">
        <f>'5.Tiên lượng'!D180</f>
        <v>Lắp đặt ống bê tông bằng cần cẩu, đoạn ống dài 1m - Đường kính 400mm</v>
      </c>
      <c r="F229" s="414" t="str">
        <f>'5.Tiên lượng'!E180</f>
        <v>1 đoạn ống</v>
      </c>
      <c r="G229" s="416">
        <f>'5.Tiên lượng'!M180</f>
        <v>3</v>
      </c>
      <c r="H229" s="416">
        <f>PTVT!G699</f>
        <v>5</v>
      </c>
      <c r="I229" s="416">
        <f>'5.Tiên lượng'!X180</f>
        <v>1</v>
      </c>
      <c r="J229" s="419">
        <f t="shared" si="32"/>
        <v>15</v>
      </c>
      <c r="K229" s="420">
        <f>PTVT!J699</f>
        <v>567.06726633333199</v>
      </c>
      <c r="L229" s="420">
        <f t="shared" si="33"/>
        <v>8506.0089949999801</v>
      </c>
      <c r="M229" s="420">
        <f>PTVT!L699</f>
        <v>602.23271999999997</v>
      </c>
      <c r="N229" s="420">
        <f t="shared" si="34"/>
        <v>9033.4907999999996</v>
      </c>
      <c r="O229" s="420">
        <f t="shared" si="35"/>
        <v>35.165453666667986</v>
      </c>
      <c r="P229" s="420">
        <f t="shared" si="36"/>
        <v>527.48180500001979</v>
      </c>
      <c r="Q229" s="420">
        <v>1</v>
      </c>
      <c r="R229" s="420">
        <f t="shared" si="37"/>
        <v>602.23271999999997</v>
      </c>
      <c r="S229" s="420">
        <f t="shared" si="38"/>
        <v>9033.4907999999996</v>
      </c>
      <c r="T229" s="420"/>
      <c r="U229" s="420"/>
      <c r="V229" s="420">
        <v>-35.165453666668</v>
      </c>
      <c r="W229" s="420">
        <f t="shared" si="39"/>
        <v>-527.48180500002002</v>
      </c>
      <c r="X229" s="420">
        <f>PTVT!P699</f>
        <v>596.36971233333327</v>
      </c>
      <c r="Y229" s="420">
        <f t="shared" si="40"/>
        <v>8945.5456849999991</v>
      </c>
      <c r="Z229" s="420">
        <f t="shared" si="41"/>
        <v>29.302446000001282</v>
      </c>
      <c r="AA229" s="420">
        <f t="shared" si="42"/>
        <v>439.53669000001923</v>
      </c>
    </row>
    <row r="230" spans="1:27" s="410" customFormat="1" ht="27.6" hidden="1">
      <c r="A230" s="413"/>
      <c r="B230" s="414"/>
      <c r="C230" s="413" t="str">
        <f>'5.Tiên lượng'!C182</f>
        <v>BB.11211</v>
      </c>
      <c r="D230" s="413"/>
      <c r="E230" s="415" t="str">
        <f>'5.Tiên lượng'!D182</f>
        <v>Lắp đặt ống bê tông bằng cần cẩu, đoạn ống dài 1m - Đường kính 600mm</v>
      </c>
      <c r="F230" s="414" t="str">
        <f>'5.Tiên lượng'!E182</f>
        <v>1 đoạn ống</v>
      </c>
      <c r="G230" s="416">
        <f>'5.Tiên lượng'!M182</f>
        <v>1</v>
      </c>
      <c r="H230" s="416">
        <f>PTVT!G717</f>
        <v>5</v>
      </c>
      <c r="I230" s="416">
        <f>'5.Tiên lượng'!X182</f>
        <v>1</v>
      </c>
      <c r="J230" s="419">
        <f t="shared" si="32"/>
        <v>5</v>
      </c>
      <c r="K230" s="420">
        <f>PTVT!J717</f>
        <v>567.06726633333199</v>
      </c>
      <c r="L230" s="420">
        <f t="shared" si="33"/>
        <v>2835.33633166666</v>
      </c>
      <c r="M230" s="420">
        <f>PTVT!L717</f>
        <v>602.23271999999997</v>
      </c>
      <c r="N230" s="420">
        <f t="shared" si="34"/>
        <v>3011.1635999999999</v>
      </c>
      <c r="O230" s="420">
        <f t="shared" si="35"/>
        <v>35.165453666667986</v>
      </c>
      <c r="P230" s="420">
        <f t="shared" si="36"/>
        <v>175.82726833333993</v>
      </c>
      <c r="Q230" s="420">
        <v>1</v>
      </c>
      <c r="R230" s="420">
        <f t="shared" si="37"/>
        <v>602.23271999999997</v>
      </c>
      <c r="S230" s="420">
        <f t="shared" si="38"/>
        <v>3011.1635999999999</v>
      </c>
      <c r="T230" s="420"/>
      <c r="U230" s="420"/>
      <c r="V230" s="420">
        <v>-35.165453666668</v>
      </c>
      <c r="W230" s="420">
        <f t="shared" si="39"/>
        <v>-175.82726833333999</v>
      </c>
      <c r="X230" s="420">
        <f>PTVT!P717</f>
        <v>596.36971233333327</v>
      </c>
      <c r="Y230" s="420">
        <f t="shared" si="40"/>
        <v>2981.8485616666662</v>
      </c>
      <c r="Z230" s="420">
        <f t="shared" si="41"/>
        <v>29.302446000001282</v>
      </c>
      <c r="AA230" s="420">
        <f t="shared" si="42"/>
        <v>146.51223000000641</v>
      </c>
    </row>
    <row r="231" spans="1:27" s="410" customFormat="1" ht="27.6" hidden="1">
      <c r="A231" s="413"/>
      <c r="B231" s="414"/>
      <c r="C231" s="413" t="str">
        <f>'5.Tiên lượng'!C205</f>
        <v>BB.11211VD</v>
      </c>
      <c r="D231" s="413"/>
      <c r="E231" s="415" t="str">
        <f>'5.Tiên lượng'!D205</f>
        <v>Tháo dỡ ống bê tông bằng cần cẩu, đoạn ống dài 1m - Đường kính 400mm</v>
      </c>
      <c r="F231" s="414" t="str">
        <f>'5.Tiên lượng'!E205</f>
        <v>1 đoạn ống</v>
      </c>
      <c r="G231" s="416">
        <f>'5.Tiên lượng'!M205</f>
        <v>5</v>
      </c>
      <c r="H231" s="416">
        <f>PTVT!G874</f>
        <v>5</v>
      </c>
      <c r="I231" s="416">
        <f>'5.Tiên lượng'!X205</f>
        <v>1</v>
      </c>
      <c r="J231" s="419">
        <f t="shared" si="32"/>
        <v>25</v>
      </c>
      <c r="K231" s="420">
        <f>PTVT!J874</f>
        <v>567.06726633333199</v>
      </c>
      <c r="L231" s="420">
        <f t="shared" si="33"/>
        <v>14176.6816583333</v>
      </c>
      <c r="M231" s="420">
        <f>PTVT!L874</f>
        <v>602.23271999999997</v>
      </c>
      <c r="N231" s="420">
        <f t="shared" si="34"/>
        <v>15055.817999999999</v>
      </c>
      <c r="O231" s="420">
        <f t="shared" si="35"/>
        <v>35.165453666667986</v>
      </c>
      <c r="P231" s="420">
        <f t="shared" si="36"/>
        <v>879.13634166669965</v>
      </c>
      <c r="Q231" s="420">
        <v>1</v>
      </c>
      <c r="R231" s="420">
        <f t="shared" si="37"/>
        <v>602.23271999999997</v>
      </c>
      <c r="S231" s="420">
        <f t="shared" si="38"/>
        <v>15055.817999999999</v>
      </c>
      <c r="T231" s="420"/>
      <c r="U231" s="420"/>
      <c r="V231" s="420">
        <v>-35.165453666668</v>
      </c>
      <c r="W231" s="420">
        <f t="shared" si="39"/>
        <v>-879.13634166669999</v>
      </c>
      <c r="X231" s="420">
        <f>PTVT!P874</f>
        <v>596.36971233333327</v>
      </c>
      <c r="Y231" s="420">
        <f t="shared" si="40"/>
        <v>14909.242808333333</v>
      </c>
      <c r="Z231" s="420">
        <f t="shared" si="41"/>
        <v>29.302446000001282</v>
      </c>
      <c r="AA231" s="420">
        <f t="shared" si="42"/>
        <v>732.56115000003206</v>
      </c>
    </row>
    <row r="232" spans="1:27" s="410" customFormat="1" ht="41.4" hidden="1">
      <c r="A232" s="413"/>
      <c r="B232" s="414"/>
      <c r="C232" s="413" t="str">
        <f>'5.Tiên lượng'!C46</f>
        <v>AF.15433</v>
      </c>
      <c r="D232" s="413"/>
      <c r="E232" s="415" t="str">
        <f>'5.Tiên lượng'!D46</f>
        <v>Bê tông sản xuất bằng máy trộn và đổ bằng thủ công, bê tông mặt đường dày mặt đường ≤25cm, bê tông M250, đá 2x4, PCB40</v>
      </c>
      <c r="F232" s="414" t="str">
        <f>'5.Tiên lượng'!E46</f>
        <v>m3</v>
      </c>
      <c r="G232" s="416">
        <f>'5.Tiên lượng'!M46</f>
        <v>900.03599999999994</v>
      </c>
      <c r="H232" s="416">
        <f>PTVT!G128</f>
        <v>2</v>
      </c>
      <c r="I232" s="416">
        <f>'5.Tiên lượng'!X46</f>
        <v>1</v>
      </c>
      <c r="J232" s="419">
        <f t="shared" si="32"/>
        <v>1800.0719999999999</v>
      </c>
      <c r="K232" s="420">
        <f>PTVT!J128</f>
        <v>745.26973200179998</v>
      </c>
      <c r="L232" s="420">
        <f t="shared" si="33"/>
        <v>1341539.177023944</v>
      </c>
      <c r="M232" s="420">
        <f>PTVT!L128</f>
        <v>744.02872999999988</v>
      </c>
      <c r="N232" s="420">
        <f t="shared" si="34"/>
        <v>1339305.2840685598</v>
      </c>
      <c r="O232" s="420">
        <f t="shared" si="35"/>
        <v>-1.2410020018000978</v>
      </c>
      <c r="P232" s="420">
        <f t="shared" si="36"/>
        <v>-2233.8929553843054</v>
      </c>
      <c r="Q232" s="420">
        <v>1</v>
      </c>
      <c r="R232" s="420">
        <f t="shared" si="37"/>
        <v>744.02872999999988</v>
      </c>
      <c r="S232" s="420">
        <f t="shared" si="38"/>
        <v>1339305.2840685598</v>
      </c>
      <c r="T232" s="420"/>
      <c r="U232" s="420"/>
      <c r="V232" s="420">
        <v>1.2410020017999801</v>
      </c>
      <c r="W232" s="420">
        <f t="shared" si="39"/>
        <v>2233.8929553840935</v>
      </c>
      <c r="X232" s="420">
        <f>PTVT!P128</f>
        <v>806.74424291535001</v>
      </c>
      <c r="Y232" s="420">
        <f t="shared" si="40"/>
        <v>1452197.7228331198</v>
      </c>
      <c r="Z232" s="420">
        <f t="shared" si="41"/>
        <v>61.474510913550034</v>
      </c>
      <c r="AA232" s="420">
        <f t="shared" si="42"/>
        <v>110658.54580917583</v>
      </c>
    </row>
    <row r="233" spans="1:27" s="410" customFormat="1" ht="41.4" hidden="1">
      <c r="A233" s="413"/>
      <c r="B233" s="414"/>
      <c r="C233" s="413" t="str">
        <f>'5.Tiên lượng'!C59</f>
        <v>AF.15433</v>
      </c>
      <c r="D233" s="413"/>
      <c r="E233" s="415" t="str">
        <f>'5.Tiên lượng'!D59</f>
        <v>Bê tông sản xuất bằng máy trộn và đổ bằng thủ công, bê tông mặt đường dày mặt đường ≤25cm, bê tông M250, đá 2x4, PCB40</v>
      </c>
      <c r="F233" s="414" t="str">
        <f>'5.Tiên lượng'!E59</f>
        <v>m3</v>
      </c>
      <c r="G233" s="416">
        <f>'5.Tiên lượng'!M59</f>
        <v>12.764000000000001</v>
      </c>
      <c r="H233" s="416">
        <f>PTVT!G185</f>
        <v>2</v>
      </c>
      <c r="I233" s="416">
        <f>'5.Tiên lượng'!X59</f>
        <v>1</v>
      </c>
      <c r="J233" s="419">
        <f t="shared" si="32"/>
        <v>25.528000000000002</v>
      </c>
      <c r="K233" s="420">
        <f>PTVT!J185</f>
        <v>745.26973200179998</v>
      </c>
      <c r="L233" s="420">
        <f t="shared" si="33"/>
        <v>19025.245718541952</v>
      </c>
      <c r="M233" s="420">
        <f>PTVT!L185</f>
        <v>744.02872999999988</v>
      </c>
      <c r="N233" s="420">
        <f t="shared" si="34"/>
        <v>18993.565419439998</v>
      </c>
      <c r="O233" s="420">
        <f t="shared" si="35"/>
        <v>-1.2410020018000978</v>
      </c>
      <c r="P233" s="420">
        <f t="shared" si="36"/>
        <v>-31.680299101952897</v>
      </c>
      <c r="Q233" s="420">
        <v>1</v>
      </c>
      <c r="R233" s="420">
        <f t="shared" si="37"/>
        <v>744.02872999999988</v>
      </c>
      <c r="S233" s="420">
        <f t="shared" si="38"/>
        <v>18993.565419439998</v>
      </c>
      <c r="T233" s="420"/>
      <c r="U233" s="420"/>
      <c r="V233" s="420">
        <v>1.2410020017999801</v>
      </c>
      <c r="W233" s="420">
        <f t="shared" si="39"/>
        <v>31.680299101949895</v>
      </c>
      <c r="X233" s="420">
        <f>PTVT!P185</f>
        <v>806.74424291535001</v>
      </c>
      <c r="Y233" s="420">
        <f t="shared" si="40"/>
        <v>20594.567033143056</v>
      </c>
      <c r="Z233" s="420">
        <f t="shared" si="41"/>
        <v>61.474510913550034</v>
      </c>
      <c r="AA233" s="420">
        <f t="shared" si="42"/>
        <v>1569.3213146011053</v>
      </c>
    </row>
    <row r="234" spans="1:27" s="410" customFormat="1" ht="27.6" hidden="1">
      <c r="A234" s="413"/>
      <c r="B234" s="414"/>
      <c r="C234" s="413" t="str">
        <f>'5.Tiên lượng'!C181</f>
        <v>BB.11221VD</v>
      </c>
      <c r="D234" s="413"/>
      <c r="E234" s="415" t="str">
        <f>'5.Tiên lượng'!D181</f>
        <v>Lắp đặt ống bê tông bằng cần cẩu, đoạn ống dài 2m - Đường kính 400mm</v>
      </c>
      <c r="F234" s="414" t="str">
        <f>'5.Tiên lượng'!E181</f>
        <v>1 đoạn ống</v>
      </c>
      <c r="G234" s="416">
        <f>'5.Tiên lượng'!M181</f>
        <v>15</v>
      </c>
      <c r="H234" s="416">
        <f>PTVT!G708</f>
        <v>5</v>
      </c>
      <c r="I234" s="416">
        <f>'5.Tiên lượng'!X181</f>
        <v>1</v>
      </c>
      <c r="J234" s="419">
        <f t="shared" si="32"/>
        <v>75</v>
      </c>
      <c r="K234" s="420">
        <f>PTVT!J708</f>
        <v>858.26397066666482</v>
      </c>
      <c r="L234" s="420">
        <f t="shared" si="33"/>
        <v>64369.797799999862</v>
      </c>
      <c r="M234" s="420">
        <f>PTVT!L708</f>
        <v>911.48736000000008</v>
      </c>
      <c r="N234" s="420">
        <f t="shared" si="34"/>
        <v>68361.552000000011</v>
      </c>
      <c r="O234" s="420">
        <f t="shared" si="35"/>
        <v>53.223389333335263</v>
      </c>
      <c r="P234" s="420">
        <f t="shared" si="36"/>
        <v>3991.7542000001449</v>
      </c>
      <c r="Q234" s="420">
        <v>1</v>
      </c>
      <c r="R234" s="420">
        <f t="shared" si="37"/>
        <v>911.48736000000008</v>
      </c>
      <c r="S234" s="420">
        <f t="shared" si="38"/>
        <v>68361.552000000011</v>
      </c>
      <c r="T234" s="420"/>
      <c r="U234" s="420"/>
      <c r="V234" s="420">
        <v>-53.2233893333349</v>
      </c>
      <c r="W234" s="420">
        <f t="shared" si="39"/>
        <v>-3991.7542000001176</v>
      </c>
      <c r="X234" s="420">
        <f>PTVT!P708</f>
        <v>902.61361866666664</v>
      </c>
      <c r="Y234" s="420">
        <f t="shared" si="40"/>
        <v>67696.021399999998</v>
      </c>
      <c r="Z234" s="420">
        <f t="shared" si="41"/>
        <v>44.349648000001821</v>
      </c>
      <c r="AA234" s="420">
        <f t="shared" si="42"/>
        <v>3326.2236000001367</v>
      </c>
    </row>
    <row r="235" spans="1:27" s="410" customFormat="1" ht="27.6" hidden="1">
      <c r="A235" s="413"/>
      <c r="B235" s="414"/>
      <c r="C235" s="413" t="str">
        <f>'5.Tiên lượng'!C183</f>
        <v>BB.11221</v>
      </c>
      <c r="D235" s="413"/>
      <c r="E235" s="415" t="str">
        <f>'5.Tiên lượng'!D183</f>
        <v>Lắp đặt ống bê tông bằng cần cẩu, đoạn ống dài 2m - Đường kính 600mm</v>
      </c>
      <c r="F235" s="414" t="str">
        <f>'5.Tiên lượng'!E183</f>
        <v>1 đoạn ống</v>
      </c>
      <c r="G235" s="416">
        <f>'5.Tiên lượng'!M183</f>
        <v>1</v>
      </c>
      <c r="H235" s="416">
        <f>PTVT!G726</f>
        <v>5</v>
      </c>
      <c r="I235" s="416">
        <f>'5.Tiên lượng'!X183</f>
        <v>1</v>
      </c>
      <c r="J235" s="419">
        <f t="shared" si="32"/>
        <v>5</v>
      </c>
      <c r="K235" s="420">
        <f>PTVT!J726</f>
        <v>858.26397066666482</v>
      </c>
      <c r="L235" s="420">
        <f t="shared" si="33"/>
        <v>4291.3198533333243</v>
      </c>
      <c r="M235" s="420">
        <f>PTVT!L726</f>
        <v>911.48736000000008</v>
      </c>
      <c r="N235" s="420">
        <f t="shared" si="34"/>
        <v>4557.4368000000004</v>
      </c>
      <c r="O235" s="420">
        <f t="shared" si="35"/>
        <v>53.223389333335263</v>
      </c>
      <c r="P235" s="420">
        <f t="shared" si="36"/>
        <v>266.11694666667631</v>
      </c>
      <c r="Q235" s="420">
        <v>1</v>
      </c>
      <c r="R235" s="420">
        <f t="shared" si="37"/>
        <v>911.48736000000008</v>
      </c>
      <c r="S235" s="420">
        <f t="shared" si="38"/>
        <v>4557.4368000000004</v>
      </c>
      <c r="T235" s="420"/>
      <c r="U235" s="420"/>
      <c r="V235" s="420">
        <v>-53.2233893333349</v>
      </c>
      <c r="W235" s="420">
        <f t="shared" si="39"/>
        <v>-266.11694666667449</v>
      </c>
      <c r="X235" s="420">
        <f>PTVT!P726</f>
        <v>902.61361866666664</v>
      </c>
      <c r="Y235" s="420">
        <f t="shared" si="40"/>
        <v>4513.0680933333333</v>
      </c>
      <c r="Z235" s="420">
        <f t="shared" si="41"/>
        <v>44.349648000001821</v>
      </c>
      <c r="AA235" s="420">
        <f t="shared" si="42"/>
        <v>221.7482400000091</v>
      </c>
    </row>
    <row r="236" spans="1:27" s="410" customFormat="1" ht="27.6" hidden="1">
      <c r="A236" s="413"/>
      <c r="B236" s="414"/>
      <c r="C236" s="413" t="str">
        <f>'5.Tiên lượng'!C184</f>
        <v>BB.11222VD</v>
      </c>
      <c r="D236" s="413"/>
      <c r="E236" s="415" t="str">
        <f>'5.Tiên lượng'!D184</f>
        <v>Lắp đặt ống bê tông bằng cần cẩu, đoạn ống dài 2m - Đường kính 800mm</v>
      </c>
      <c r="F236" s="414" t="str">
        <f>'5.Tiên lượng'!E184</f>
        <v>1 đoạn ống</v>
      </c>
      <c r="G236" s="416">
        <f>'5.Tiên lượng'!M184</f>
        <v>1</v>
      </c>
      <c r="H236" s="416">
        <f>PTVT!G735</f>
        <v>5</v>
      </c>
      <c r="I236" s="416">
        <f>'5.Tiên lượng'!X184</f>
        <v>1</v>
      </c>
      <c r="J236" s="419">
        <f t="shared" si="32"/>
        <v>5</v>
      </c>
      <c r="K236" s="420">
        <f>PTVT!J735</f>
        <v>919.56853999999794</v>
      </c>
      <c r="L236" s="420">
        <f t="shared" si="33"/>
        <v>4597.8426999999901</v>
      </c>
      <c r="M236" s="420">
        <f>PTVT!L735</f>
        <v>976.59360000000004</v>
      </c>
      <c r="N236" s="420">
        <f t="shared" si="34"/>
        <v>4882.9679999999998</v>
      </c>
      <c r="O236" s="420">
        <f t="shared" si="35"/>
        <v>57.0250600000021</v>
      </c>
      <c r="P236" s="420">
        <f t="shared" si="36"/>
        <v>285.1253000000105</v>
      </c>
      <c r="Q236" s="420">
        <v>1</v>
      </c>
      <c r="R236" s="420">
        <f t="shared" si="37"/>
        <v>976.59360000000004</v>
      </c>
      <c r="S236" s="420">
        <f t="shared" si="38"/>
        <v>4882.9679999999998</v>
      </c>
      <c r="T236" s="420"/>
      <c r="U236" s="420"/>
      <c r="V236" s="420">
        <v>-57.025060000002</v>
      </c>
      <c r="W236" s="420">
        <f t="shared" si="39"/>
        <v>-285.12530000000999</v>
      </c>
      <c r="X236" s="420">
        <f>PTVT!P735</f>
        <v>967.08601999999985</v>
      </c>
      <c r="Y236" s="420">
        <f t="shared" si="40"/>
        <v>4835.4300999999996</v>
      </c>
      <c r="Z236" s="420">
        <f t="shared" si="41"/>
        <v>47.51748000000191</v>
      </c>
      <c r="AA236" s="420">
        <f t="shared" si="42"/>
        <v>237.58740000000955</v>
      </c>
    </row>
    <row r="237" spans="1:27" s="410" customFormat="1" hidden="1">
      <c r="A237" s="413"/>
      <c r="B237" s="414"/>
      <c r="C237" s="413" t="str">
        <f>'5.Tiên lượng'!C70</f>
        <v>AL.24310</v>
      </c>
      <c r="D237" s="413"/>
      <c r="E237" s="415" t="str">
        <f>'5.Tiên lượng'!D70</f>
        <v>Cắt khe</v>
      </c>
      <c r="F237" s="414" t="str">
        <f>'5.Tiên lượng'!E70</f>
        <v>100m</v>
      </c>
      <c r="G237" s="416">
        <f>'5.Tiên lượng'!M70</f>
        <v>21.295000000000002</v>
      </c>
      <c r="H237" s="416">
        <f>PTVT!G260</f>
        <v>2</v>
      </c>
      <c r="I237" s="416">
        <f>'5.Tiên lượng'!X70</f>
        <v>1</v>
      </c>
      <c r="J237" s="419">
        <f t="shared" si="32"/>
        <v>42.59</v>
      </c>
      <c r="K237" s="420">
        <f>PTVT!J260</f>
        <v>1182.2381995200008</v>
      </c>
      <c r="L237" s="420">
        <f t="shared" si="33"/>
        <v>50351.524917556839</v>
      </c>
      <c r="M237" s="420">
        <f>PTVT!L260</f>
        <v>1205.41932</v>
      </c>
      <c r="N237" s="420">
        <f t="shared" si="34"/>
        <v>51338.808838800003</v>
      </c>
      <c r="O237" s="420">
        <f t="shared" si="35"/>
        <v>23.181120479999208</v>
      </c>
      <c r="P237" s="420">
        <f t="shared" si="36"/>
        <v>987.28392124316633</v>
      </c>
      <c r="Q237" s="420">
        <v>1</v>
      </c>
      <c r="R237" s="420">
        <f t="shared" si="37"/>
        <v>1205.41932</v>
      </c>
      <c r="S237" s="420">
        <f t="shared" si="38"/>
        <v>51338.808838800003</v>
      </c>
      <c r="T237" s="420"/>
      <c r="U237" s="420"/>
      <c r="V237" s="420">
        <v>-23.181120479999901</v>
      </c>
      <c r="W237" s="420">
        <f t="shared" si="39"/>
        <v>-987.28392124319589</v>
      </c>
      <c r="X237" s="420">
        <f>PTVT!P260</f>
        <v>1239.7323624000001</v>
      </c>
      <c r="Y237" s="420">
        <f t="shared" si="40"/>
        <v>52800.20131461601</v>
      </c>
      <c r="Z237" s="420">
        <f t="shared" si="41"/>
        <v>57.494162879999294</v>
      </c>
      <c r="AA237" s="420">
        <f t="shared" si="42"/>
        <v>2448.6763970591701</v>
      </c>
    </row>
    <row r="238" spans="1:27" s="410" customFormat="1" hidden="1">
      <c r="A238" s="413"/>
      <c r="B238" s="414"/>
      <c r="C238" s="413" t="str">
        <f>'5.Tiên lượng'!C143</f>
        <v>AG.32511</v>
      </c>
      <c r="D238" s="413"/>
      <c r="E238" s="415" t="str">
        <f>'5.Tiên lượng'!D143</f>
        <v>Ván khuôn thép tấm đậy</v>
      </c>
      <c r="F238" s="414" t="str">
        <f>'5.Tiên lượng'!E143</f>
        <v>100m2</v>
      </c>
      <c r="G238" s="416">
        <f>'5.Tiên lượng'!M143</f>
        <v>0.35389999999999999</v>
      </c>
      <c r="H238" s="416">
        <f>PTVT!G563</f>
        <v>5</v>
      </c>
      <c r="I238" s="416">
        <f>'5.Tiên lượng'!X143</f>
        <v>1</v>
      </c>
      <c r="J238" s="419">
        <f t="shared" si="32"/>
        <v>1.7694999999999999</v>
      </c>
      <c r="K238" s="420">
        <f>PTVT!J563</f>
        <v>1296.2690706240001</v>
      </c>
      <c r="L238" s="420">
        <f t="shared" si="33"/>
        <v>2293.748120469168</v>
      </c>
      <c r="M238" s="420">
        <f>PTVT!L563</f>
        <v>1286.9670000000001</v>
      </c>
      <c r="N238" s="420">
        <f t="shared" si="34"/>
        <v>2277.2881065000001</v>
      </c>
      <c r="O238" s="420">
        <f t="shared" si="35"/>
        <v>-9.3020706239999527</v>
      </c>
      <c r="P238" s="420">
        <f t="shared" si="36"/>
        <v>-16.460013969167914</v>
      </c>
      <c r="Q238" s="420">
        <v>1</v>
      </c>
      <c r="R238" s="420">
        <f t="shared" si="37"/>
        <v>1286.9670000000001</v>
      </c>
      <c r="S238" s="420">
        <f t="shared" si="38"/>
        <v>2277.2881065000001</v>
      </c>
      <c r="T238" s="420"/>
      <c r="U238" s="420"/>
      <c r="V238" s="420">
        <v>9.3020706239999509</v>
      </c>
      <c r="W238" s="420">
        <f t="shared" si="39"/>
        <v>16.46001396916791</v>
      </c>
      <c r="X238" s="420">
        <f>PTVT!P563</f>
        <v>1409.0539364880001</v>
      </c>
      <c r="Y238" s="420">
        <f t="shared" si="40"/>
        <v>2493.3209406155161</v>
      </c>
      <c r="Z238" s="420">
        <f t="shared" si="41"/>
        <v>112.78486586400004</v>
      </c>
      <c r="AA238" s="420">
        <f t="shared" si="42"/>
        <v>199.57282014634805</v>
      </c>
    </row>
    <row r="239" spans="1:27" s="410" customFormat="1" hidden="1">
      <c r="A239" s="413"/>
      <c r="B239" s="414"/>
      <c r="C239" s="413" t="str">
        <f>'5.Tiên lượng'!C200</f>
        <v>AG.32511</v>
      </c>
      <c r="D239" s="413"/>
      <c r="E239" s="415" t="str">
        <f>'5.Tiên lượng'!D200</f>
        <v>Ván khuôn thép tấm bản</v>
      </c>
      <c r="F239" s="414" t="str">
        <f>'5.Tiên lượng'!E200</f>
        <v>100m2</v>
      </c>
      <c r="G239" s="416">
        <f>'5.Tiên lượng'!M200</f>
        <v>6.0100000000000001E-2</v>
      </c>
      <c r="H239" s="416">
        <f>PTVT!G852</f>
        <v>5</v>
      </c>
      <c r="I239" s="416">
        <f>'5.Tiên lượng'!X200</f>
        <v>1</v>
      </c>
      <c r="J239" s="419">
        <f t="shared" si="32"/>
        <v>0.30049999999999999</v>
      </c>
      <c r="K239" s="420">
        <f>PTVT!J852</f>
        <v>1296.2690706240001</v>
      </c>
      <c r="L239" s="420">
        <f t="shared" si="33"/>
        <v>389.52885572251199</v>
      </c>
      <c r="M239" s="420">
        <f>PTVT!L852</f>
        <v>1286.9670000000001</v>
      </c>
      <c r="N239" s="420">
        <f t="shared" si="34"/>
        <v>386.73358350000001</v>
      </c>
      <c r="O239" s="420">
        <f t="shared" si="35"/>
        <v>-9.3020706239999527</v>
      </c>
      <c r="P239" s="420">
        <f t="shared" si="36"/>
        <v>-2.7952722225119855</v>
      </c>
      <c r="Q239" s="420">
        <v>1</v>
      </c>
      <c r="R239" s="420">
        <f t="shared" si="37"/>
        <v>1286.9670000000001</v>
      </c>
      <c r="S239" s="420">
        <f t="shared" si="38"/>
        <v>386.73358350000001</v>
      </c>
      <c r="T239" s="420"/>
      <c r="U239" s="420"/>
      <c r="V239" s="420">
        <v>9.3020706239999509</v>
      </c>
      <c r="W239" s="420">
        <f t="shared" si="39"/>
        <v>2.795272222511985</v>
      </c>
      <c r="X239" s="420">
        <f>PTVT!P852</f>
        <v>1409.0539364880001</v>
      </c>
      <c r="Y239" s="420">
        <f t="shared" si="40"/>
        <v>423.42070791464403</v>
      </c>
      <c r="Z239" s="420">
        <f t="shared" si="41"/>
        <v>112.78486586400004</v>
      </c>
      <c r="AA239" s="420">
        <f t="shared" si="42"/>
        <v>33.891852192132013</v>
      </c>
    </row>
    <row r="240" spans="1:27" s="410" customFormat="1" ht="41.4" hidden="1">
      <c r="A240" s="413"/>
      <c r="B240" s="414"/>
      <c r="C240" s="413" t="str">
        <f>'5.Tiên lượng'!C132</f>
        <v>AF.14212</v>
      </c>
      <c r="D240" s="413"/>
      <c r="E240" s="415" t="str">
        <f>'5.Tiên lượng'!D132</f>
        <v>Bê tông mũ mố, mũ trụ trên cạn SX bằng máy trộn, đổ bằng thủ công, bê tông M200, đá 1x2, PCB40</v>
      </c>
      <c r="F240" s="414" t="str">
        <f>'5.Tiên lượng'!E132</f>
        <v>m3</v>
      </c>
      <c r="G240" s="416">
        <f>'5.Tiên lượng'!M132</f>
        <v>5.91</v>
      </c>
      <c r="H240" s="416">
        <f>PTVT!G509</f>
        <v>1</v>
      </c>
      <c r="I240" s="416">
        <f>'5.Tiên lượng'!X132</f>
        <v>1</v>
      </c>
      <c r="J240" s="419">
        <f t="shared" si="32"/>
        <v>5.91</v>
      </c>
      <c r="K240" s="420">
        <f>PTVT!J509</f>
        <v>1401.8089060247987</v>
      </c>
      <c r="L240" s="420">
        <f t="shared" si="33"/>
        <v>8284.6906346065607</v>
      </c>
      <c r="M240" s="420">
        <f>PTVT!L509</f>
        <v>1457.28388</v>
      </c>
      <c r="N240" s="420">
        <f t="shared" si="34"/>
        <v>8612.547730799999</v>
      </c>
      <c r="O240" s="420">
        <f t="shared" si="35"/>
        <v>55.474973975201237</v>
      </c>
      <c r="P240" s="420">
        <f t="shared" si="36"/>
        <v>327.8570961934393</v>
      </c>
      <c r="Q240" s="420">
        <v>1</v>
      </c>
      <c r="R240" s="420">
        <f t="shared" si="37"/>
        <v>1457.28388</v>
      </c>
      <c r="S240" s="420">
        <f t="shared" si="38"/>
        <v>8612.547730799999</v>
      </c>
      <c r="T240" s="420"/>
      <c r="U240" s="420"/>
      <c r="V240" s="420">
        <v>-55.474973975199902</v>
      </c>
      <c r="W240" s="420">
        <f t="shared" si="39"/>
        <v>-327.8570961934314</v>
      </c>
      <c r="X240" s="420">
        <f>PTVT!P509</f>
        <v>1482.1456068726</v>
      </c>
      <c r="Y240" s="420">
        <f t="shared" si="40"/>
        <v>8759.4805366170658</v>
      </c>
      <c r="Z240" s="420">
        <f t="shared" si="41"/>
        <v>80.336700847801239</v>
      </c>
      <c r="AA240" s="420">
        <f t="shared" si="42"/>
        <v>474.78990201050533</v>
      </c>
    </row>
    <row r="241" spans="1:27" s="410" customFormat="1" hidden="1">
      <c r="A241" s="413"/>
      <c r="B241" s="414"/>
      <c r="C241" s="413" t="str">
        <f>'5.Tiên lượng'!C197</f>
        <v>AF.14232</v>
      </c>
      <c r="D241" s="413"/>
      <c r="E241" s="415" t="str">
        <f>'5.Tiên lượng'!D197</f>
        <v>BTCT mũ mố, M200, đá 2x4, PCB40</v>
      </c>
      <c r="F241" s="414" t="str">
        <f>'5.Tiên lượng'!E197</f>
        <v>m3</v>
      </c>
      <c r="G241" s="416">
        <f>'5.Tiên lượng'!M197</f>
        <v>0.79</v>
      </c>
      <c r="H241" s="416">
        <f>PTVT!G833</f>
        <v>1</v>
      </c>
      <c r="I241" s="416">
        <f>'5.Tiên lượng'!X197</f>
        <v>1</v>
      </c>
      <c r="J241" s="419">
        <f t="shared" si="32"/>
        <v>0.79</v>
      </c>
      <c r="K241" s="420">
        <f>PTVT!J833</f>
        <v>1401.8089060247987</v>
      </c>
      <c r="L241" s="420">
        <f t="shared" si="33"/>
        <v>1107.429035759591</v>
      </c>
      <c r="M241" s="420">
        <f>PTVT!L833</f>
        <v>1457.28388</v>
      </c>
      <c r="N241" s="420">
        <f t="shared" si="34"/>
        <v>1151.2542652</v>
      </c>
      <c r="O241" s="420">
        <f t="shared" si="35"/>
        <v>55.474973975201237</v>
      </c>
      <c r="P241" s="420">
        <f t="shared" si="36"/>
        <v>43.825229440408982</v>
      </c>
      <c r="Q241" s="420">
        <v>1</v>
      </c>
      <c r="R241" s="420">
        <f t="shared" si="37"/>
        <v>1457.28388</v>
      </c>
      <c r="S241" s="420">
        <f t="shared" si="38"/>
        <v>1151.2542652</v>
      </c>
      <c r="T241" s="420"/>
      <c r="U241" s="420"/>
      <c r="V241" s="420">
        <v>-55.474973975199902</v>
      </c>
      <c r="W241" s="420">
        <f t="shared" si="39"/>
        <v>-43.825229440407924</v>
      </c>
      <c r="X241" s="420">
        <f>PTVT!P833</f>
        <v>1482.1456068726</v>
      </c>
      <c r="Y241" s="420">
        <f t="shared" si="40"/>
        <v>1170.8950294293541</v>
      </c>
      <c r="Z241" s="420">
        <f t="shared" si="41"/>
        <v>80.336700847801239</v>
      </c>
      <c r="AA241" s="420">
        <f t="shared" si="42"/>
        <v>63.46599366976298</v>
      </c>
    </row>
    <row r="242" spans="1:27" s="410" customFormat="1" hidden="1">
      <c r="A242" s="413"/>
      <c r="B242" s="414"/>
      <c r="C242" s="413" t="str">
        <f>'5.Tiên lượng'!C56</f>
        <v>AF.82411</v>
      </c>
      <c r="D242" s="413"/>
      <c r="E242" s="415" t="str">
        <f>'5.Tiên lượng'!D56</f>
        <v>Ván khuôn thép mặt đường bê tông</v>
      </c>
      <c r="F242" s="414" t="str">
        <f>'5.Tiên lượng'!E56</f>
        <v>100m2</v>
      </c>
      <c r="G242" s="416">
        <f>'5.Tiên lượng'!M56</f>
        <v>3.6397000000000004</v>
      </c>
      <c r="H242" s="416">
        <f>PTVT!G168</f>
        <v>2</v>
      </c>
      <c r="I242" s="416">
        <f>'5.Tiên lượng'!X56</f>
        <v>1</v>
      </c>
      <c r="J242" s="419">
        <f t="shared" si="32"/>
        <v>7.2794000000000008</v>
      </c>
      <c r="K242" s="420">
        <f>PTVT!J168</f>
        <v>1649.7969989759999</v>
      </c>
      <c r="L242" s="420">
        <f t="shared" si="33"/>
        <v>12009.532274345895</v>
      </c>
      <c r="M242" s="420">
        <f>PTVT!L168</f>
        <v>1637.9579999999999</v>
      </c>
      <c r="N242" s="420">
        <f t="shared" si="34"/>
        <v>11923.351465199999</v>
      </c>
      <c r="O242" s="420">
        <f t="shared" si="35"/>
        <v>-11.838998976000084</v>
      </c>
      <c r="P242" s="420">
        <f t="shared" si="36"/>
        <v>-86.180809145895026</v>
      </c>
      <c r="Q242" s="420">
        <v>1</v>
      </c>
      <c r="R242" s="420">
        <f t="shared" si="37"/>
        <v>1637.9579999999999</v>
      </c>
      <c r="S242" s="420">
        <f t="shared" si="38"/>
        <v>11923.351465199999</v>
      </c>
      <c r="T242" s="420"/>
      <c r="U242" s="420"/>
      <c r="V242" s="420">
        <v>11.8389989759999</v>
      </c>
      <c r="W242" s="420">
        <f t="shared" si="39"/>
        <v>86.180809145893676</v>
      </c>
      <c r="X242" s="420">
        <f>PTVT!P168</f>
        <v>1793.3413737119999</v>
      </c>
      <c r="Y242" s="420">
        <f t="shared" si="40"/>
        <v>13054.449195799134</v>
      </c>
      <c r="Z242" s="420">
        <f t="shared" si="41"/>
        <v>143.54437473600001</v>
      </c>
      <c r="AA242" s="420">
        <f t="shared" si="42"/>
        <v>1044.9169214532385</v>
      </c>
    </row>
    <row r="243" spans="1:27" s="410" customFormat="1" hidden="1">
      <c r="A243" s="413"/>
      <c r="B243" s="414"/>
      <c r="C243" s="413" t="str">
        <f>'5.Tiên lượng'!C65</f>
        <v>AF.82411</v>
      </c>
      <c r="D243" s="413"/>
      <c r="E243" s="415" t="str">
        <f>'5.Tiên lượng'!D65</f>
        <v>Ván khuôn thép mặt đường bê tông</v>
      </c>
      <c r="F243" s="414" t="str">
        <f>'5.Tiên lượng'!E65</f>
        <v>100m2</v>
      </c>
      <c r="G243" s="416">
        <f>'5.Tiên lượng'!M65</f>
        <v>0.14080000000000001</v>
      </c>
      <c r="H243" s="416">
        <f>PTVT!G213</f>
        <v>2</v>
      </c>
      <c r="I243" s="416">
        <f>'5.Tiên lượng'!X65</f>
        <v>1</v>
      </c>
      <c r="J243" s="419">
        <f t="shared" si="32"/>
        <v>0.28160000000000002</v>
      </c>
      <c r="K243" s="420">
        <f>PTVT!J213</f>
        <v>1649.7969989759999</v>
      </c>
      <c r="L243" s="420">
        <f t="shared" si="33"/>
        <v>464.58283491164161</v>
      </c>
      <c r="M243" s="420">
        <f>PTVT!L213</f>
        <v>1637.9579999999999</v>
      </c>
      <c r="N243" s="420">
        <f t="shared" si="34"/>
        <v>461.24897279999999</v>
      </c>
      <c r="O243" s="420">
        <f t="shared" si="35"/>
        <v>-11.838998976000084</v>
      </c>
      <c r="P243" s="420">
        <f t="shared" si="36"/>
        <v>-3.3338621116416238</v>
      </c>
      <c r="Q243" s="420">
        <v>1</v>
      </c>
      <c r="R243" s="420">
        <f t="shared" si="37"/>
        <v>1637.9579999999999</v>
      </c>
      <c r="S243" s="420">
        <f t="shared" si="38"/>
        <v>461.24897279999999</v>
      </c>
      <c r="T243" s="420"/>
      <c r="U243" s="420"/>
      <c r="V243" s="420">
        <v>11.8389989759999</v>
      </c>
      <c r="W243" s="420">
        <f t="shared" si="39"/>
        <v>3.3338621116415719</v>
      </c>
      <c r="X243" s="420">
        <f>PTVT!P213</f>
        <v>1793.3413737119999</v>
      </c>
      <c r="Y243" s="420">
        <f t="shared" si="40"/>
        <v>505.00493083729924</v>
      </c>
      <c r="Z243" s="420">
        <f t="shared" si="41"/>
        <v>143.54437473600001</v>
      </c>
      <c r="AA243" s="420">
        <f t="shared" si="42"/>
        <v>40.422095925657608</v>
      </c>
    </row>
    <row r="244" spans="1:27" s="410" customFormat="1" ht="27.6" hidden="1">
      <c r="A244" s="413"/>
      <c r="B244" s="414"/>
      <c r="C244" s="413" t="str">
        <f>'5.Tiên lượng'!C113</f>
        <v>AD.24223</v>
      </c>
      <c r="D244" s="413"/>
      <c r="E244" s="415" t="str">
        <f>'5.Tiên lượng'!D113</f>
        <v>Tưới lớp dính bám mặt đường, nhũ tương CSS1, lượng nhũ tương 1kg/m2</v>
      </c>
      <c r="F244" s="414" t="str">
        <f>'5.Tiên lượng'!E113</f>
        <v>100m2</v>
      </c>
      <c r="G244" s="416">
        <f>'5.Tiên lượng'!M113</f>
        <v>106.9627</v>
      </c>
      <c r="H244" s="416">
        <f>PTVT!G401</f>
        <v>2</v>
      </c>
      <c r="I244" s="416">
        <f>'5.Tiên lượng'!X113</f>
        <v>1</v>
      </c>
      <c r="J244" s="419">
        <f t="shared" si="32"/>
        <v>213.9254</v>
      </c>
      <c r="K244" s="420">
        <f>PTVT!J401</f>
        <v>2490.5750701866677</v>
      </c>
      <c r="L244" s="420">
        <f t="shared" si="33"/>
        <v>532797.26811971096</v>
      </c>
      <c r="M244" s="420">
        <f>PTVT!L401</f>
        <v>2698.6789400000002</v>
      </c>
      <c r="N244" s="420">
        <f t="shared" si="34"/>
        <v>577315.9717110761</v>
      </c>
      <c r="O244" s="420">
        <f t="shared" si="35"/>
        <v>208.10386981333249</v>
      </c>
      <c r="P244" s="420">
        <f t="shared" si="36"/>
        <v>44518.703591365076</v>
      </c>
      <c r="Q244" s="420">
        <v>1</v>
      </c>
      <c r="R244" s="420">
        <f t="shared" si="37"/>
        <v>2698.6789400000002</v>
      </c>
      <c r="S244" s="420">
        <f t="shared" si="38"/>
        <v>577315.9717110761</v>
      </c>
      <c r="T244" s="420"/>
      <c r="U244" s="420"/>
      <c r="V244" s="420">
        <v>-208.10386981332999</v>
      </c>
      <c r="W244" s="420">
        <f t="shared" si="39"/>
        <v>-44518.703591364545</v>
      </c>
      <c r="X244" s="420">
        <f>PTVT!P401</f>
        <v>2541.5985818666668</v>
      </c>
      <c r="Y244" s="420">
        <f t="shared" si="40"/>
        <v>543712.49326525943</v>
      </c>
      <c r="Z244" s="420">
        <f t="shared" si="41"/>
        <v>51.023511679999046</v>
      </c>
      <c r="AA244" s="420">
        <f t="shared" si="42"/>
        <v>10915.225145548467</v>
      </c>
    </row>
    <row r="245" spans="1:27" s="410" customFormat="1" ht="27.6" hidden="1">
      <c r="A245" s="413"/>
      <c r="B245" s="414"/>
      <c r="C245" s="413" t="str">
        <f>'5.Tiên lượng'!C120</f>
        <v>AD.24223</v>
      </c>
      <c r="D245" s="413"/>
      <c r="E245" s="415" t="str">
        <f>'5.Tiên lượng'!D120</f>
        <v>Tưới lớp dính bám mặt đường, nhũ tương CSS1, lượng nhũ tương 1kg/m2</v>
      </c>
      <c r="F245" s="414" t="str">
        <f>'5.Tiên lượng'!E120</f>
        <v>100m2</v>
      </c>
      <c r="G245" s="416">
        <f>'5.Tiên lượng'!M120</f>
        <v>1.3271999999999999</v>
      </c>
      <c r="H245" s="416">
        <f>PTVT!G442</f>
        <v>2</v>
      </c>
      <c r="I245" s="416">
        <f>'5.Tiên lượng'!X120</f>
        <v>1</v>
      </c>
      <c r="J245" s="419">
        <f t="shared" si="32"/>
        <v>2.6543999999999999</v>
      </c>
      <c r="K245" s="420">
        <f>PTVT!J442</f>
        <v>2490.5750701866677</v>
      </c>
      <c r="L245" s="420">
        <f t="shared" si="33"/>
        <v>6610.9824663034906</v>
      </c>
      <c r="M245" s="420">
        <f>PTVT!L442</f>
        <v>2698.6789400000002</v>
      </c>
      <c r="N245" s="420">
        <f t="shared" si="34"/>
        <v>7163.3733783360003</v>
      </c>
      <c r="O245" s="420">
        <f t="shared" si="35"/>
        <v>208.10386981333249</v>
      </c>
      <c r="P245" s="420">
        <f t="shared" si="36"/>
        <v>552.39091203250973</v>
      </c>
      <c r="Q245" s="420">
        <v>1</v>
      </c>
      <c r="R245" s="420">
        <f t="shared" si="37"/>
        <v>2698.6789400000002</v>
      </c>
      <c r="S245" s="420">
        <f t="shared" si="38"/>
        <v>7163.3733783360003</v>
      </c>
      <c r="T245" s="420"/>
      <c r="U245" s="420"/>
      <c r="V245" s="420">
        <v>-208.10386981332999</v>
      </c>
      <c r="W245" s="420">
        <f t="shared" si="39"/>
        <v>-552.39091203250314</v>
      </c>
      <c r="X245" s="420">
        <f>PTVT!P442</f>
        <v>2541.5985818666668</v>
      </c>
      <c r="Y245" s="420">
        <f t="shared" si="40"/>
        <v>6746.4192757068804</v>
      </c>
      <c r="Z245" s="420">
        <f t="shared" si="41"/>
        <v>51.023511679999046</v>
      </c>
      <c r="AA245" s="420">
        <f t="shared" si="42"/>
        <v>135.43680940338947</v>
      </c>
    </row>
    <row r="246" spans="1:27" s="410" customFormat="1" hidden="1">
      <c r="A246" s="413"/>
      <c r="B246" s="414"/>
      <c r="C246" s="413" t="str">
        <f>'5.Tiên lượng'!C135</f>
        <v>AF.82511</v>
      </c>
      <c r="D246" s="413"/>
      <c r="E246" s="415" t="str">
        <f>'5.Tiên lượng'!D135</f>
        <v>Ván khuôn thép mũ  mố</v>
      </c>
      <c r="F246" s="414" t="str">
        <f>'5.Tiên lượng'!E135</f>
        <v>100m2</v>
      </c>
      <c r="G246" s="416">
        <f>'5.Tiên lượng'!M135</f>
        <v>0.93220000000000003</v>
      </c>
      <c r="H246" s="416">
        <f>PTVT!G528</f>
        <v>2</v>
      </c>
      <c r="I246" s="416">
        <f>'5.Tiên lượng'!X135</f>
        <v>1</v>
      </c>
      <c r="J246" s="419">
        <f t="shared" si="32"/>
        <v>1.8644000000000001</v>
      </c>
      <c r="K246" s="420">
        <f>PTVT!J528</f>
        <v>3221.0322360959999</v>
      </c>
      <c r="L246" s="420">
        <f t="shared" si="33"/>
        <v>6005.2925009773826</v>
      </c>
      <c r="M246" s="420">
        <f>PTVT!L528</f>
        <v>3197.9179999999997</v>
      </c>
      <c r="N246" s="420">
        <f t="shared" si="34"/>
        <v>5962.1983191999998</v>
      </c>
      <c r="O246" s="420">
        <f t="shared" si="35"/>
        <v>-23.114236096000241</v>
      </c>
      <c r="P246" s="420">
        <f t="shared" si="36"/>
        <v>-43.09418177738285</v>
      </c>
      <c r="Q246" s="420">
        <v>1</v>
      </c>
      <c r="R246" s="420">
        <f t="shared" si="37"/>
        <v>3197.9179999999997</v>
      </c>
      <c r="S246" s="420">
        <f t="shared" si="38"/>
        <v>5962.1983191999998</v>
      </c>
      <c r="T246" s="420"/>
      <c r="U246" s="420"/>
      <c r="V246" s="420">
        <v>23.1142360959998</v>
      </c>
      <c r="W246" s="420">
        <f t="shared" si="39"/>
        <v>43.094181777382026</v>
      </c>
      <c r="X246" s="420">
        <f>PTVT!P528</f>
        <v>3501.2855391519993</v>
      </c>
      <c r="Y246" s="420">
        <f t="shared" si="40"/>
        <v>6527.7967591949873</v>
      </c>
      <c r="Z246" s="420">
        <f t="shared" si="41"/>
        <v>280.25330305599937</v>
      </c>
      <c r="AA246" s="420">
        <f t="shared" si="42"/>
        <v>522.50425821760518</v>
      </c>
    </row>
    <row r="247" spans="1:27" s="410" customFormat="1" hidden="1">
      <c r="A247" s="413"/>
      <c r="B247" s="414"/>
      <c r="C247" s="413" t="str">
        <f>'5.Tiên lượng'!C158</f>
        <v>AF.82511</v>
      </c>
      <c r="D247" s="413"/>
      <c r="E247" s="415" t="str">
        <f>'5.Tiên lượng'!D158</f>
        <v>Ván khuôn thép rãnh</v>
      </c>
      <c r="F247" s="414" t="str">
        <f>'5.Tiên lượng'!E158</f>
        <v>100m2</v>
      </c>
      <c r="G247" s="416">
        <f>'5.Tiên lượng'!M158</f>
        <v>0.61380000000000001</v>
      </c>
      <c r="H247" s="416">
        <f>PTVT!G626</f>
        <v>2</v>
      </c>
      <c r="I247" s="416">
        <f>'5.Tiên lượng'!X158</f>
        <v>1</v>
      </c>
      <c r="J247" s="419">
        <f t="shared" si="32"/>
        <v>1.2276</v>
      </c>
      <c r="K247" s="420">
        <f>PTVT!J626</f>
        <v>3221.0322360959999</v>
      </c>
      <c r="L247" s="420">
        <f t="shared" si="33"/>
        <v>3954.1391730314494</v>
      </c>
      <c r="M247" s="420">
        <f>PTVT!L626</f>
        <v>3197.9179999999997</v>
      </c>
      <c r="N247" s="420">
        <f t="shared" si="34"/>
        <v>3925.7641367999995</v>
      </c>
      <c r="O247" s="420">
        <f t="shared" si="35"/>
        <v>-23.114236096000241</v>
      </c>
      <c r="P247" s="420">
        <f t="shared" si="36"/>
        <v>-28.375036231449897</v>
      </c>
      <c r="Q247" s="420">
        <v>1</v>
      </c>
      <c r="R247" s="420">
        <f t="shared" si="37"/>
        <v>3197.9179999999997</v>
      </c>
      <c r="S247" s="420">
        <f t="shared" si="38"/>
        <v>3925.7641367999995</v>
      </c>
      <c r="T247" s="420"/>
      <c r="U247" s="420"/>
      <c r="V247" s="420">
        <v>23.1142360959998</v>
      </c>
      <c r="W247" s="420">
        <f t="shared" si="39"/>
        <v>28.375036231449354</v>
      </c>
      <c r="X247" s="420">
        <f>PTVT!P626</f>
        <v>3501.2855391519993</v>
      </c>
      <c r="Y247" s="420">
        <f t="shared" si="40"/>
        <v>4298.1781278629942</v>
      </c>
      <c r="Z247" s="420">
        <f t="shared" si="41"/>
        <v>280.25330305599937</v>
      </c>
      <c r="AA247" s="420">
        <f t="shared" si="42"/>
        <v>344.03895483154486</v>
      </c>
    </row>
    <row r="248" spans="1:27" s="410" customFormat="1" hidden="1">
      <c r="A248" s="413"/>
      <c r="B248" s="414"/>
      <c r="C248" s="413" t="str">
        <f>'5.Tiên lượng'!C202</f>
        <v>AF.82511</v>
      </c>
      <c r="D248" s="413"/>
      <c r="E248" s="415" t="str">
        <f>'5.Tiên lượng'!D202</f>
        <v>Ván khuôn thép cống</v>
      </c>
      <c r="F248" s="414" t="str">
        <f>'5.Tiên lượng'!E202</f>
        <v>100m2</v>
      </c>
      <c r="G248" s="416">
        <f>'5.Tiên lượng'!M202</f>
        <v>0.27440000000000003</v>
      </c>
      <c r="H248" s="416">
        <f>PTVT!G863</f>
        <v>2</v>
      </c>
      <c r="I248" s="416">
        <f>'5.Tiên lượng'!X202</f>
        <v>1</v>
      </c>
      <c r="J248" s="419">
        <f t="shared" si="32"/>
        <v>0.54880000000000007</v>
      </c>
      <c r="K248" s="420">
        <f>PTVT!J863</f>
        <v>3221.0322360959999</v>
      </c>
      <c r="L248" s="420">
        <f t="shared" si="33"/>
        <v>1767.702491169485</v>
      </c>
      <c r="M248" s="420">
        <f>PTVT!L863</f>
        <v>3197.9179999999997</v>
      </c>
      <c r="N248" s="420">
        <f t="shared" si="34"/>
        <v>1755.0173984</v>
      </c>
      <c r="O248" s="420">
        <f t="shared" si="35"/>
        <v>-23.114236096000241</v>
      </c>
      <c r="P248" s="420">
        <f t="shared" si="36"/>
        <v>-12.685092769484934</v>
      </c>
      <c r="Q248" s="420">
        <v>1</v>
      </c>
      <c r="R248" s="420">
        <f t="shared" si="37"/>
        <v>3197.9179999999997</v>
      </c>
      <c r="S248" s="420">
        <f t="shared" si="38"/>
        <v>1755.0173984</v>
      </c>
      <c r="T248" s="420"/>
      <c r="U248" s="420"/>
      <c r="V248" s="420">
        <v>23.1142360959998</v>
      </c>
      <c r="W248" s="420">
        <f t="shared" si="39"/>
        <v>12.685092769484692</v>
      </c>
      <c r="X248" s="420">
        <f>PTVT!P863</f>
        <v>3501.2855391519993</v>
      </c>
      <c r="Y248" s="420">
        <f t="shared" si="40"/>
        <v>1921.5055038866174</v>
      </c>
      <c r="Z248" s="420">
        <f t="shared" si="41"/>
        <v>280.25330305599937</v>
      </c>
      <c r="AA248" s="420">
        <f t="shared" si="42"/>
        <v>153.80301271713248</v>
      </c>
    </row>
    <row r="249" spans="1:27" s="410" customFormat="1" ht="27.6" hidden="1">
      <c r="A249" s="413"/>
      <c r="B249" s="414"/>
      <c r="C249" s="413" t="str">
        <f>'5.Tiên lượng'!C38</f>
        <v>AB.64123</v>
      </c>
      <c r="D249" s="413"/>
      <c r="E249" s="415" t="str">
        <f>'5.Tiên lượng'!D38</f>
        <v>Đắp nền đường bằng máy lu bánh thép 16T, máy ủi 110CV, độ chặt Y/C K = 0,95</v>
      </c>
      <c r="F249" s="414" t="str">
        <f>'5.Tiên lượng'!E38</f>
        <v>100m3</v>
      </c>
      <c r="G249" s="416">
        <f>'5.Tiên lượng'!M38</f>
        <v>4.593362831858407</v>
      </c>
      <c r="H249" s="416">
        <f>PTVT!G97</f>
        <v>1.5</v>
      </c>
      <c r="I249" s="416">
        <f>'5.Tiên lượng'!X38</f>
        <v>1</v>
      </c>
      <c r="J249" s="419">
        <f t="shared" si="32"/>
        <v>6.8900442477876105</v>
      </c>
      <c r="K249" s="420">
        <f>PTVT!J97</f>
        <v>7355.1699394536427</v>
      </c>
      <c r="L249" s="420">
        <f t="shared" si="33"/>
        <v>50677.446332832915</v>
      </c>
      <c r="M249" s="420">
        <f>PTVT!L97</f>
        <v>8118.4309300000014</v>
      </c>
      <c r="N249" s="420">
        <f t="shared" si="34"/>
        <v>55936.348330307534</v>
      </c>
      <c r="O249" s="420">
        <f t="shared" si="35"/>
        <v>763.2609905463587</v>
      </c>
      <c r="P249" s="420">
        <f t="shared" si="36"/>
        <v>5258.9019974746125</v>
      </c>
      <c r="Q249" s="420">
        <v>1</v>
      </c>
      <c r="R249" s="420">
        <f t="shared" si="37"/>
        <v>8118.4309300000014</v>
      </c>
      <c r="S249" s="420">
        <f t="shared" si="38"/>
        <v>55936.348330307534</v>
      </c>
      <c r="T249" s="420"/>
      <c r="U249" s="420"/>
      <c r="V249" s="420">
        <v>-763.26099054636097</v>
      </c>
      <c r="W249" s="420">
        <f t="shared" si="39"/>
        <v>-5258.9019974746279</v>
      </c>
      <c r="X249" s="420">
        <f>PTVT!P97</f>
        <v>7636.5089940936514</v>
      </c>
      <c r="Y249" s="420">
        <f t="shared" si="40"/>
        <v>52615.884867933317</v>
      </c>
      <c r="Z249" s="420">
        <f t="shared" si="41"/>
        <v>281.33905464000873</v>
      </c>
      <c r="AA249" s="420">
        <f t="shared" si="42"/>
        <v>1938.4385351003964</v>
      </c>
    </row>
    <row r="250" spans="1:27" s="410" customFormat="1" ht="27.6" hidden="1">
      <c r="A250" s="413"/>
      <c r="B250" s="414"/>
      <c r="C250" s="413" t="str">
        <f>'5.Tiên lượng'!C101</f>
        <v>AB.64113</v>
      </c>
      <c r="D250" s="413"/>
      <c r="E250" s="415" t="str">
        <f>'5.Tiên lượng'!D101</f>
        <v>Đắp nền đường bằng máy lu bánh thép 9T, máy ủi 110CV, độ chặt Y/C K = 0,95</v>
      </c>
      <c r="F250" s="414" t="str">
        <f>'5.Tiên lượng'!E101</f>
        <v>100m3</v>
      </c>
      <c r="G250" s="416">
        <f>'5.Tiên lượng'!M101</f>
        <v>8.2415929999999999</v>
      </c>
      <c r="H250" s="416">
        <f>PTVT!G341</f>
        <v>1.5</v>
      </c>
      <c r="I250" s="416">
        <f>'5.Tiên lượng'!X101</f>
        <v>1</v>
      </c>
      <c r="J250" s="419">
        <f t="shared" si="32"/>
        <v>12.362389499999999</v>
      </c>
      <c r="K250" s="420">
        <f>PTVT!J341</f>
        <v>7749.666004199993</v>
      </c>
      <c r="L250" s="420">
        <f t="shared" si="33"/>
        <v>95804.389638828943</v>
      </c>
      <c r="M250" s="420">
        <f>PTVT!L341</f>
        <v>8500.1154000000006</v>
      </c>
      <c r="N250" s="420">
        <f t="shared" si="34"/>
        <v>105081.7373697483</v>
      </c>
      <c r="O250" s="420">
        <f t="shared" si="35"/>
        <v>750.44939580000755</v>
      </c>
      <c r="P250" s="420">
        <f t="shared" si="36"/>
        <v>9277.3477309193568</v>
      </c>
      <c r="Q250" s="420">
        <v>1</v>
      </c>
      <c r="R250" s="420">
        <f t="shared" si="37"/>
        <v>8500.1154000000006</v>
      </c>
      <c r="S250" s="420">
        <f t="shared" si="38"/>
        <v>105081.7373697483</v>
      </c>
      <c r="T250" s="420"/>
      <c r="U250" s="420"/>
      <c r="V250" s="420">
        <v>-750.44939580001005</v>
      </c>
      <c r="W250" s="420">
        <f t="shared" si="39"/>
        <v>-9277.3477309193877</v>
      </c>
      <c r="X250" s="420">
        <f>PTVT!P341</f>
        <v>8060.3442209999994</v>
      </c>
      <c r="Y250" s="420">
        <f t="shared" si="40"/>
        <v>99645.114764076061</v>
      </c>
      <c r="Z250" s="420">
        <f t="shared" si="41"/>
        <v>310.67821680000634</v>
      </c>
      <c r="AA250" s="420">
        <f t="shared" si="42"/>
        <v>3840.7251252471215</v>
      </c>
    </row>
    <row r="251" spans="1:27" s="410" customFormat="1" ht="27.6" hidden="1">
      <c r="A251" s="413"/>
      <c r="B251" s="414"/>
      <c r="C251" s="413" t="str">
        <f>'5.Tiên lượng'!C149</f>
        <v>AB.64113</v>
      </c>
      <c r="D251" s="413"/>
      <c r="E251" s="415" t="str">
        <f>'5.Tiên lượng'!D149</f>
        <v>Đắp nền đường bằng máy lu bánh thép 9T, máy ủi 110CV, độ chặt Y/C K = 0,95</v>
      </c>
      <c r="F251" s="414" t="str">
        <f>'5.Tiên lượng'!E149</f>
        <v>100m3</v>
      </c>
      <c r="G251" s="416">
        <f>'5.Tiên lượng'!M149</f>
        <v>0.27899999999999997</v>
      </c>
      <c r="H251" s="416">
        <f>PTVT!G590</f>
        <v>1.5</v>
      </c>
      <c r="I251" s="416">
        <f>'5.Tiên lượng'!X149</f>
        <v>1</v>
      </c>
      <c r="J251" s="419">
        <f t="shared" si="32"/>
        <v>0.41849999999999998</v>
      </c>
      <c r="K251" s="420">
        <f>PTVT!J590</f>
        <v>7749.666004199993</v>
      </c>
      <c r="L251" s="420">
        <f t="shared" si="33"/>
        <v>3243.2352227576971</v>
      </c>
      <c r="M251" s="420">
        <f>PTVT!L590</f>
        <v>8500.1154000000006</v>
      </c>
      <c r="N251" s="420">
        <f t="shared" si="34"/>
        <v>3557.2982949000002</v>
      </c>
      <c r="O251" s="420">
        <f t="shared" si="35"/>
        <v>750.44939580000755</v>
      </c>
      <c r="P251" s="420">
        <f t="shared" si="36"/>
        <v>314.06307214230316</v>
      </c>
      <c r="Q251" s="420">
        <v>1</v>
      </c>
      <c r="R251" s="420">
        <f t="shared" si="37"/>
        <v>8500.1154000000006</v>
      </c>
      <c r="S251" s="420">
        <f t="shared" si="38"/>
        <v>3557.2982949000002</v>
      </c>
      <c r="T251" s="420"/>
      <c r="U251" s="420"/>
      <c r="V251" s="420">
        <v>-750.44939580001005</v>
      </c>
      <c r="W251" s="420">
        <f t="shared" si="39"/>
        <v>-314.06307214230418</v>
      </c>
      <c r="X251" s="420">
        <f>PTVT!P590</f>
        <v>8060.3442209999994</v>
      </c>
      <c r="Y251" s="420">
        <f t="shared" si="40"/>
        <v>3373.2540564884998</v>
      </c>
      <c r="Z251" s="420">
        <f t="shared" si="41"/>
        <v>310.67821680000634</v>
      </c>
      <c r="AA251" s="420">
        <f t="shared" si="42"/>
        <v>130.01883373080264</v>
      </c>
    </row>
    <row r="252" spans="1:27" s="410" customFormat="1" hidden="1">
      <c r="A252" s="413"/>
      <c r="B252" s="414"/>
      <c r="C252" s="413" t="str">
        <f>'5.Tiên lượng'!C36</f>
        <v>AD.11212</v>
      </c>
      <c r="D252" s="413"/>
      <c r="E252" s="415" t="str">
        <f>'5.Tiên lượng'!D36</f>
        <v>Thi công đắp cấp phối đá dăm loại 2</v>
      </c>
      <c r="F252" s="414" t="str">
        <f>'5.Tiên lượng'!E36</f>
        <v>100m3</v>
      </c>
      <c r="G252" s="416">
        <f>'5.Tiên lượng'!M36</f>
        <v>9.2337371681415927</v>
      </c>
      <c r="H252" s="416">
        <f>PTVT!G90</f>
        <v>0.5</v>
      </c>
      <c r="I252" s="416">
        <f>'5.Tiên lượng'!X36</f>
        <v>1</v>
      </c>
      <c r="J252" s="419">
        <f t="shared" si="32"/>
        <v>4.6168685840707964</v>
      </c>
      <c r="K252" s="420">
        <f>PTVT!J90</f>
        <v>23017.788123621671</v>
      </c>
      <c r="L252" s="420">
        <f t="shared" si="33"/>
        <v>106270.10286274677</v>
      </c>
      <c r="M252" s="420">
        <f>PTVT!L90</f>
        <v>1971.8591999999999</v>
      </c>
      <c r="N252" s="420">
        <f t="shared" si="34"/>
        <v>9103.8147926909733</v>
      </c>
      <c r="O252" s="420">
        <f t="shared" si="35"/>
        <v>-21045.928923621672</v>
      </c>
      <c r="P252" s="420">
        <f t="shared" si="36"/>
        <v>-97166.288070055802</v>
      </c>
      <c r="Q252" s="420">
        <v>1</v>
      </c>
      <c r="R252" s="420">
        <f t="shared" si="37"/>
        <v>1971.8591999999999</v>
      </c>
      <c r="S252" s="420">
        <f t="shared" si="38"/>
        <v>9103.8147926909733</v>
      </c>
      <c r="T252" s="420"/>
      <c r="U252" s="420"/>
      <c r="V252" s="420">
        <v>23017.7881236217</v>
      </c>
      <c r="W252" s="420">
        <f t="shared" si="39"/>
        <v>106270.10286274691</v>
      </c>
      <c r="X252" s="420">
        <f>PTVT!P90</f>
        <v>23577.76576842165</v>
      </c>
      <c r="Y252" s="420">
        <f t="shared" si="40"/>
        <v>108855.44605880576</v>
      </c>
      <c r="Z252" s="420">
        <f t="shared" si="41"/>
        <v>559.97764479997932</v>
      </c>
      <c r="AA252" s="420">
        <f t="shared" si="42"/>
        <v>2585.3431960589796</v>
      </c>
    </row>
    <row r="253" spans="1:27" s="410" customFormat="1" hidden="1">
      <c r="A253" s="413"/>
      <c r="B253" s="414"/>
      <c r="C253" s="413" t="str">
        <f>'5.Tiên lượng'!C51</f>
        <v>AD.11212</v>
      </c>
      <c r="D253" s="413"/>
      <c r="E253" s="415" t="str">
        <f>'5.Tiên lượng'!D51</f>
        <v xml:space="preserve">Thi công móng cấp phối đá dăm lớp dưới </v>
      </c>
      <c r="F253" s="414" t="str">
        <f>'5.Tiên lượng'!E51</f>
        <v>100m3</v>
      </c>
      <c r="G253" s="416">
        <f>'5.Tiên lượng'!M51</f>
        <v>1.3379759999999998</v>
      </c>
      <c r="H253" s="416">
        <f>PTVT!G146</f>
        <v>0.5</v>
      </c>
      <c r="I253" s="416">
        <f>'5.Tiên lượng'!X51</f>
        <v>1</v>
      </c>
      <c r="J253" s="419">
        <f t="shared" si="32"/>
        <v>0.66898799999999992</v>
      </c>
      <c r="K253" s="420">
        <f>PTVT!J146</f>
        <v>23017.788123621671</v>
      </c>
      <c r="L253" s="420">
        <f t="shared" si="33"/>
        <v>15398.624041245412</v>
      </c>
      <c r="M253" s="420">
        <f>PTVT!L146</f>
        <v>1971.8591999999999</v>
      </c>
      <c r="N253" s="420">
        <f t="shared" si="34"/>
        <v>1319.1501424895998</v>
      </c>
      <c r="O253" s="420">
        <f t="shared" si="35"/>
        <v>-21045.928923621672</v>
      </c>
      <c r="P253" s="420">
        <f t="shared" si="36"/>
        <v>-14079.473898755814</v>
      </c>
      <c r="Q253" s="420">
        <v>1</v>
      </c>
      <c r="R253" s="420">
        <f t="shared" si="37"/>
        <v>1971.8591999999999</v>
      </c>
      <c r="S253" s="420">
        <f t="shared" si="38"/>
        <v>1319.1501424895998</v>
      </c>
      <c r="T253" s="420"/>
      <c r="U253" s="420"/>
      <c r="V253" s="420">
        <v>-1668.5553763783</v>
      </c>
      <c r="W253" s="420">
        <f t="shared" si="39"/>
        <v>-1116.2435241325661</v>
      </c>
      <c r="X253" s="420">
        <f>PTVT!P146</f>
        <v>23577.76576842165</v>
      </c>
      <c r="Y253" s="420">
        <f t="shared" si="40"/>
        <v>15773.24236588486</v>
      </c>
      <c r="Z253" s="420">
        <f t="shared" si="41"/>
        <v>559.97764479997932</v>
      </c>
      <c r="AA253" s="420">
        <f t="shared" si="42"/>
        <v>374.61832463944853</v>
      </c>
    </row>
    <row r="254" spans="1:27" s="410" customFormat="1" hidden="1">
      <c r="A254" s="413"/>
      <c r="B254" s="414"/>
      <c r="C254" s="413" t="str">
        <f>'5.Tiên lượng'!C53</f>
        <v>AD.11212</v>
      </c>
      <c r="D254" s="413"/>
      <c r="E254" s="415" t="str">
        <f>'5.Tiên lượng'!D53</f>
        <v xml:space="preserve">Thi công móng cấp phối đá dăm lớp dưới </v>
      </c>
      <c r="F254" s="414" t="str">
        <f>'5.Tiên lượng'!E53</f>
        <v>100m3</v>
      </c>
      <c r="G254" s="416">
        <f>'5.Tiên lượng'!M53</f>
        <v>1.7016</v>
      </c>
      <c r="H254" s="416">
        <f>PTVT!G158</f>
        <v>0.5</v>
      </c>
      <c r="I254" s="416">
        <f>'5.Tiên lượng'!X53</f>
        <v>1</v>
      </c>
      <c r="J254" s="419">
        <f t="shared" si="32"/>
        <v>0.8508</v>
      </c>
      <c r="K254" s="420">
        <f>PTVT!J158</f>
        <v>23017.788123621671</v>
      </c>
      <c r="L254" s="420">
        <f t="shared" si="33"/>
        <v>19583.534135577316</v>
      </c>
      <c r="M254" s="420">
        <f>PTVT!L158</f>
        <v>1971.8591999999999</v>
      </c>
      <c r="N254" s="420">
        <f t="shared" si="34"/>
        <v>1677.6578073599999</v>
      </c>
      <c r="O254" s="420">
        <f t="shared" si="35"/>
        <v>-21045.928923621672</v>
      </c>
      <c r="P254" s="420">
        <f t="shared" si="36"/>
        <v>-17905.876328217317</v>
      </c>
      <c r="Q254" s="420">
        <v>1</v>
      </c>
      <c r="R254" s="420">
        <f t="shared" si="37"/>
        <v>1971.8591999999999</v>
      </c>
      <c r="S254" s="420">
        <f t="shared" si="38"/>
        <v>1677.6578073599999</v>
      </c>
      <c r="T254" s="420"/>
      <c r="U254" s="420"/>
      <c r="V254" s="420">
        <v>-1668.5553763783</v>
      </c>
      <c r="W254" s="420">
        <f t="shared" si="39"/>
        <v>-1419.6069142226577</v>
      </c>
      <c r="X254" s="420">
        <f>PTVT!P158</f>
        <v>23577.76576842165</v>
      </c>
      <c r="Y254" s="420">
        <f t="shared" si="40"/>
        <v>20059.963115773138</v>
      </c>
      <c r="Z254" s="420">
        <f t="shared" si="41"/>
        <v>559.97764479997932</v>
      </c>
      <c r="AA254" s="420">
        <f t="shared" si="42"/>
        <v>476.42898019582242</v>
      </c>
    </row>
    <row r="255" spans="1:27" s="410" customFormat="1" hidden="1">
      <c r="A255" s="413"/>
      <c r="B255" s="414"/>
      <c r="C255" s="413" t="str">
        <f>'5.Tiên lượng'!C63</f>
        <v>AD.11212</v>
      </c>
      <c r="D255" s="413"/>
      <c r="E255" s="415" t="str">
        <f>'5.Tiên lượng'!D63</f>
        <v xml:space="preserve">Thi công móng cấp phối đá dăm lớp dưới </v>
      </c>
      <c r="F255" s="414" t="str">
        <f>'5.Tiên lượng'!E63</f>
        <v>100m3</v>
      </c>
      <c r="G255" s="416">
        <f>'5.Tiên lượng'!M63</f>
        <v>7.6583999999999999E-2</v>
      </c>
      <c r="H255" s="416">
        <f>PTVT!G203</f>
        <v>0.5</v>
      </c>
      <c r="I255" s="416">
        <f>'5.Tiên lượng'!X63</f>
        <v>1</v>
      </c>
      <c r="J255" s="419">
        <f t="shared" si="32"/>
        <v>3.8292E-2</v>
      </c>
      <c r="K255" s="420">
        <f>PTVT!J203</f>
        <v>23017.788123621671</v>
      </c>
      <c r="L255" s="420">
        <f t="shared" si="33"/>
        <v>881.39714282972102</v>
      </c>
      <c r="M255" s="420">
        <f>PTVT!L203</f>
        <v>1971.8591999999999</v>
      </c>
      <c r="N255" s="420">
        <f t="shared" si="34"/>
        <v>75.506432486400001</v>
      </c>
      <c r="O255" s="420">
        <f t="shared" si="35"/>
        <v>-21045.928923621672</v>
      </c>
      <c r="P255" s="420">
        <f t="shared" si="36"/>
        <v>-805.89071034332108</v>
      </c>
      <c r="Q255" s="420">
        <v>1</v>
      </c>
      <c r="R255" s="420">
        <f t="shared" si="37"/>
        <v>1971.8591999999999</v>
      </c>
      <c r="S255" s="420">
        <f t="shared" si="38"/>
        <v>75.506432486400001</v>
      </c>
      <c r="T255" s="420"/>
      <c r="U255" s="420"/>
      <c r="V255" s="420">
        <v>-1668.5553763783</v>
      </c>
      <c r="W255" s="420">
        <f t="shared" si="39"/>
        <v>-63.892322472277861</v>
      </c>
      <c r="X255" s="420">
        <f>PTVT!P203</f>
        <v>23577.76576842165</v>
      </c>
      <c r="Y255" s="420">
        <f t="shared" si="40"/>
        <v>902.83980680440186</v>
      </c>
      <c r="Z255" s="420">
        <f t="shared" si="41"/>
        <v>559.97764479997932</v>
      </c>
      <c r="AA255" s="420">
        <f t="shared" si="42"/>
        <v>21.442663974680809</v>
      </c>
    </row>
    <row r="256" spans="1:27" s="410" customFormat="1" hidden="1">
      <c r="A256" s="413"/>
      <c r="B256" s="414"/>
      <c r="C256" s="413" t="str">
        <f>'5.Tiên lượng'!C99</f>
        <v>AD.11212</v>
      </c>
      <c r="D256" s="413"/>
      <c r="E256" s="415" t="str">
        <f>'5.Tiên lượng'!D99</f>
        <v xml:space="preserve">Thi công móng cấp phối đá dăm lớp dưới </v>
      </c>
      <c r="F256" s="414" t="str">
        <f>'5.Tiên lượng'!E99</f>
        <v>100m3</v>
      </c>
      <c r="G256" s="416">
        <f>'5.Tiên lượng'!M99</f>
        <v>4.3350070000000001</v>
      </c>
      <c r="H256" s="416">
        <f>PTVT!G334</f>
        <v>0.5</v>
      </c>
      <c r="I256" s="416">
        <f>'5.Tiên lượng'!X99</f>
        <v>1</v>
      </c>
      <c r="J256" s="419">
        <f t="shared" si="32"/>
        <v>2.1675035</v>
      </c>
      <c r="K256" s="420">
        <f>PTVT!J334</f>
        <v>23017.788123621671</v>
      </c>
      <c r="L256" s="420">
        <f t="shared" si="33"/>
        <v>49891.136320208403</v>
      </c>
      <c r="M256" s="420">
        <f>PTVT!L334</f>
        <v>1971.8591999999999</v>
      </c>
      <c r="N256" s="420">
        <f t="shared" si="34"/>
        <v>4274.0117175072</v>
      </c>
      <c r="O256" s="420">
        <f t="shared" si="35"/>
        <v>-21045.928923621672</v>
      </c>
      <c r="P256" s="420">
        <f t="shared" si="36"/>
        <v>-45617.124602701209</v>
      </c>
      <c r="Q256" s="420">
        <v>1</v>
      </c>
      <c r="R256" s="420">
        <f t="shared" si="37"/>
        <v>1971.8591999999999</v>
      </c>
      <c r="S256" s="420">
        <f t="shared" si="38"/>
        <v>4274.0117175072</v>
      </c>
      <c r="T256" s="420"/>
      <c r="U256" s="420"/>
      <c r="V256" s="420">
        <v>-1668.5553763783</v>
      </c>
      <c r="W256" s="420">
        <f t="shared" si="39"/>
        <v>-3616.5996182437825</v>
      </c>
      <c r="X256" s="420">
        <f>PTVT!P334</f>
        <v>23577.76576842165</v>
      </c>
      <c r="Y256" s="420">
        <f t="shared" si="40"/>
        <v>51104.889825234117</v>
      </c>
      <c r="Z256" s="420">
        <f t="shared" si="41"/>
        <v>559.97764479997932</v>
      </c>
      <c r="AA256" s="420">
        <f t="shared" si="42"/>
        <v>1213.753505025712</v>
      </c>
    </row>
    <row r="257" spans="1:27" s="410" customFormat="1" ht="27.6" hidden="1">
      <c r="A257" s="413"/>
      <c r="B257" s="414"/>
      <c r="C257" s="413" t="str">
        <f>'5.Tiên lượng'!C105</f>
        <v>AD.11212(VD)</v>
      </c>
      <c r="D257" s="413"/>
      <c r="E257" s="415" t="str">
        <f>'5.Tiên lượng'!D105</f>
        <v>Bù vật liệu (trên mặt đường cũ lồi lõm) bằng cấp phối đá dăm loại 2 (không lu)</v>
      </c>
      <c r="F257" s="414" t="str">
        <f>'5.Tiên lượng'!E105</f>
        <v>100m3</v>
      </c>
      <c r="G257" s="416">
        <f>'5.Tiên lượng'!M105</f>
        <v>10.24</v>
      </c>
      <c r="H257" s="416">
        <f>PTVT!G355</f>
        <v>0.5</v>
      </c>
      <c r="I257" s="416">
        <f>'5.Tiên lượng'!X105</f>
        <v>1</v>
      </c>
      <c r="J257" s="419">
        <f t="shared" si="32"/>
        <v>5.12</v>
      </c>
      <c r="K257" s="420">
        <f>PTVT!J355</f>
        <v>23017.788123621671</v>
      </c>
      <c r="L257" s="420">
        <f t="shared" si="33"/>
        <v>117851.07519294295</v>
      </c>
      <c r="M257" s="420">
        <f>PTVT!L355</f>
        <v>1971.8591999999999</v>
      </c>
      <c r="N257" s="420">
        <f t="shared" si="34"/>
        <v>10095.919103999999</v>
      </c>
      <c r="O257" s="420">
        <f t="shared" si="35"/>
        <v>-21045.928923621672</v>
      </c>
      <c r="P257" s="420">
        <f t="shared" si="36"/>
        <v>-107755.15608894297</v>
      </c>
      <c r="Q257" s="420">
        <v>1</v>
      </c>
      <c r="R257" s="420">
        <f t="shared" si="37"/>
        <v>1971.8591999999999</v>
      </c>
      <c r="S257" s="420">
        <f t="shared" si="38"/>
        <v>10095.919103999999</v>
      </c>
      <c r="T257" s="420"/>
      <c r="U257" s="420"/>
      <c r="V257" s="420">
        <v>-1668.5553763783</v>
      </c>
      <c r="W257" s="420">
        <f t="shared" si="39"/>
        <v>-8543.0035270568969</v>
      </c>
      <c r="X257" s="420">
        <f>PTVT!P355</f>
        <v>23577.76576842165</v>
      </c>
      <c r="Y257" s="420">
        <f t="shared" si="40"/>
        <v>120718.16073431885</v>
      </c>
      <c r="Z257" s="420">
        <f t="shared" si="41"/>
        <v>559.97764479997932</v>
      </c>
      <c r="AA257" s="420">
        <f t="shared" si="42"/>
        <v>2867.0855413758941</v>
      </c>
    </row>
    <row r="258" spans="1:27" s="410" customFormat="1" ht="27.6" hidden="1">
      <c r="A258" s="413"/>
      <c r="B258" s="414"/>
      <c r="C258" s="413" t="str">
        <f>'5.Tiên lượng'!C109</f>
        <v>AD.11212</v>
      </c>
      <c r="D258" s="413"/>
      <c r="E258" s="415" t="str">
        <f>'5.Tiên lượng'!D109</f>
        <v>Bù trả vật liệu phần cạp mở rộng bằng cấp phối đá dăm loại 2 dày 18cm (không lu)</v>
      </c>
      <c r="F258" s="414" t="str">
        <f>'5.Tiên lượng'!E109</f>
        <v>100m3</v>
      </c>
      <c r="G258" s="416">
        <f>'5.Tiên lượng'!M109</f>
        <v>4.8311000000000002</v>
      </c>
      <c r="H258" s="416">
        <f>PTVT!G373</f>
        <v>0.5</v>
      </c>
      <c r="I258" s="416">
        <f>'5.Tiên lượng'!X109</f>
        <v>1</v>
      </c>
      <c r="J258" s="419">
        <f t="shared" si="32"/>
        <v>2.4155500000000001</v>
      </c>
      <c r="K258" s="420">
        <f>PTVT!J373</f>
        <v>23017.788123621671</v>
      </c>
      <c r="L258" s="420">
        <f t="shared" si="33"/>
        <v>55600.618102014327</v>
      </c>
      <c r="M258" s="420">
        <f>PTVT!L373</f>
        <v>1971.8591999999999</v>
      </c>
      <c r="N258" s="420">
        <f t="shared" si="34"/>
        <v>4763.1244905599997</v>
      </c>
      <c r="O258" s="420">
        <f t="shared" si="35"/>
        <v>-21045.928923621672</v>
      </c>
      <c r="P258" s="420">
        <f t="shared" si="36"/>
        <v>-50837.493611454331</v>
      </c>
      <c r="Q258" s="420">
        <v>1</v>
      </c>
      <c r="R258" s="420">
        <f t="shared" si="37"/>
        <v>1971.8591999999999</v>
      </c>
      <c r="S258" s="420">
        <f t="shared" si="38"/>
        <v>4763.1244905599997</v>
      </c>
      <c r="T258" s="420"/>
      <c r="U258" s="420"/>
      <c r="V258" s="420">
        <v>-1668.5553763783</v>
      </c>
      <c r="W258" s="420">
        <f t="shared" si="39"/>
        <v>-4030.4789394106028</v>
      </c>
      <c r="X258" s="420">
        <f>PTVT!P373</f>
        <v>23577.76576842165</v>
      </c>
      <c r="Y258" s="420">
        <f t="shared" si="40"/>
        <v>56953.272101910916</v>
      </c>
      <c r="Z258" s="420">
        <f t="shared" si="41"/>
        <v>559.97764479997932</v>
      </c>
      <c r="AA258" s="420">
        <f t="shared" si="42"/>
        <v>1352.65399989659</v>
      </c>
    </row>
    <row r="259" spans="1:27" s="410" customFormat="1" ht="41.4" hidden="1">
      <c r="A259" s="413"/>
      <c r="B259" s="414"/>
      <c r="C259" s="413" t="str">
        <f>'5.Tiên lượng'!C111</f>
        <v>LS.11110(ĐM.1322)</v>
      </c>
      <c r="D259" s="413"/>
      <c r="E259" s="415" t="str">
        <f>'5.Tiên lượng'!D111</f>
        <v>Cào bóc tái sinh nguội tại chỗ bằng máy cào bóc tái sinh WR2400 trên mặt đường láng nhựa, chiều dày 18cm (4% xi măng rải thủ công)</v>
      </c>
      <c r="F259" s="414" t="str">
        <f>'5.Tiên lượng'!E111</f>
        <v>100m3</v>
      </c>
      <c r="G259" s="416">
        <f>'5.Tiên lượng'!M111</f>
        <v>19.253299999999999</v>
      </c>
      <c r="H259" s="416">
        <f>PTVT!G392</f>
        <v>0.72727272727272685</v>
      </c>
      <c r="I259" s="416">
        <f>'5.Tiên lượng'!X111</f>
        <v>0.9</v>
      </c>
      <c r="J259" s="419">
        <f t="shared" si="32"/>
        <v>12.602159999999992</v>
      </c>
      <c r="K259" s="420">
        <f>PTVT!J392</f>
        <v>168438.35043310144</v>
      </c>
      <c r="L259" s="420">
        <f t="shared" si="33"/>
        <v>2122687.0422940124</v>
      </c>
      <c r="M259" s="420">
        <f>PTVT!L392</f>
        <v>171467.53389000002</v>
      </c>
      <c r="N259" s="420">
        <f t="shared" si="34"/>
        <v>2160861.2968872013</v>
      </c>
      <c r="O259" s="420">
        <f t="shared" si="35"/>
        <v>3029.1834568985796</v>
      </c>
      <c r="P259" s="420">
        <f t="shared" si="36"/>
        <v>38174.254593188984</v>
      </c>
      <c r="Q259" s="420">
        <v>1</v>
      </c>
      <c r="R259" s="420">
        <f t="shared" si="37"/>
        <v>171467.53389000002</v>
      </c>
      <c r="S259" s="420">
        <f t="shared" si="38"/>
        <v>2160861.2968872013</v>
      </c>
      <c r="T259" s="420"/>
      <c r="U259" s="420"/>
      <c r="V259" s="420">
        <v>-7262.6001268989903</v>
      </c>
      <c r="W259" s="420">
        <f t="shared" si="39"/>
        <v>-91524.448815201322</v>
      </c>
      <c r="X259" s="420">
        <f>PTVT!P392</f>
        <v>170442.58199494146</v>
      </c>
      <c r="Y259" s="420">
        <f t="shared" si="40"/>
        <v>2147944.6891133701</v>
      </c>
      <c r="Z259" s="420">
        <f t="shared" si="41"/>
        <v>2004.2315618400171</v>
      </c>
      <c r="AA259" s="420">
        <f t="shared" si="42"/>
        <v>25257.646819357775</v>
      </c>
    </row>
    <row r="260" spans="1:27" s="410" customFormat="1" ht="41.4" hidden="1">
      <c r="A260" s="413"/>
      <c r="B260" s="414"/>
      <c r="C260" s="413" t="str">
        <f>'5.Tiên lượng'!C118</f>
        <v>LS.11110(ĐM.1322)</v>
      </c>
      <c r="D260" s="413"/>
      <c r="E260" s="415" t="str">
        <f>'5.Tiên lượng'!D118</f>
        <v>Cào bóc tái sinh nguội tại chỗ bằng máy cào bóc tái sinh WR2400 trên mặt đường láng nhựa, chiều dày 18cm (4% xi măng rải thủ công)</v>
      </c>
      <c r="F260" s="414" t="str">
        <f>'5.Tiên lượng'!E118</f>
        <v>100m3</v>
      </c>
      <c r="G260" s="416">
        <f>'5.Tiên lượng'!M118</f>
        <v>0.2389</v>
      </c>
      <c r="H260" s="416">
        <f>PTVT!G433</f>
        <v>0.72727272727272685</v>
      </c>
      <c r="I260" s="416">
        <f>'5.Tiên lượng'!X118</f>
        <v>0.9</v>
      </c>
      <c r="J260" s="419">
        <f t="shared" si="32"/>
        <v>0.156370909090909</v>
      </c>
      <c r="K260" s="420">
        <f>PTVT!J433</f>
        <v>168438.35043310144</v>
      </c>
      <c r="L260" s="420">
        <f t="shared" si="33"/>
        <v>26338.857982997179</v>
      </c>
      <c r="M260" s="420">
        <f>PTVT!L433</f>
        <v>171467.53389000002</v>
      </c>
      <c r="N260" s="420">
        <f t="shared" si="34"/>
        <v>26812.534153955552</v>
      </c>
      <c r="O260" s="420">
        <f t="shared" si="35"/>
        <v>3029.1834568985796</v>
      </c>
      <c r="P260" s="420">
        <f t="shared" si="36"/>
        <v>473.67617095837329</v>
      </c>
      <c r="Q260" s="420">
        <v>1</v>
      </c>
      <c r="R260" s="420">
        <f t="shared" si="37"/>
        <v>171467.53389000002</v>
      </c>
      <c r="S260" s="420">
        <f t="shared" si="38"/>
        <v>26812.534153955552</v>
      </c>
      <c r="T260" s="420"/>
      <c r="U260" s="420"/>
      <c r="V260" s="420">
        <v>-7262.6001268989903</v>
      </c>
      <c r="W260" s="420">
        <f t="shared" si="39"/>
        <v>-1135.6593842069462</v>
      </c>
      <c r="X260" s="420">
        <f>PTVT!P433</f>
        <v>170442.58199494146</v>
      </c>
      <c r="Y260" s="420">
        <f t="shared" si="40"/>
        <v>26652.261494350794</v>
      </c>
      <c r="Z260" s="420">
        <f t="shared" si="41"/>
        <v>2004.2315618400171</v>
      </c>
      <c r="AA260" s="420">
        <f t="shared" si="42"/>
        <v>313.4035113536159</v>
      </c>
    </row>
    <row r="261" spans="1:27">
      <c r="A261" s="423"/>
      <c r="B261" s="424"/>
      <c r="C261" s="423"/>
      <c r="D261" s="423"/>
      <c r="E261" s="425" t="s">
        <v>588</v>
      </c>
      <c r="F261" s="424"/>
      <c r="G261" s="426"/>
      <c r="H261" s="426"/>
      <c r="I261" s="426"/>
      <c r="J261" s="427"/>
      <c r="K261" s="428"/>
      <c r="L261" s="428">
        <f>SUMIF(A6:A260,"VT",L6:L260)</f>
        <v>654138086.40064645</v>
      </c>
      <c r="M261" s="428"/>
      <c r="N261" s="428">
        <f>SUMIF(A6:A260,"VT",N6:N260)</f>
        <v>669560828.3731792</v>
      </c>
      <c r="O261" s="428"/>
      <c r="P261" s="428">
        <f>SUMIF(A6:A260,"VT",P6:P260)</f>
        <v>15733736.742838938</v>
      </c>
      <c r="Q261" s="428"/>
      <c r="R261" s="428"/>
      <c r="S261" s="428">
        <f>SUMIF(A6:A260,"VT",S6:S260)</f>
        <v>669560828.3731792</v>
      </c>
      <c r="T261" s="428"/>
      <c r="U261" s="428">
        <f>SUMIF(A6:A260,"VT",U6:U260)</f>
        <v>15328614.326236051</v>
      </c>
      <c r="V261" s="428"/>
      <c r="W261" s="428">
        <f>SUMIF(A6:A260,"VT",W6:W260)</f>
        <v>-107901.46962306487</v>
      </c>
      <c r="X261" s="428"/>
      <c r="Y261" s="428">
        <f>SUMIF(A6:A260,"VT",Y6:Y260)</f>
        <v>671820744.45092392</v>
      </c>
      <c r="Z261" s="428"/>
      <c r="AA261" s="428">
        <f>SUMIF(A6:A260,"VT",AA6:AA260)</f>
        <v>17682658.050277498</v>
      </c>
    </row>
    <row r="262" spans="1:27">
      <c r="A262" s="360"/>
      <c r="B262" s="360"/>
      <c r="C262" s="360"/>
      <c r="D262" s="360"/>
      <c r="E262" s="360"/>
      <c r="F262" s="360"/>
      <c r="G262" s="360"/>
      <c r="H262" s="360"/>
      <c r="I262" s="360"/>
      <c r="J262" s="360"/>
      <c r="K262" s="360"/>
      <c r="L262" s="360"/>
      <c r="M262" s="360"/>
      <c r="N262" s="360"/>
      <c r="O262" s="360"/>
      <c r="P262" s="360"/>
      <c r="Q262" s="360"/>
      <c r="R262" s="360"/>
      <c r="S262" s="360"/>
      <c r="T262" s="360"/>
      <c r="U262" s="360"/>
      <c r="V262" s="360"/>
      <c r="W262" s="360"/>
      <c r="X262" s="360"/>
      <c r="Y262" s="360"/>
      <c r="Z262" s="360"/>
      <c r="AA262" s="360"/>
    </row>
  </sheetData>
  <mergeCells count="28">
    <mergeCell ref="A1:AA1"/>
    <mergeCell ref="A2:AA2"/>
    <mergeCell ref="A3:AA3"/>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Z4:Z5"/>
    <mergeCell ref="AA4:AA5"/>
    <mergeCell ref="U4:U5"/>
    <mergeCell ref="V4:V5"/>
    <mergeCell ref="W4:W5"/>
    <mergeCell ref="X4:X5"/>
    <mergeCell ref="Y4:Y5"/>
  </mergeCells>
  <pageMargins left="0.75" right="0.75" top="0.79" bottom="0.79" header="0.3" footer="0.3"/>
  <pageSetup paperSize="9" orientation="landscape" useFirstPageNumber="1"/>
  <headerFooter>
    <oddFooter>&amp;CTrang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5"/>
  </sheetPr>
  <dimension ref="A1"/>
  <sheetViews>
    <sheetView showZeros="0" topLeftCell="B1" workbookViewId="0">
      <selection activeCell="E13" sqref="E13"/>
    </sheetView>
  </sheetViews>
  <sheetFormatPr defaultColWidth="9.44140625" defaultRowHeight="14.4"/>
  <cols>
    <col min="1" max="1" width="9.44140625" hidden="1" customWidth="1"/>
    <col min="2" max="2" width="5" customWidth="1"/>
    <col min="4" max="4" width="30.44140625" customWidth="1"/>
    <col min="5" max="5" width="7.44140625" customWidth="1"/>
    <col min="6" max="6" width="10" customWidth="1"/>
    <col min="7" max="8" width="8.44140625" customWidth="1"/>
    <col min="9" max="9" width="10" customWidth="1"/>
    <col min="10" max="10" width="7.44140625" customWidth="1"/>
    <col min="11" max="11" width="10" customWidth="1"/>
    <col min="12" max="12" width="12.44140625" customWidth="1"/>
    <col min="13" max="13" width="10.44140625" customWidth="1"/>
    <col min="16" max="16" width="6.44140625" customWidth="1"/>
  </cols>
  <sheetData>
    <row r="1" spans="1:1">
      <c r="A1" s="219"/>
    </row>
  </sheetData>
  <pageMargins left="0.75" right="0.75" top="0.79" bottom="0.79" header="0.3" footer="0.3"/>
  <pageSetup paperSize="9" orientation="landscape" useFirstPageNumber="1"/>
  <headerFooter>
    <oddFooter>&amp;CTrang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5"/>
  </sheetPr>
  <dimension ref="A1:L324"/>
  <sheetViews>
    <sheetView showZeros="0" topLeftCell="B70" workbookViewId="0">
      <selection activeCell="J6" sqref="J6"/>
    </sheetView>
  </sheetViews>
  <sheetFormatPr defaultColWidth="9.21875" defaultRowHeight="13.8"/>
  <cols>
    <col min="1" max="1" width="9.21875" style="146" hidden="1" customWidth="1"/>
    <col min="2" max="2" width="5.44140625" style="146" customWidth="1"/>
    <col min="3" max="3" width="9.21875" style="146"/>
    <col min="4" max="4" width="35.44140625" style="146" customWidth="1"/>
    <col min="5" max="5" width="9.21875" style="146"/>
    <col min="6" max="6" width="10.77734375" style="146" customWidth="1"/>
    <col min="7" max="7" width="16.77734375" style="146" customWidth="1"/>
    <col min="8" max="8" width="11.44140625" style="146" customWidth="1"/>
    <col min="9" max="9" width="9.21875" style="146"/>
    <col min="10" max="10" width="18" style="146" customWidth="1"/>
    <col min="11" max="16384" width="9.21875" style="146"/>
  </cols>
  <sheetData>
    <row r="1" spans="1:10" ht="17.399999999999999">
      <c r="A1" s="976" t="s">
        <v>962</v>
      </c>
      <c r="B1" s="976" t="s">
        <v>962</v>
      </c>
      <c r="C1" s="976" t="s">
        <v>962</v>
      </c>
      <c r="D1" s="976" t="s">
        <v>962</v>
      </c>
      <c r="E1" s="976" t="s">
        <v>962</v>
      </c>
      <c r="F1" s="976" t="s">
        <v>962</v>
      </c>
      <c r="G1" s="976" t="s">
        <v>962</v>
      </c>
      <c r="H1" s="976" t="s">
        <v>962</v>
      </c>
      <c r="I1" s="976" t="s">
        <v>962</v>
      </c>
      <c r="J1" s="976" t="s">
        <v>962</v>
      </c>
    </row>
    <row r="2" spans="1:10">
      <c r="A2" s="938" t="str">
        <f>'8.ĐGTH'!A2</f>
        <v>CÔNG TRÌNH: NÂNG CẤP, CẢI TẠO TUYẾN ĐƯỜNG HUYỆN ĐH.93_x000D_
ĐOẠN TỪ ĐƯỜNG ĐH.91 ĐẾN UBND XÃ THIỆN TÂN</v>
      </c>
      <c r="B2" s="938" t="s">
        <v>762</v>
      </c>
      <c r="C2" s="938" t="s">
        <v>762</v>
      </c>
      <c r="D2" s="938" t="s">
        <v>762</v>
      </c>
      <c r="E2" s="938" t="s">
        <v>762</v>
      </c>
      <c r="F2" s="938" t="s">
        <v>762</v>
      </c>
      <c r="G2" s="938" t="s">
        <v>762</v>
      </c>
      <c r="H2" s="938" t="s">
        <v>762</v>
      </c>
      <c r="I2" s="938" t="s">
        <v>762</v>
      </c>
      <c r="J2" s="938" t="s">
        <v>762</v>
      </c>
    </row>
    <row r="3" spans="1:10">
      <c r="A3" s="938" t="s">
        <v>763</v>
      </c>
      <c r="B3" s="938" t="s">
        <v>763</v>
      </c>
      <c r="C3" s="938" t="s">
        <v>763</v>
      </c>
      <c r="D3" s="938" t="s">
        <v>763</v>
      </c>
      <c r="E3" s="938" t="s">
        <v>763</v>
      </c>
      <c r="F3" s="938" t="s">
        <v>763</v>
      </c>
      <c r="G3" s="938" t="s">
        <v>763</v>
      </c>
      <c r="H3" s="938" t="s">
        <v>763</v>
      </c>
      <c r="I3" s="938" t="s">
        <v>763</v>
      </c>
      <c r="J3" s="938" t="s">
        <v>763</v>
      </c>
    </row>
    <row r="4" spans="1:10">
      <c r="A4" s="977" t="s">
        <v>4</v>
      </c>
      <c r="B4" s="977" t="s">
        <v>4</v>
      </c>
      <c r="C4" s="977" t="s">
        <v>4</v>
      </c>
      <c r="D4" s="977" t="s">
        <v>4</v>
      </c>
      <c r="E4" s="977" t="s">
        <v>4</v>
      </c>
      <c r="F4" s="977" t="s">
        <v>4</v>
      </c>
      <c r="G4" s="977" t="s">
        <v>4</v>
      </c>
      <c r="H4" s="977" t="s">
        <v>4</v>
      </c>
      <c r="I4" s="977" t="s">
        <v>4</v>
      </c>
      <c r="J4" s="977" t="s">
        <v>4</v>
      </c>
    </row>
    <row r="5" spans="1:10" ht="27.6">
      <c r="A5" s="204"/>
      <c r="B5" s="204" t="s">
        <v>5</v>
      </c>
      <c r="C5" s="204" t="s">
        <v>963</v>
      </c>
      <c r="D5" s="204" t="s">
        <v>964</v>
      </c>
      <c r="E5" s="204" t="s">
        <v>594</v>
      </c>
      <c r="F5" s="204" t="s">
        <v>595</v>
      </c>
      <c r="G5" s="204" t="s">
        <v>965</v>
      </c>
      <c r="H5" s="204" t="s">
        <v>966</v>
      </c>
      <c r="I5" s="204" t="s">
        <v>596</v>
      </c>
      <c r="J5" s="204" t="s">
        <v>261</v>
      </c>
    </row>
    <row r="6" spans="1:10">
      <c r="A6" s="383"/>
      <c r="B6" s="384">
        <v>1</v>
      </c>
      <c r="C6" s="383" t="s">
        <v>673</v>
      </c>
      <c r="D6" s="383" t="s">
        <v>925</v>
      </c>
      <c r="E6" s="384" t="s">
        <v>926</v>
      </c>
      <c r="F6" s="384"/>
      <c r="G6" s="385">
        <v>6100000</v>
      </c>
      <c r="H6" s="386">
        <v>120</v>
      </c>
      <c r="I6" s="399"/>
      <c r="J6" s="400">
        <f>J7+J11+J12</f>
        <v>21146.666666666668</v>
      </c>
    </row>
    <row r="7" spans="1:10">
      <c r="A7" s="387"/>
      <c r="B7" s="388"/>
      <c r="C7" s="387"/>
      <c r="D7" s="387" t="s">
        <v>967</v>
      </c>
      <c r="E7" s="388"/>
      <c r="F7" s="388"/>
      <c r="G7" s="282"/>
      <c r="H7" s="388"/>
      <c r="I7" s="401"/>
      <c r="J7" s="282">
        <f>SUM(J8:J10)</f>
        <v>21146.666666666668</v>
      </c>
    </row>
    <row r="8" spans="1:10">
      <c r="A8" s="287"/>
      <c r="B8" s="389"/>
      <c r="C8" s="287"/>
      <c r="D8" s="287" t="s">
        <v>968</v>
      </c>
      <c r="E8" s="389" t="s">
        <v>37</v>
      </c>
      <c r="F8" s="390">
        <v>30</v>
      </c>
      <c r="G8" s="284"/>
      <c r="H8" s="389"/>
      <c r="I8" s="402">
        <v>1</v>
      </c>
      <c r="J8" s="284">
        <f>G6*F8*I8/H6/100</f>
        <v>15250</v>
      </c>
    </row>
    <row r="9" spans="1:10">
      <c r="A9" s="287"/>
      <c r="B9" s="389"/>
      <c r="C9" s="287"/>
      <c r="D9" s="287" t="s">
        <v>969</v>
      </c>
      <c r="E9" s="389" t="s">
        <v>37</v>
      </c>
      <c r="F9" s="390">
        <v>6.6</v>
      </c>
      <c r="G9" s="284"/>
      <c r="H9" s="389"/>
      <c r="I9" s="403"/>
      <c r="J9" s="284">
        <f>G6*F9/H6/100</f>
        <v>3355</v>
      </c>
    </row>
    <row r="10" spans="1:10">
      <c r="A10" s="287"/>
      <c r="B10" s="389"/>
      <c r="C10" s="287"/>
      <c r="D10" s="287" t="s">
        <v>970</v>
      </c>
      <c r="E10" s="389" t="s">
        <v>37</v>
      </c>
      <c r="F10" s="390">
        <v>5</v>
      </c>
      <c r="G10" s="284"/>
      <c r="H10" s="389"/>
      <c r="I10" s="403"/>
      <c r="J10" s="284">
        <f>G6*F10/H6/100</f>
        <v>2541.6666666666665</v>
      </c>
    </row>
    <row r="11" spans="1:10">
      <c r="A11" s="387"/>
      <c r="B11" s="388"/>
      <c r="C11" s="387"/>
      <c r="D11" s="387" t="s">
        <v>971</v>
      </c>
      <c r="E11" s="388"/>
      <c r="F11" s="388"/>
      <c r="G11" s="282"/>
      <c r="H11" s="388"/>
      <c r="I11" s="401"/>
      <c r="J11" s="282">
        <v>0</v>
      </c>
    </row>
    <row r="12" spans="1:10">
      <c r="A12" s="387"/>
      <c r="B12" s="388"/>
      <c r="C12" s="387"/>
      <c r="D12" s="387" t="s">
        <v>972</v>
      </c>
      <c r="E12" s="388"/>
      <c r="F12" s="388"/>
      <c r="G12" s="282"/>
      <c r="H12" s="388"/>
      <c r="I12" s="401"/>
      <c r="J12" s="282">
        <v>0</v>
      </c>
    </row>
    <row r="13" spans="1:10">
      <c r="A13" s="391"/>
      <c r="B13" s="392">
        <v>2</v>
      </c>
      <c r="C13" s="391" t="s">
        <v>665</v>
      </c>
      <c r="D13" s="391" t="s">
        <v>927</v>
      </c>
      <c r="E13" s="392" t="s">
        <v>926</v>
      </c>
      <c r="F13" s="392"/>
      <c r="G13" s="393">
        <v>629428000</v>
      </c>
      <c r="H13" s="394">
        <v>240</v>
      </c>
      <c r="I13" s="404"/>
      <c r="J13" s="405">
        <f>J14+J18+J21</f>
        <v>1611810.0333333332</v>
      </c>
    </row>
    <row r="14" spans="1:10">
      <c r="A14" s="387"/>
      <c r="B14" s="388"/>
      <c r="C14" s="387"/>
      <c r="D14" s="387" t="s">
        <v>967</v>
      </c>
      <c r="E14" s="388"/>
      <c r="F14" s="388"/>
      <c r="G14" s="282"/>
      <c r="H14" s="388"/>
      <c r="I14" s="401"/>
      <c r="J14" s="282">
        <f>SUM(J15:J17)</f>
        <v>461580.53333333333</v>
      </c>
    </row>
    <row r="15" spans="1:10">
      <c r="A15" s="287"/>
      <c r="B15" s="389"/>
      <c r="C15" s="287"/>
      <c r="D15" s="287" t="s">
        <v>968</v>
      </c>
      <c r="E15" s="389" t="s">
        <v>37</v>
      </c>
      <c r="F15" s="390">
        <v>9</v>
      </c>
      <c r="G15" s="284"/>
      <c r="H15" s="389"/>
      <c r="I15" s="402">
        <v>0.9</v>
      </c>
      <c r="J15" s="284">
        <f>G13*F15*I15/H13/100</f>
        <v>212431.95</v>
      </c>
    </row>
    <row r="16" spans="1:10">
      <c r="A16" s="287"/>
      <c r="B16" s="389"/>
      <c r="C16" s="287"/>
      <c r="D16" s="287" t="s">
        <v>969</v>
      </c>
      <c r="E16" s="389" t="s">
        <v>37</v>
      </c>
      <c r="F16" s="390">
        <v>4.5</v>
      </c>
      <c r="G16" s="284"/>
      <c r="H16" s="389"/>
      <c r="I16" s="403"/>
      <c r="J16" s="284">
        <f>G13*F16/H13/100</f>
        <v>118017.75</v>
      </c>
    </row>
    <row r="17" spans="1:12">
      <c r="A17" s="287"/>
      <c r="B17" s="389"/>
      <c r="C17" s="287"/>
      <c r="D17" s="287" t="s">
        <v>970</v>
      </c>
      <c r="E17" s="389" t="s">
        <v>37</v>
      </c>
      <c r="F17" s="390">
        <v>5</v>
      </c>
      <c r="G17" s="284"/>
      <c r="H17" s="389"/>
      <c r="I17" s="403"/>
      <c r="J17" s="284">
        <f>G13*F17/H13/100</f>
        <v>131130.83333333334</v>
      </c>
    </row>
    <row r="18" spans="1:12">
      <c r="A18" s="387"/>
      <c r="B18" s="388"/>
      <c r="C18" s="387"/>
      <c r="D18" s="387" t="s">
        <v>971</v>
      </c>
      <c r="E18" s="388"/>
      <c r="F18" s="388"/>
      <c r="G18" s="282"/>
      <c r="H18" s="388"/>
      <c r="I18" s="401"/>
      <c r="J18" s="282">
        <f>SUM(J19:J20)</f>
        <v>709441</v>
      </c>
    </row>
    <row r="19" spans="1:12">
      <c r="A19" s="287"/>
      <c r="B19" s="389"/>
      <c r="C19" s="287" t="s">
        <v>973</v>
      </c>
      <c r="D19" s="287" t="s">
        <v>974</v>
      </c>
      <c r="E19" s="389" t="s">
        <v>895</v>
      </c>
      <c r="F19" s="390">
        <v>1</v>
      </c>
      <c r="G19" s="395">
        <f>296349</f>
        <v>296349</v>
      </c>
      <c r="H19" s="389"/>
      <c r="I19" s="403"/>
      <c r="J19" s="284">
        <f t="shared" ref="J19:J20" si="0">F19*G19</f>
        <v>296349</v>
      </c>
    </row>
    <row r="20" spans="1:12">
      <c r="A20" s="287"/>
      <c r="B20" s="389"/>
      <c r="C20" s="287" t="s">
        <v>975</v>
      </c>
      <c r="D20" s="287" t="s">
        <v>976</v>
      </c>
      <c r="E20" s="389" t="s">
        <v>895</v>
      </c>
      <c r="F20" s="390">
        <v>1</v>
      </c>
      <c r="G20" s="395">
        <f>413092</f>
        <v>413092</v>
      </c>
      <c r="H20" s="389"/>
      <c r="I20" s="403"/>
      <c r="J20" s="284">
        <f t="shared" si="0"/>
        <v>413092</v>
      </c>
    </row>
    <row r="21" spans="1:12">
      <c r="A21" s="387"/>
      <c r="B21" s="388"/>
      <c r="C21" s="387"/>
      <c r="D21" s="387" t="s">
        <v>972</v>
      </c>
      <c r="E21" s="388"/>
      <c r="F21" s="388"/>
      <c r="G21" s="282"/>
      <c r="H21" s="388"/>
      <c r="I21" s="401"/>
      <c r="J21" s="282">
        <f>SUM(J22:J22)</f>
        <v>440788.5</v>
      </c>
    </row>
    <row r="22" spans="1:12">
      <c r="A22" s="287"/>
      <c r="B22" s="389"/>
      <c r="C22" s="287" t="s">
        <v>977</v>
      </c>
      <c r="D22" s="287" t="s">
        <v>978</v>
      </c>
      <c r="E22" s="389" t="s">
        <v>734</v>
      </c>
      <c r="F22" s="390">
        <v>25</v>
      </c>
      <c r="G22" s="396">
        <f>$L$22</f>
        <v>17118</v>
      </c>
      <c r="H22" s="389"/>
      <c r="I22" s="402">
        <v>1.03</v>
      </c>
      <c r="J22" s="284">
        <f>F22*G22*I22</f>
        <v>440788.5</v>
      </c>
      <c r="L22" s="146">
        <v>17118</v>
      </c>
    </row>
    <row r="23" spans="1:12">
      <c r="A23" s="391"/>
      <c r="B23" s="392">
        <v>3</v>
      </c>
      <c r="C23" s="391" t="s">
        <v>660</v>
      </c>
      <c r="D23" s="391" t="s">
        <v>928</v>
      </c>
      <c r="E23" s="392" t="s">
        <v>926</v>
      </c>
      <c r="F23" s="392"/>
      <c r="G23" s="393">
        <v>1032544000</v>
      </c>
      <c r="H23" s="394">
        <v>240</v>
      </c>
      <c r="I23" s="404"/>
      <c r="J23" s="405">
        <f>J24+J28+J31</f>
        <v>2048480.7533333334</v>
      </c>
    </row>
    <row r="24" spans="1:12">
      <c r="A24" s="387"/>
      <c r="B24" s="388"/>
      <c r="C24" s="387"/>
      <c r="D24" s="387" t="s">
        <v>967</v>
      </c>
      <c r="E24" s="388"/>
      <c r="F24" s="388"/>
      <c r="G24" s="282"/>
      <c r="H24" s="388"/>
      <c r="I24" s="401"/>
      <c r="J24" s="282">
        <f>SUM(J25:J27)</f>
        <v>757198.93333333335</v>
      </c>
    </row>
    <row r="25" spans="1:12">
      <c r="A25" s="287"/>
      <c r="B25" s="389"/>
      <c r="C25" s="287"/>
      <c r="D25" s="287" t="s">
        <v>968</v>
      </c>
      <c r="E25" s="389" t="s">
        <v>37</v>
      </c>
      <c r="F25" s="390">
        <v>9</v>
      </c>
      <c r="G25" s="284"/>
      <c r="H25" s="389"/>
      <c r="I25" s="402">
        <v>0.9</v>
      </c>
      <c r="J25" s="284">
        <f>G23*F25*I25/H23/100</f>
        <v>348483.6</v>
      </c>
    </row>
    <row r="26" spans="1:12">
      <c r="A26" s="287"/>
      <c r="B26" s="389"/>
      <c r="C26" s="287"/>
      <c r="D26" s="287" t="s">
        <v>969</v>
      </c>
      <c r="E26" s="389" t="s">
        <v>37</v>
      </c>
      <c r="F26" s="390">
        <v>4.5</v>
      </c>
      <c r="G26" s="284"/>
      <c r="H26" s="389"/>
      <c r="I26" s="403"/>
      <c r="J26" s="284">
        <f>G23*F26/H23/100</f>
        <v>193602</v>
      </c>
    </row>
    <row r="27" spans="1:12">
      <c r="A27" s="287"/>
      <c r="B27" s="389"/>
      <c r="C27" s="287"/>
      <c r="D27" s="287" t="s">
        <v>970</v>
      </c>
      <c r="E27" s="389" t="s">
        <v>37</v>
      </c>
      <c r="F27" s="390">
        <v>5</v>
      </c>
      <c r="G27" s="284"/>
      <c r="H27" s="389"/>
      <c r="I27" s="403"/>
      <c r="J27" s="284">
        <f>G23*F27/H23/100</f>
        <v>215113.33333333331</v>
      </c>
    </row>
    <row r="28" spans="1:12">
      <c r="A28" s="387"/>
      <c r="B28" s="388"/>
      <c r="C28" s="387"/>
      <c r="D28" s="387" t="s">
        <v>971</v>
      </c>
      <c r="E28" s="388"/>
      <c r="F28" s="388"/>
      <c r="G28" s="282"/>
      <c r="H28" s="388"/>
      <c r="I28" s="401"/>
      <c r="J28" s="282">
        <f>SUM(J29:J30)</f>
        <v>709441</v>
      </c>
    </row>
    <row r="29" spans="1:12">
      <c r="A29" s="287"/>
      <c r="B29" s="389"/>
      <c r="C29" s="287" t="s">
        <v>973</v>
      </c>
      <c r="D29" s="287" t="s">
        <v>974</v>
      </c>
      <c r="E29" s="389" t="s">
        <v>895</v>
      </c>
      <c r="F29" s="390">
        <v>1</v>
      </c>
      <c r="G29" s="395">
        <f>296349</f>
        <v>296349</v>
      </c>
      <c r="H29" s="389"/>
      <c r="I29" s="403"/>
      <c r="J29" s="284">
        <f t="shared" ref="J29:J30" si="1">F29*G29</f>
        <v>296349</v>
      </c>
    </row>
    <row r="30" spans="1:12">
      <c r="A30" s="287"/>
      <c r="B30" s="389"/>
      <c r="C30" s="287" t="s">
        <v>975</v>
      </c>
      <c r="D30" s="287" t="s">
        <v>976</v>
      </c>
      <c r="E30" s="389" t="s">
        <v>895</v>
      </c>
      <c r="F30" s="390">
        <v>1</v>
      </c>
      <c r="G30" s="395">
        <f>413092</f>
        <v>413092</v>
      </c>
      <c r="H30" s="389"/>
      <c r="I30" s="403"/>
      <c r="J30" s="284">
        <f t="shared" si="1"/>
        <v>413092</v>
      </c>
    </row>
    <row r="31" spans="1:12">
      <c r="A31" s="387"/>
      <c r="B31" s="388"/>
      <c r="C31" s="387"/>
      <c r="D31" s="387" t="s">
        <v>972</v>
      </c>
      <c r="E31" s="388"/>
      <c r="F31" s="388"/>
      <c r="G31" s="282"/>
      <c r="H31" s="388"/>
      <c r="I31" s="401"/>
      <c r="J31" s="282">
        <f>SUM(J32:J32)</f>
        <v>581840.82000000007</v>
      </c>
    </row>
    <row r="32" spans="1:12">
      <c r="A32" s="287"/>
      <c r="B32" s="389"/>
      <c r="C32" s="287" t="s">
        <v>977</v>
      </c>
      <c r="D32" s="287" t="s">
        <v>978</v>
      </c>
      <c r="E32" s="389" t="s">
        <v>734</v>
      </c>
      <c r="F32" s="390">
        <v>33</v>
      </c>
      <c r="G32" s="396">
        <f>$L$22</f>
        <v>17118</v>
      </c>
      <c r="H32" s="389"/>
      <c r="I32" s="402">
        <v>1.03</v>
      </c>
      <c r="J32" s="284">
        <f>F32*G32*I32</f>
        <v>581840.82000000007</v>
      </c>
    </row>
    <row r="33" spans="1:12">
      <c r="A33" s="391"/>
      <c r="B33" s="392">
        <v>4</v>
      </c>
      <c r="C33" s="391" t="s">
        <v>637</v>
      </c>
      <c r="D33" s="391" t="s">
        <v>929</v>
      </c>
      <c r="E33" s="392" t="s">
        <v>926</v>
      </c>
      <c r="F33" s="392"/>
      <c r="G33" s="393">
        <v>38500000</v>
      </c>
      <c r="H33" s="394">
        <v>120</v>
      </c>
      <c r="I33" s="404"/>
      <c r="J33" s="405">
        <f>J34+J38+J40</f>
        <v>491957.28666666668</v>
      </c>
    </row>
    <row r="34" spans="1:12">
      <c r="A34" s="387"/>
      <c r="B34" s="388"/>
      <c r="C34" s="387"/>
      <c r="D34" s="387" t="s">
        <v>967</v>
      </c>
      <c r="E34" s="388"/>
      <c r="F34" s="388"/>
      <c r="G34" s="282"/>
      <c r="H34" s="388"/>
      <c r="I34" s="401"/>
      <c r="J34" s="282">
        <f>SUM(J35:J37)</f>
        <v>88229.166666666672</v>
      </c>
    </row>
    <row r="35" spans="1:12">
      <c r="A35" s="287"/>
      <c r="B35" s="389"/>
      <c r="C35" s="287"/>
      <c r="D35" s="287" t="s">
        <v>968</v>
      </c>
      <c r="E35" s="389" t="s">
        <v>37</v>
      </c>
      <c r="F35" s="390">
        <v>20</v>
      </c>
      <c r="G35" s="284"/>
      <c r="H35" s="389"/>
      <c r="I35" s="402">
        <v>0.9</v>
      </c>
      <c r="J35" s="284">
        <f>G33*F35*I35/H33/100</f>
        <v>57750</v>
      </c>
    </row>
    <row r="36" spans="1:12">
      <c r="A36" s="287"/>
      <c r="B36" s="389"/>
      <c r="C36" s="287"/>
      <c r="D36" s="287" t="s">
        <v>969</v>
      </c>
      <c r="E36" s="389" t="s">
        <v>37</v>
      </c>
      <c r="F36" s="390">
        <v>4.5</v>
      </c>
      <c r="G36" s="284"/>
      <c r="H36" s="389"/>
      <c r="I36" s="403"/>
      <c r="J36" s="284">
        <f>G33*F36/H33/100</f>
        <v>14437.5</v>
      </c>
    </row>
    <row r="37" spans="1:12">
      <c r="A37" s="287"/>
      <c r="B37" s="389"/>
      <c r="C37" s="287"/>
      <c r="D37" s="287" t="s">
        <v>970</v>
      </c>
      <c r="E37" s="389" t="s">
        <v>37</v>
      </c>
      <c r="F37" s="390">
        <v>5</v>
      </c>
      <c r="G37" s="284"/>
      <c r="H37" s="389"/>
      <c r="I37" s="403"/>
      <c r="J37" s="284">
        <f>G33*F37/H33/100</f>
        <v>16041.666666666668</v>
      </c>
    </row>
    <row r="38" spans="1:12">
      <c r="A38" s="387"/>
      <c r="B38" s="388"/>
      <c r="C38" s="387"/>
      <c r="D38" s="387" t="s">
        <v>971</v>
      </c>
      <c r="E38" s="388"/>
      <c r="F38" s="388"/>
      <c r="G38" s="282"/>
      <c r="H38" s="388"/>
      <c r="I38" s="401"/>
      <c r="J38" s="282">
        <f>SUM(J39:J39)</f>
        <v>249651</v>
      </c>
    </row>
    <row r="39" spans="1:12">
      <c r="A39" s="287"/>
      <c r="B39" s="389"/>
      <c r="C39" s="287" t="s">
        <v>979</v>
      </c>
      <c r="D39" s="287" t="s">
        <v>980</v>
      </c>
      <c r="E39" s="389" t="s">
        <v>895</v>
      </c>
      <c r="F39" s="390">
        <v>1</v>
      </c>
      <c r="G39" s="395">
        <f>249651</f>
        <v>249651</v>
      </c>
      <c r="H39" s="389"/>
      <c r="I39" s="403"/>
      <c r="J39" s="284">
        <f>F39*G39</f>
        <v>249651</v>
      </c>
    </row>
    <row r="40" spans="1:12">
      <c r="A40" s="387"/>
      <c r="B40" s="388"/>
      <c r="C40" s="387"/>
      <c r="D40" s="387" t="s">
        <v>972</v>
      </c>
      <c r="E40" s="388"/>
      <c r="F40" s="388"/>
      <c r="G40" s="282"/>
      <c r="H40" s="388"/>
      <c r="I40" s="401"/>
      <c r="J40" s="282">
        <f>SUM(J41:J41)</f>
        <v>154077.12</v>
      </c>
    </row>
    <row r="41" spans="1:12">
      <c r="A41" s="287"/>
      <c r="B41" s="389"/>
      <c r="C41" s="287" t="s">
        <v>981</v>
      </c>
      <c r="D41" s="287" t="s">
        <v>982</v>
      </c>
      <c r="E41" s="389" t="s">
        <v>734</v>
      </c>
      <c r="F41" s="390">
        <v>8</v>
      </c>
      <c r="G41" s="397">
        <f>$L$41</f>
        <v>18882</v>
      </c>
      <c r="H41" s="389"/>
      <c r="I41" s="402">
        <v>1.02</v>
      </c>
      <c r="J41" s="284">
        <f>F41*G41*I41</f>
        <v>154077.12</v>
      </c>
      <c r="L41" s="146">
        <v>18882</v>
      </c>
    </row>
    <row r="42" spans="1:12">
      <c r="A42" s="391"/>
      <c r="B42" s="392">
        <v>5</v>
      </c>
      <c r="C42" s="391" t="s">
        <v>633</v>
      </c>
      <c r="D42" s="391" t="s">
        <v>930</v>
      </c>
      <c r="E42" s="392" t="s">
        <v>926</v>
      </c>
      <c r="F42" s="392"/>
      <c r="G42" s="393">
        <v>18200000</v>
      </c>
      <c r="H42" s="394">
        <v>240</v>
      </c>
      <c r="I42" s="404"/>
      <c r="J42" s="405">
        <f>J43+J47+J49</f>
        <v>286284.61192166666</v>
      </c>
    </row>
    <row r="43" spans="1:12">
      <c r="A43" s="387"/>
      <c r="B43" s="388"/>
      <c r="C43" s="387"/>
      <c r="D43" s="387" t="s">
        <v>967</v>
      </c>
      <c r="E43" s="388"/>
      <c r="F43" s="388"/>
      <c r="G43" s="282"/>
      <c r="H43" s="388"/>
      <c r="I43" s="401"/>
      <c r="J43" s="282">
        <f>SUM(J44:J46)</f>
        <v>16759.166666666668</v>
      </c>
    </row>
    <row r="44" spans="1:12">
      <c r="A44" s="287"/>
      <c r="B44" s="389"/>
      <c r="C44" s="287"/>
      <c r="D44" s="287" t="s">
        <v>968</v>
      </c>
      <c r="E44" s="389" t="s">
        <v>37</v>
      </c>
      <c r="F44" s="390">
        <v>14</v>
      </c>
      <c r="G44" s="284"/>
      <c r="H44" s="389"/>
      <c r="I44" s="402">
        <v>1</v>
      </c>
      <c r="J44" s="284">
        <f>G42*F44*I44/H42/100</f>
        <v>10616.666666666668</v>
      </c>
    </row>
    <row r="45" spans="1:12">
      <c r="A45" s="287"/>
      <c r="B45" s="389"/>
      <c r="C45" s="287"/>
      <c r="D45" s="287" t="s">
        <v>969</v>
      </c>
      <c r="E45" s="389" t="s">
        <v>37</v>
      </c>
      <c r="F45" s="390">
        <v>4.0999999999999996</v>
      </c>
      <c r="G45" s="284"/>
      <c r="H45" s="389"/>
      <c r="I45" s="403"/>
      <c r="J45" s="284">
        <f>G42*F45/H42/100</f>
        <v>3109.166666666667</v>
      </c>
    </row>
    <row r="46" spans="1:12">
      <c r="A46" s="287"/>
      <c r="B46" s="389"/>
      <c r="C46" s="287"/>
      <c r="D46" s="287" t="s">
        <v>970</v>
      </c>
      <c r="E46" s="389" t="s">
        <v>37</v>
      </c>
      <c r="F46" s="390">
        <v>4</v>
      </c>
      <c r="G46" s="284"/>
      <c r="H46" s="389"/>
      <c r="I46" s="403"/>
      <c r="J46" s="284">
        <f>G42*F46/H42/100</f>
        <v>3033.333333333333</v>
      </c>
    </row>
    <row r="47" spans="1:12">
      <c r="A47" s="387"/>
      <c r="B47" s="388"/>
      <c r="C47" s="387"/>
      <c r="D47" s="387" t="s">
        <v>971</v>
      </c>
      <c r="E47" s="388"/>
      <c r="F47" s="388"/>
      <c r="G47" s="282"/>
      <c r="H47" s="388"/>
      <c r="I47" s="401"/>
      <c r="J47" s="282">
        <f>SUM(J48:J48)</f>
        <v>249651</v>
      </c>
    </row>
    <row r="48" spans="1:12">
      <c r="A48" s="287"/>
      <c r="B48" s="389"/>
      <c r="C48" s="287" t="s">
        <v>979</v>
      </c>
      <c r="D48" s="287" t="s">
        <v>980</v>
      </c>
      <c r="E48" s="389" t="s">
        <v>895</v>
      </c>
      <c r="F48" s="390">
        <v>1</v>
      </c>
      <c r="G48" s="395">
        <f>249651</f>
        <v>249651</v>
      </c>
      <c r="H48" s="389"/>
      <c r="I48" s="403"/>
      <c r="J48" s="284">
        <f>F48*G48</f>
        <v>249651</v>
      </c>
    </row>
    <row r="49" spans="1:12">
      <c r="A49" s="387"/>
      <c r="B49" s="388"/>
      <c r="C49" s="387"/>
      <c r="D49" s="387" t="s">
        <v>972</v>
      </c>
      <c r="E49" s="388"/>
      <c r="F49" s="388"/>
      <c r="G49" s="282"/>
      <c r="H49" s="388"/>
      <c r="I49" s="401"/>
      <c r="J49" s="282">
        <f>SUM(J50:J50)</f>
        <v>19874.445254999999</v>
      </c>
    </row>
    <row r="50" spans="1:12" ht="15">
      <c r="A50" s="287"/>
      <c r="B50" s="389"/>
      <c r="C50" s="287" t="s">
        <v>983</v>
      </c>
      <c r="D50" s="287" t="s">
        <v>984</v>
      </c>
      <c r="E50" s="389" t="s">
        <v>985</v>
      </c>
      <c r="F50" s="390">
        <v>9</v>
      </c>
      <c r="G50" s="398">
        <f>$L$50</f>
        <v>2103.1158999999998</v>
      </c>
      <c r="H50" s="389"/>
      <c r="I50" s="402">
        <v>1.05</v>
      </c>
      <c r="J50" s="284">
        <f>F50*G50*I50</f>
        <v>19874.445254999999</v>
      </c>
      <c r="L50" s="406">
        <v>2103.1158999999998</v>
      </c>
    </row>
    <row r="51" spans="1:12">
      <c r="A51" s="391"/>
      <c r="B51" s="392">
        <v>6</v>
      </c>
      <c r="C51" s="391" t="s">
        <v>624</v>
      </c>
      <c r="D51" s="391" t="s">
        <v>931</v>
      </c>
      <c r="E51" s="392" t="s">
        <v>926</v>
      </c>
      <c r="F51" s="392"/>
      <c r="G51" s="393">
        <v>6420000</v>
      </c>
      <c r="H51" s="394">
        <v>150</v>
      </c>
      <c r="I51" s="404"/>
      <c r="J51" s="405">
        <f>J52+J56+J58</f>
        <v>276870.75847500004</v>
      </c>
    </row>
    <row r="52" spans="1:12">
      <c r="A52" s="387"/>
      <c r="B52" s="388"/>
      <c r="C52" s="387"/>
      <c r="D52" s="387" t="s">
        <v>967</v>
      </c>
      <c r="E52" s="388"/>
      <c r="F52" s="388"/>
      <c r="G52" s="282"/>
      <c r="H52" s="388"/>
      <c r="I52" s="401"/>
      <c r="J52" s="282">
        <f>SUM(J53:J55)</f>
        <v>16178.400000000001</v>
      </c>
    </row>
    <row r="53" spans="1:12">
      <c r="A53" s="287"/>
      <c r="B53" s="389"/>
      <c r="C53" s="287"/>
      <c r="D53" s="287" t="s">
        <v>968</v>
      </c>
      <c r="E53" s="389" t="s">
        <v>37</v>
      </c>
      <c r="F53" s="390">
        <v>25</v>
      </c>
      <c r="G53" s="284"/>
      <c r="H53" s="389"/>
      <c r="I53" s="402">
        <v>1</v>
      </c>
      <c r="J53" s="284">
        <f>G51*F53*I53/H51/100</f>
        <v>10700</v>
      </c>
    </row>
    <row r="54" spans="1:12">
      <c r="A54" s="287"/>
      <c r="B54" s="389"/>
      <c r="C54" s="287"/>
      <c r="D54" s="287" t="s">
        <v>969</v>
      </c>
      <c r="E54" s="389" t="s">
        <v>37</v>
      </c>
      <c r="F54" s="390">
        <v>8.8000000000000007</v>
      </c>
      <c r="G54" s="284"/>
      <c r="H54" s="389"/>
      <c r="I54" s="403"/>
      <c r="J54" s="284">
        <f>G51*F54/H51/100</f>
        <v>3766.4000000000005</v>
      </c>
    </row>
    <row r="55" spans="1:12">
      <c r="A55" s="287"/>
      <c r="B55" s="389"/>
      <c r="C55" s="287"/>
      <c r="D55" s="287" t="s">
        <v>970</v>
      </c>
      <c r="E55" s="389" t="s">
        <v>37</v>
      </c>
      <c r="F55" s="390">
        <v>4</v>
      </c>
      <c r="G55" s="284"/>
      <c r="H55" s="389"/>
      <c r="I55" s="403"/>
      <c r="J55" s="284">
        <f>G51*F55/H51/100</f>
        <v>1712</v>
      </c>
    </row>
    <row r="56" spans="1:12">
      <c r="A56" s="387"/>
      <c r="B56" s="388"/>
      <c r="C56" s="387"/>
      <c r="D56" s="387" t="s">
        <v>971</v>
      </c>
      <c r="E56" s="388"/>
      <c r="F56" s="388"/>
      <c r="G56" s="282"/>
      <c r="H56" s="388"/>
      <c r="I56" s="401"/>
      <c r="J56" s="282">
        <f>SUM(J57:J57)</f>
        <v>249651</v>
      </c>
    </row>
    <row r="57" spans="1:12">
      <c r="A57" s="287"/>
      <c r="B57" s="389"/>
      <c r="C57" s="287" t="s">
        <v>979</v>
      </c>
      <c r="D57" s="287" t="s">
        <v>980</v>
      </c>
      <c r="E57" s="389" t="s">
        <v>895</v>
      </c>
      <c r="F57" s="390">
        <v>1</v>
      </c>
      <c r="G57" s="395">
        <f>249651</f>
        <v>249651</v>
      </c>
      <c r="H57" s="389"/>
      <c r="I57" s="403"/>
      <c r="J57" s="284">
        <f>F57*G57</f>
        <v>249651</v>
      </c>
    </row>
    <row r="58" spans="1:12">
      <c r="A58" s="387"/>
      <c r="B58" s="388"/>
      <c r="C58" s="387"/>
      <c r="D58" s="387" t="s">
        <v>972</v>
      </c>
      <c r="E58" s="388"/>
      <c r="F58" s="388"/>
      <c r="G58" s="282"/>
      <c r="H58" s="388"/>
      <c r="I58" s="401"/>
      <c r="J58" s="282">
        <f>SUM(J59:J59)</f>
        <v>11041.358475000001</v>
      </c>
    </row>
    <row r="59" spans="1:12">
      <c r="A59" s="287"/>
      <c r="B59" s="389"/>
      <c r="C59" s="287" t="s">
        <v>983</v>
      </c>
      <c r="D59" s="287" t="s">
        <v>984</v>
      </c>
      <c r="E59" s="389" t="s">
        <v>985</v>
      </c>
      <c r="F59" s="390">
        <v>5</v>
      </c>
      <c r="G59" s="398">
        <f>$L$50</f>
        <v>2103.1158999999998</v>
      </c>
      <c r="H59" s="389"/>
      <c r="I59" s="402">
        <v>1.05</v>
      </c>
      <c r="J59" s="284">
        <f>F59*G59*I59</f>
        <v>11041.358475000001</v>
      </c>
    </row>
    <row r="60" spans="1:12">
      <c r="A60" s="391"/>
      <c r="B60" s="392">
        <v>7</v>
      </c>
      <c r="C60" s="391" t="s">
        <v>676</v>
      </c>
      <c r="D60" s="391" t="s">
        <v>932</v>
      </c>
      <c r="E60" s="392" t="s">
        <v>926</v>
      </c>
      <c r="F60" s="392"/>
      <c r="G60" s="393">
        <v>35771000</v>
      </c>
      <c r="H60" s="394">
        <v>200</v>
      </c>
      <c r="I60" s="404"/>
      <c r="J60" s="405">
        <f>J61+J65+J67</f>
        <v>375695.83</v>
      </c>
    </row>
    <row r="61" spans="1:12">
      <c r="A61" s="387"/>
      <c r="B61" s="388"/>
      <c r="C61" s="387"/>
      <c r="D61" s="387" t="s">
        <v>967</v>
      </c>
      <c r="E61" s="388"/>
      <c r="F61" s="388"/>
      <c r="G61" s="282"/>
      <c r="H61" s="388"/>
      <c r="I61" s="401"/>
      <c r="J61" s="282">
        <f>SUM(J62:J64)</f>
        <v>49006.27</v>
      </c>
    </row>
    <row r="62" spans="1:12">
      <c r="A62" s="287"/>
      <c r="B62" s="389"/>
      <c r="C62" s="287"/>
      <c r="D62" s="287" t="s">
        <v>968</v>
      </c>
      <c r="E62" s="389" t="s">
        <v>37</v>
      </c>
      <c r="F62" s="390">
        <v>20</v>
      </c>
      <c r="G62" s="284"/>
      <c r="H62" s="389"/>
      <c r="I62" s="402">
        <v>0.9</v>
      </c>
      <c r="J62" s="284">
        <f>G60*F62*I62/H60/100</f>
        <v>32193.9</v>
      </c>
    </row>
    <row r="63" spans="1:12">
      <c r="A63" s="287"/>
      <c r="B63" s="389"/>
      <c r="C63" s="287"/>
      <c r="D63" s="287" t="s">
        <v>969</v>
      </c>
      <c r="E63" s="389" t="s">
        <v>37</v>
      </c>
      <c r="F63" s="390">
        <v>5.4</v>
      </c>
      <c r="G63" s="284"/>
      <c r="H63" s="389"/>
      <c r="I63" s="403"/>
      <c r="J63" s="284">
        <f>G60*F63/H60/100</f>
        <v>9658.17</v>
      </c>
    </row>
    <row r="64" spans="1:12">
      <c r="A64" s="287"/>
      <c r="B64" s="389"/>
      <c r="C64" s="287"/>
      <c r="D64" s="287" t="s">
        <v>970</v>
      </c>
      <c r="E64" s="389" t="s">
        <v>37</v>
      </c>
      <c r="F64" s="390">
        <v>4</v>
      </c>
      <c r="G64" s="284"/>
      <c r="H64" s="389"/>
      <c r="I64" s="403"/>
      <c r="J64" s="284">
        <f>G60*F64/H60/100</f>
        <v>7154.2</v>
      </c>
    </row>
    <row r="65" spans="1:10">
      <c r="A65" s="387"/>
      <c r="B65" s="388"/>
      <c r="C65" s="387"/>
      <c r="D65" s="387" t="s">
        <v>971</v>
      </c>
      <c r="E65" s="388"/>
      <c r="F65" s="388"/>
      <c r="G65" s="282"/>
      <c r="H65" s="388"/>
      <c r="I65" s="401"/>
      <c r="J65" s="282">
        <f>SUM(J66:J66)</f>
        <v>249651</v>
      </c>
    </row>
    <row r="66" spans="1:10">
      <c r="A66" s="287"/>
      <c r="B66" s="389"/>
      <c r="C66" s="287" t="s">
        <v>979</v>
      </c>
      <c r="D66" s="287" t="s">
        <v>980</v>
      </c>
      <c r="E66" s="389" t="s">
        <v>895</v>
      </c>
      <c r="F66" s="390">
        <v>1</v>
      </c>
      <c r="G66" s="395">
        <f>249651</f>
        <v>249651</v>
      </c>
      <c r="H66" s="389"/>
      <c r="I66" s="403"/>
      <c r="J66" s="284">
        <f>F66*G66</f>
        <v>249651</v>
      </c>
    </row>
    <row r="67" spans="1:10">
      <c r="A67" s="387"/>
      <c r="B67" s="388"/>
      <c r="C67" s="387"/>
      <c r="D67" s="387" t="s">
        <v>972</v>
      </c>
      <c r="E67" s="388"/>
      <c r="F67" s="388"/>
      <c r="G67" s="282"/>
      <c r="H67" s="388"/>
      <c r="I67" s="401"/>
      <c r="J67" s="282">
        <f>SUM(J68:J68)</f>
        <v>77038.559999999998</v>
      </c>
    </row>
    <row r="68" spans="1:10">
      <c r="A68" s="287"/>
      <c r="B68" s="389"/>
      <c r="C68" s="287" t="s">
        <v>981</v>
      </c>
      <c r="D68" s="287" t="s">
        <v>982</v>
      </c>
      <c r="E68" s="389" t="s">
        <v>734</v>
      </c>
      <c r="F68" s="390">
        <v>4</v>
      </c>
      <c r="G68" s="397">
        <f>$L$41</f>
        <v>18882</v>
      </c>
      <c r="H68" s="389"/>
      <c r="I68" s="402">
        <v>1.02</v>
      </c>
      <c r="J68" s="284">
        <f>F68*G68*I68</f>
        <v>77038.559999999998</v>
      </c>
    </row>
    <row r="69" spans="1:10">
      <c r="A69" s="391"/>
      <c r="B69" s="392">
        <v>8</v>
      </c>
      <c r="C69" s="391" t="s">
        <v>625</v>
      </c>
      <c r="D69" s="391" t="s">
        <v>933</v>
      </c>
      <c r="E69" s="392" t="s">
        <v>926</v>
      </c>
      <c r="F69" s="392"/>
      <c r="G69" s="393">
        <v>7395000</v>
      </c>
      <c r="H69" s="394">
        <v>150</v>
      </c>
      <c r="I69" s="404"/>
      <c r="J69" s="405">
        <f>J70+J74+J76</f>
        <v>281279.30186500004</v>
      </c>
    </row>
    <row r="70" spans="1:10">
      <c r="A70" s="387"/>
      <c r="B70" s="388"/>
      <c r="C70" s="387"/>
      <c r="D70" s="387" t="s">
        <v>967</v>
      </c>
      <c r="E70" s="388"/>
      <c r="F70" s="388"/>
      <c r="G70" s="282"/>
      <c r="H70" s="388"/>
      <c r="I70" s="401"/>
      <c r="J70" s="282">
        <f>SUM(J71:J73)</f>
        <v>16170.400000000001</v>
      </c>
    </row>
    <row r="71" spans="1:10">
      <c r="A71" s="287"/>
      <c r="B71" s="389"/>
      <c r="C71" s="287"/>
      <c r="D71" s="287" t="s">
        <v>968</v>
      </c>
      <c r="E71" s="389" t="s">
        <v>37</v>
      </c>
      <c r="F71" s="390">
        <v>20</v>
      </c>
      <c r="G71" s="284"/>
      <c r="H71" s="389"/>
      <c r="I71" s="402">
        <v>1</v>
      </c>
      <c r="J71" s="284">
        <f>G69*F71*I71/H69/100</f>
        <v>9860</v>
      </c>
    </row>
    <row r="72" spans="1:10">
      <c r="A72" s="287"/>
      <c r="B72" s="389"/>
      <c r="C72" s="287"/>
      <c r="D72" s="287" t="s">
        <v>969</v>
      </c>
      <c r="E72" s="389" t="s">
        <v>37</v>
      </c>
      <c r="F72" s="390">
        <v>8.8000000000000007</v>
      </c>
      <c r="G72" s="284"/>
      <c r="H72" s="389"/>
      <c r="I72" s="403"/>
      <c r="J72" s="284">
        <f>G69*F72/H69/100</f>
        <v>4338.4000000000005</v>
      </c>
    </row>
    <row r="73" spans="1:10">
      <c r="A73" s="287"/>
      <c r="B73" s="389"/>
      <c r="C73" s="287"/>
      <c r="D73" s="287" t="s">
        <v>970</v>
      </c>
      <c r="E73" s="389" t="s">
        <v>37</v>
      </c>
      <c r="F73" s="390">
        <v>4</v>
      </c>
      <c r="G73" s="284"/>
      <c r="H73" s="389"/>
      <c r="I73" s="403"/>
      <c r="J73" s="284">
        <f>G69*F73/H69/100</f>
        <v>1972</v>
      </c>
    </row>
    <row r="74" spans="1:10">
      <c r="A74" s="387"/>
      <c r="B74" s="388"/>
      <c r="C74" s="387"/>
      <c r="D74" s="387" t="s">
        <v>971</v>
      </c>
      <c r="E74" s="388"/>
      <c r="F74" s="388"/>
      <c r="G74" s="282"/>
      <c r="H74" s="388"/>
      <c r="I74" s="401"/>
      <c r="J74" s="282">
        <f>SUM(J75:J75)</f>
        <v>249651</v>
      </c>
    </row>
    <row r="75" spans="1:10">
      <c r="A75" s="287"/>
      <c r="B75" s="389"/>
      <c r="C75" s="287" t="s">
        <v>979</v>
      </c>
      <c r="D75" s="287" t="s">
        <v>980</v>
      </c>
      <c r="E75" s="389" t="s">
        <v>895</v>
      </c>
      <c r="F75" s="390">
        <v>1</v>
      </c>
      <c r="G75" s="395">
        <f>249651</f>
        <v>249651</v>
      </c>
      <c r="H75" s="389"/>
      <c r="I75" s="403"/>
      <c r="J75" s="284">
        <f>F75*G75</f>
        <v>249651</v>
      </c>
    </row>
    <row r="76" spans="1:10">
      <c r="A76" s="387"/>
      <c r="B76" s="388"/>
      <c r="C76" s="387"/>
      <c r="D76" s="387" t="s">
        <v>972</v>
      </c>
      <c r="E76" s="388"/>
      <c r="F76" s="388"/>
      <c r="G76" s="282"/>
      <c r="H76" s="388"/>
      <c r="I76" s="401"/>
      <c r="J76" s="282">
        <f>SUM(J77:J77)</f>
        <v>15457.901864999998</v>
      </c>
    </row>
    <row r="77" spans="1:10">
      <c r="A77" s="287"/>
      <c r="B77" s="389"/>
      <c r="C77" s="287" t="s">
        <v>983</v>
      </c>
      <c r="D77" s="287" t="s">
        <v>984</v>
      </c>
      <c r="E77" s="389" t="s">
        <v>985</v>
      </c>
      <c r="F77" s="390">
        <v>7</v>
      </c>
      <c r="G77" s="398">
        <f>$L$50</f>
        <v>2103.1158999999998</v>
      </c>
      <c r="H77" s="389"/>
      <c r="I77" s="402">
        <v>1.05</v>
      </c>
      <c r="J77" s="284">
        <f>F77*G77*I77</f>
        <v>15457.901864999998</v>
      </c>
    </row>
    <row r="78" spans="1:10">
      <c r="A78" s="391"/>
      <c r="B78" s="392">
        <v>9</v>
      </c>
      <c r="C78" s="391" t="s">
        <v>675</v>
      </c>
      <c r="D78" s="391" t="s">
        <v>934</v>
      </c>
      <c r="E78" s="392" t="s">
        <v>926</v>
      </c>
      <c r="F78" s="392"/>
      <c r="G78" s="393">
        <v>1183203000</v>
      </c>
      <c r="H78" s="394">
        <v>280</v>
      </c>
      <c r="I78" s="404"/>
      <c r="J78" s="405">
        <f>J79+J83+J85</f>
        <v>2545313.3250000002</v>
      </c>
    </row>
    <row r="79" spans="1:10">
      <c r="A79" s="387"/>
      <c r="B79" s="388"/>
      <c r="C79" s="387"/>
      <c r="D79" s="387" t="s">
        <v>967</v>
      </c>
      <c r="E79" s="388"/>
      <c r="F79" s="388"/>
      <c r="G79" s="282"/>
      <c r="H79" s="388"/>
      <c r="I79" s="401"/>
      <c r="J79" s="282">
        <f>SUM(J80:J82)</f>
        <v>1102914.2250000001</v>
      </c>
    </row>
    <row r="80" spans="1:10">
      <c r="A80" s="287"/>
      <c r="B80" s="389"/>
      <c r="C80" s="287"/>
      <c r="D80" s="287" t="s">
        <v>968</v>
      </c>
      <c r="E80" s="389" t="s">
        <v>37</v>
      </c>
      <c r="F80" s="390">
        <v>17</v>
      </c>
      <c r="G80" s="284"/>
      <c r="H80" s="389"/>
      <c r="I80" s="402">
        <v>0.9</v>
      </c>
      <c r="J80" s="284">
        <f>G78*F80*I80/H78/100</f>
        <v>646535.92500000005</v>
      </c>
    </row>
    <row r="81" spans="1:10">
      <c r="A81" s="287"/>
      <c r="B81" s="389"/>
      <c r="C81" s="287"/>
      <c r="D81" s="287" t="s">
        <v>969</v>
      </c>
      <c r="E81" s="389" t="s">
        <v>37</v>
      </c>
      <c r="F81" s="390">
        <v>5.8</v>
      </c>
      <c r="G81" s="284"/>
      <c r="H81" s="389"/>
      <c r="I81" s="403"/>
      <c r="J81" s="284">
        <f>G78*F81/H78/100</f>
        <v>245092.05</v>
      </c>
    </row>
    <row r="82" spans="1:10">
      <c r="A82" s="287"/>
      <c r="B82" s="389"/>
      <c r="C82" s="287"/>
      <c r="D82" s="287" t="s">
        <v>970</v>
      </c>
      <c r="E82" s="389" t="s">
        <v>37</v>
      </c>
      <c r="F82" s="390">
        <v>5</v>
      </c>
      <c r="G82" s="284"/>
      <c r="H82" s="389"/>
      <c r="I82" s="403"/>
      <c r="J82" s="284">
        <f>G78*F82/H78/100</f>
        <v>211286.25</v>
      </c>
    </row>
    <row r="83" spans="1:10">
      <c r="A83" s="387"/>
      <c r="B83" s="388"/>
      <c r="C83" s="387"/>
      <c r="D83" s="387" t="s">
        <v>971</v>
      </c>
      <c r="E83" s="388"/>
      <c r="F83" s="388"/>
      <c r="G83" s="282"/>
      <c r="H83" s="388"/>
      <c r="I83" s="401"/>
      <c r="J83" s="282">
        <f>SUM(J84:J84)</f>
        <v>296349</v>
      </c>
    </row>
    <row r="84" spans="1:10">
      <c r="A84" s="287"/>
      <c r="B84" s="389"/>
      <c r="C84" s="287" t="s">
        <v>973</v>
      </c>
      <c r="D84" s="287" t="s">
        <v>974</v>
      </c>
      <c r="E84" s="389" t="s">
        <v>895</v>
      </c>
      <c r="F84" s="390">
        <v>1</v>
      </c>
      <c r="G84" s="395">
        <f>296349</f>
        <v>296349</v>
      </c>
      <c r="H84" s="389"/>
      <c r="I84" s="403"/>
      <c r="J84" s="284">
        <f>F84*G84</f>
        <v>296349</v>
      </c>
    </row>
    <row r="85" spans="1:10">
      <c r="A85" s="387"/>
      <c r="B85" s="388"/>
      <c r="C85" s="387"/>
      <c r="D85" s="387" t="s">
        <v>972</v>
      </c>
      <c r="E85" s="388"/>
      <c r="F85" s="388"/>
      <c r="G85" s="282"/>
      <c r="H85" s="388"/>
      <c r="I85" s="401"/>
      <c r="J85" s="282">
        <f>SUM(J86:J86)</f>
        <v>1146050.1000000001</v>
      </c>
    </row>
    <row r="86" spans="1:10">
      <c r="A86" s="287"/>
      <c r="B86" s="389"/>
      <c r="C86" s="287" t="s">
        <v>977</v>
      </c>
      <c r="D86" s="287" t="s">
        <v>978</v>
      </c>
      <c r="E86" s="389" t="s">
        <v>734</v>
      </c>
      <c r="F86" s="390">
        <v>65</v>
      </c>
      <c r="G86" s="396">
        <f>$L$22</f>
        <v>17118</v>
      </c>
      <c r="H86" s="389"/>
      <c r="I86" s="402">
        <v>1.03</v>
      </c>
      <c r="J86" s="284">
        <f>F86*G86*I86</f>
        <v>1146050.1000000001</v>
      </c>
    </row>
    <row r="87" spans="1:10">
      <c r="A87" s="391"/>
      <c r="B87" s="392">
        <v>10</v>
      </c>
      <c r="C87" s="391" t="s">
        <v>599</v>
      </c>
      <c r="D87" s="391" t="s">
        <v>935</v>
      </c>
      <c r="E87" s="392" t="s">
        <v>926</v>
      </c>
      <c r="F87" s="392"/>
      <c r="G87" s="393">
        <v>1863636000</v>
      </c>
      <c r="H87" s="394">
        <v>280</v>
      </c>
      <c r="I87" s="404"/>
      <c r="J87" s="405">
        <f>J88+J92+J94</f>
        <v>3496941.8057142859</v>
      </c>
    </row>
    <row r="88" spans="1:10">
      <c r="A88" s="387"/>
      <c r="B88" s="388"/>
      <c r="C88" s="387"/>
      <c r="D88" s="387" t="s">
        <v>967</v>
      </c>
      <c r="E88" s="388"/>
      <c r="F88" s="388"/>
      <c r="G88" s="282"/>
      <c r="H88" s="388"/>
      <c r="I88" s="401"/>
      <c r="J88" s="282">
        <f>SUM(J89:J91)</f>
        <v>1737174.9857142859</v>
      </c>
    </row>
    <row r="89" spans="1:10">
      <c r="A89" s="287"/>
      <c r="B89" s="389"/>
      <c r="C89" s="287"/>
      <c r="D89" s="287" t="s">
        <v>968</v>
      </c>
      <c r="E89" s="389" t="s">
        <v>37</v>
      </c>
      <c r="F89" s="390">
        <v>17</v>
      </c>
      <c r="G89" s="284"/>
      <c r="H89" s="389"/>
      <c r="I89" s="402">
        <v>0.9</v>
      </c>
      <c r="J89" s="284">
        <f>G87*F89*I89/H87/100</f>
        <v>1018343.9571428571</v>
      </c>
    </row>
    <row r="90" spans="1:10">
      <c r="A90" s="287"/>
      <c r="B90" s="389"/>
      <c r="C90" s="287"/>
      <c r="D90" s="287" t="s">
        <v>969</v>
      </c>
      <c r="E90" s="389" t="s">
        <v>37</v>
      </c>
      <c r="F90" s="390">
        <v>5.8</v>
      </c>
      <c r="G90" s="284"/>
      <c r="H90" s="389"/>
      <c r="I90" s="403"/>
      <c r="J90" s="284">
        <f>G87*F90/H87/100</f>
        <v>386038.88571428577</v>
      </c>
    </row>
    <row r="91" spans="1:10">
      <c r="A91" s="287"/>
      <c r="B91" s="389"/>
      <c r="C91" s="287"/>
      <c r="D91" s="287" t="s">
        <v>970</v>
      </c>
      <c r="E91" s="389" t="s">
        <v>37</v>
      </c>
      <c r="F91" s="390">
        <v>5</v>
      </c>
      <c r="G91" s="284"/>
      <c r="H91" s="389"/>
      <c r="I91" s="403"/>
      <c r="J91" s="284">
        <f>G87*F91/H87/100</f>
        <v>332792.1428571429</v>
      </c>
    </row>
    <row r="92" spans="1:10">
      <c r="A92" s="387"/>
      <c r="B92" s="388"/>
      <c r="C92" s="387"/>
      <c r="D92" s="387" t="s">
        <v>971</v>
      </c>
      <c r="E92" s="388"/>
      <c r="F92" s="388"/>
      <c r="G92" s="282"/>
      <c r="H92" s="388"/>
      <c r="I92" s="401"/>
      <c r="J92" s="282">
        <f>SUM(J93:J93)</f>
        <v>296349</v>
      </c>
    </row>
    <row r="93" spans="1:10">
      <c r="A93" s="287"/>
      <c r="B93" s="389"/>
      <c r="C93" s="287" t="s">
        <v>973</v>
      </c>
      <c r="D93" s="287" t="s">
        <v>974</v>
      </c>
      <c r="E93" s="389" t="s">
        <v>895</v>
      </c>
      <c r="F93" s="390">
        <v>1</v>
      </c>
      <c r="G93" s="395">
        <f>296349</f>
        <v>296349</v>
      </c>
      <c r="H93" s="389"/>
      <c r="I93" s="403"/>
      <c r="J93" s="284">
        <f>F93*G93</f>
        <v>296349</v>
      </c>
    </row>
    <row r="94" spans="1:10">
      <c r="A94" s="387"/>
      <c r="B94" s="388"/>
      <c r="C94" s="387"/>
      <c r="D94" s="387" t="s">
        <v>972</v>
      </c>
      <c r="E94" s="388"/>
      <c r="F94" s="388"/>
      <c r="G94" s="282"/>
      <c r="H94" s="388"/>
      <c r="I94" s="401"/>
      <c r="J94" s="282">
        <f>SUM(J95:J95)</f>
        <v>1463417.82</v>
      </c>
    </row>
    <row r="95" spans="1:10">
      <c r="A95" s="287"/>
      <c r="B95" s="389"/>
      <c r="C95" s="287" t="s">
        <v>977</v>
      </c>
      <c r="D95" s="287" t="s">
        <v>978</v>
      </c>
      <c r="E95" s="389" t="s">
        <v>734</v>
      </c>
      <c r="F95" s="390">
        <v>83</v>
      </c>
      <c r="G95" s="396">
        <f>$L$22</f>
        <v>17118</v>
      </c>
      <c r="H95" s="389"/>
      <c r="I95" s="402">
        <v>1.03</v>
      </c>
      <c r="J95" s="284">
        <f>F95*G95*I95</f>
        <v>1463417.82</v>
      </c>
    </row>
    <row r="96" spans="1:10">
      <c r="A96" s="391"/>
      <c r="B96" s="392">
        <v>11</v>
      </c>
      <c r="C96" s="391" t="s">
        <v>602</v>
      </c>
      <c r="D96" s="391" t="s">
        <v>936</v>
      </c>
      <c r="E96" s="392" t="s">
        <v>926</v>
      </c>
      <c r="F96" s="392"/>
      <c r="G96" s="393">
        <v>2244200000</v>
      </c>
      <c r="H96" s="394">
        <v>280</v>
      </c>
      <c r="I96" s="404"/>
      <c r="J96" s="405">
        <f>J97+J101+J103</f>
        <v>4284448.0199999996</v>
      </c>
    </row>
    <row r="97" spans="1:10">
      <c r="A97" s="387"/>
      <c r="B97" s="388"/>
      <c r="C97" s="387"/>
      <c r="D97" s="387" t="s">
        <v>967</v>
      </c>
      <c r="E97" s="388"/>
      <c r="F97" s="388"/>
      <c r="G97" s="282"/>
      <c r="H97" s="388"/>
      <c r="I97" s="401"/>
      <c r="J97" s="282">
        <f>SUM(J98:J100)</f>
        <v>1995735</v>
      </c>
    </row>
    <row r="98" spans="1:10">
      <c r="A98" s="287"/>
      <c r="B98" s="389"/>
      <c r="C98" s="287"/>
      <c r="D98" s="287" t="s">
        <v>968</v>
      </c>
      <c r="E98" s="389" t="s">
        <v>37</v>
      </c>
      <c r="F98" s="390">
        <v>16</v>
      </c>
      <c r="G98" s="284"/>
      <c r="H98" s="389"/>
      <c r="I98" s="402">
        <v>0.9</v>
      </c>
      <c r="J98" s="284">
        <f>G96*F98*I98/H96/100</f>
        <v>1154160</v>
      </c>
    </row>
    <row r="99" spans="1:10">
      <c r="A99" s="287"/>
      <c r="B99" s="389"/>
      <c r="C99" s="287"/>
      <c r="D99" s="287" t="s">
        <v>969</v>
      </c>
      <c r="E99" s="389" t="s">
        <v>37</v>
      </c>
      <c r="F99" s="390">
        <v>5.5</v>
      </c>
      <c r="G99" s="284"/>
      <c r="H99" s="389"/>
      <c r="I99" s="403"/>
      <c r="J99" s="284">
        <f>G96*F99/H96/100</f>
        <v>440825</v>
      </c>
    </row>
    <row r="100" spans="1:10">
      <c r="A100" s="287"/>
      <c r="B100" s="389"/>
      <c r="C100" s="287"/>
      <c r="D100" s="287" t="s">
        <v>970</v>
      </c>
      <c r="E100" s="389" t="s">
        <v>37</v>
      </c>
      <c r="F100" s="390">
        <v>5</v>
      </c>
      <c r="G100" s="284"/>
      <c r="H100" s="389"/>
      <c r="I100" s="403"/>
      <c r="J100" s="284">
        <f>G96*F100/H96/100</f>
        <v>400750</v>
      </c>
    </row>
    <row r="101" spans="1:10">
      <c r="A101" s="387"/>
      <c r="B101" s="388"/>
      <c r="C101" s="387"/>
      <c r="D101" s="387" t="s">
        <v>971</v>
      </c>
      <c r="E101" s="388"/>
      <c r="F101" s="388"/>
      <c r="G101" s="282"/>
      <c r="H101" s="388"/>
      <c r="I101" s="401"/>
      <c r="J101" s="282">
        <f>SUM(J102:J102)</f>
        <v>296349</v>
      </c>
    </row>
    <row r="102" spans="1:10">
      <c r="A102" s="287"/>
      <c r="B102" s="389"/>
      <c r="C102" s="287" t="s">
        <v>973</v>
      </c>
      <c r="D102" s="287" t="s">
        <v>974</v>
      </c>
      <c r="E102" s="389" t="s">
        <v>895</v>
      </c>
      <c r="F102" s="390">
        <v>1</v>
      </c>
      <c r="G102" s="395">
        <f>296349</f>
        <v>296349</v>
      </c>
      <c r="H102" s="389"/>
      <c r="I102" s="403"/>
      <c r="J102" s="284">
        <f>F102*G102</f>
        <v>296349</v>
      </c>
    </row>
    <row r="103" spans="1:10">
      <c r="A103" s="387"/>
      <c r="B103" s="388"/>
      <c r="C103" s="387"/>
      <c r="D103" s="387" t="s">
        <v>972</v>
      </c>
      <c r="E103" s="388"/>
      <c r="F103" s="388"/>
      <c r="G103" s="282"/>
      <c r="H103" s="388"/>
      <c r="I103" s="401"/>
      <c r="J103" s="282">
        <f>SUM(J104:J104)</f>
        <v>1992364.02</v>
      </c>
    </row>
    <row r="104" spans="1:10">
      <c r="A104" s="287"/>
      <c r="B104" s="389"/>
      <c r="C104" s="287" t="s">
        <v>977</v>
      </c>
      <c r="D104" s="287" t="s">
        <v>978</v>
      </c>
      <c r="E104" s="389" t="s">
        <v>734</v>
      </c>
      <c r="F104" s="390">
        <v>113</v>
      </c>
      <c r="G104" s="396">
        <f>$L$22</f>
        <v>17118</v>
      </c>
      <c r="H104" s="389"/>
      <c r="I104" s="402">
        <v>1.03</v>
      </c>
      <c r="J104" s="284">
        <f>F104*G104*I104</f>
        <v>1992364.02</v>
      </c>
    </row>
    <row r="105" spans="1:10">
      <c r="A105" s="391"/>
      <c r="B105" s="392">
        <v>12</v>
      </c>
      <c r="C105" s="391" t="s">
        <v>630</v>
      </c>
      <c r="D105" s="391" t="s">
        <v>937</v>
      </c>
      <c r="E105" s="392" t="s">
        <v>926</v>
      </c>
      <c r="F105" s="392"/>
      <c r="G105" s="393">
        <v>16000000</v>
      </c>
      <c r="H105" s="394">
        <v>200</v>
      </c>
      <c r="I105" s="404"/>
      <c r="J105" s="405">
        <f>J106+J110+J112</f>
        <v>426986.04135999997</v>
      </c>
    </row>
    <row r="106" spans="1:10">
      <c r="A106" s="387"/>
      <c r="B106" s="388"/>
      <c r="C106" s="387"/>
      <c r="D106" s="387" t="s">
        <v>967</v>
      </c>
      <c r="E106" s="388"/>
      <c r="F106" s="388"/>
      <c r="G106" s="282"/>
      <c r="H106" s="388"/>
      <c r="I106" s="401"/>
      <c r="J106" s="282">
        <f>SUM(J107:J109)</f>
        <v>24640</v>
      </c>
    </row>
    <row r="107" spans="1:10">
      <c r="A107" s="287"/>
      <c r="B107" s="389"/>
      <c r="C107" s="287"/>
      <c r="D107" s="287" t="s">
        <v>968</v>
      </c>
      <c r="E107" s="389" t="s">
        <v>37</v>
      </c>
      <c r="F107" s="390">
        <v>21</v>
      </c>
      <c r="G107" s="284"/>
      <c r="H107" s="389"/>
      <c r="I107" s="402">
        <v>1</v>
      </c>
      <c r="J107" s="284">
        <f>G105*F107*I107/H105/100</f>
        <v>16800</v>
      </c>
    </row>
    <row r="108" spans="1:10">
      <c r="A108" s="287"/>
      <c r="B108" s="389"/>
      <c r="C108" s="287"/>
      <c r="D108" s="287" t="s">
        <v>969</v>
      </c>
      <c r="E108" s="389" t="s">
        <v>37</v>
      </c>
      <c r="F108" s="390">
        <v>4.8</v>
      </c>
      <c r="G108" s="284"/>
      <c r="H108" s="389"/>
      <c r="I108" s="403"/>
      <c r="J108" s="284">
        <f>G105*F108/H105/100</f>
        <v>3840</v>
      </c>
    </row>
    <row r="109" spans="1:10">
      <c r="A109" s="287"/>
      <c r="B109" s="389"/>
      <c r="C109" s="287"/>
      <c r="D109" s="287" t="s">
        <v>970</v>
      </c>
      <c r="E109" s="389" t="s">
        <v>37</v>
      </c>
      <c r="F109" s="390">
        <v>5</v>
      </c>
      <c r="G109" s="284"/>
      <c r="H109" s="389"/>
      <c r="I109" s="403"/>
      <c r="J109" s="284">
        <f>G105*F109/H105/100</f>
        <v>4000</v>
      </c>
    </row>
    <row r="110" spans="1:10">
      <c r="A110" s="387"/>
      <c r="B110" s="388"/>
      <c r="C110" s="387"/>
      <c r="D110" s="387" t="s">
        <v>971</v>
      </c>
      <c r="E110" s="388"/>
      <c r="F110" s="388"/>
      <c r="G110" s="282"/>
      <c r="H110" s="388"/>
      <c r="I110" s="401"/>
      <c r="J110" s="282">
        <f>SUM(J111:J111)</f>
        <v>296349</v>
      </c>
    </row>
    <row r="111" spans="1:10">
      <c r="A111" s="287"/>
      <c r="B111" s="389"/>
      <c r="C111" s="287" t="s">
        <v>973</v>
      </c>
      <c r="D111" s="287" t="s">
        <v>974</v>
      </c>
      <c r="E111" s="389" t="s">
        <v>895</v>
      </c>
      <c r="F111" s="390">
        <v>1</v>
      </c>
      <c r="G111" s="395">
        <f>296349</f>
        <v>296349</v>
      </c>
      <c r="H111" s="389"/>
      <c r="I111" s="403"/>
      <c r="J111" s="284">
        <f>F111*G111</f>
        <v>296349</v>
      </c>
    </row>
    <row r="112" spans="1:10">
      <c r="A112" s="387"/>
      <c r="B112" s="388"/>
      <c r="C112" s="387"/>
      <c r="D112" s="387" t="s">
        <v>972</v>
      </c>
      <c r="E112" s="388"/>
      <c r="F112" s="388"/>
      <c r="G112" s="282"/>
      <c r="H112" s="388"/>
      <c r="I112" s="401"/>
      <c r="J112" s="282">
        <f>SUM(J113:J113)</f>
        <v>105997.04135999999</v>
      </c>
    </row>
    <row r="113" spans="1:10">
      <c r="A113" s="287"/>
      <c r="B113" s="389"/>
      <c r="C113" s="287" t="s">
        <v>983</v>
      </c>
      <c r="D113" s="287" t="s">
        <v>984</v>
      </c>
      <c r="E113" s="389" t="s">
        <v>985</v>
      </c>
      <c r="F113" s="390">
        <v>48</v>
      </c>
      <c r="G113" s="398">
        <f>$L$50</f>
        <v>2103.1158999999998</v>
      </c>
      <c r="H113" s="389"/>
      <c r="I113" s="402">
        <v>1.05</v>
      </c>
      <c r="J113" s="284">
        <f>F113*G113*I113</f>
        <v>105997.04135999999</v>
      </c>
    </row>
    <row r="114" spans="1:10">
      <c r="A114" s="391"/>
      <c r="B114" s="392">
        <v>13</v>
      </c>
      <c r="C114" s="391" t="s">
        <v>609</v>
      </c>
      <c r="D114" s="391" t="s">
        <v>938</v>
      </c>
      <c r="E114" s="392" t="s">
        <v>926</v>
      </c>
      <c r="F114" s="392"/>
      <c r="G114" s="393">
        <v>476144000</v>
      </c>
      <c r="H114" s="394">
        <v>270</v>
      </c>
      <c r="I114" s="404"/>
      <c r="J114" s="405">
        <f>J115+J119+J121</f>
        <v>1132157.2474074075</v>
      </c>
    </row>
    <row r="115" spans="1:10">
      <c r="A115" s="387"/>
      <c r="B115" s="388"/>
      <c r="C115" s="387"/>
      <c r="D115" s="387" t="s">
        <v>967</v>
      </c>
      <c r="E115" s="388"/>
      <c r="F115" s="388"/>
      <c r="G115" s="282"/>
      <c r="H115" s="388"/>
      <c r="I115" s="401"/>
      <c r="J115" s="282">
        <f>SUM(J116:J118)</f>
        <v>377388.2074074074</v>
      </c>
    </row>
    <row r="116" spans="1:10">
      <c r="A116" s="287"/>
      <c r="B116" s="389"/>
      <c r="C116" s="287"/>
      <c r="D116" s="287" t="s">
        <v>968</v>
      </c>
      <c r="E116" s="389" t="s">
        <v>37</v>
      </c>
      <c r="F116" s="390">
        <v>15</v>
      </c>
      <c r="G116" s="284"/>
      <c r="H116" s="389"/>
      <c r="I116" s="402">
        <v>0.9</v>
      </c>
      <c r="J116" s="284">
        <f>G114*F116*I116/H114/100</f>
        <v>238072</v>
      </c>
    </row>
    <row r="117" spans="1:10">
      <c r="A117" s="287"/>
      <c r="B117" s="389"/>
      <c r="C117" s="287"/>
      <c r="D117" s="287" t="s">
        <v>969</v>
      </c>
      <c r="E117" s="389" t="s">
        <v>37</v>
      </c>
      <c r="F117" s="390">
        <v>2.9</v>
      </c>
      <c r="G117" s="284"/>
      <c r="H117" s="389"/>
      <c r="I117" s="403"/>
      <c r="J117" s="284">
        <f>G114*F117/H114/100</f>
        <v>51141.392592592594</v>
      </c>
    </row>
    <row r="118" spans="1:10">
      <c r="A118" s="287"/>
      <c r="B118" s="389"/>
      <c r="C118" s="287"/>
      <c r="D118" s="287" t="s">
        <v>970</v>
      </c>
      <c r="E118" s="389" t="s">
        <v>37</v>
      </c>
      <c r="F118" s="390">
        <v>5</v>
      </c>
      <c r="G118" s="284"/>
      <c r="H118" s="389"/>
      <c r="I118" s="403"/>
      <c r="J118" s="284">
        <f>G114*F118/H114/100</f>
        <v>88174.814814814818</v>
      </c>
    </row>
    <row r="119" spans="1:10">
      <c r="A119" s="387"/>
      <c r="B119" s="388"/>
      <c r="C119" s="387"/>
      <c r="D119" s="387" t="s">
        <v>971</v>
      </c>
      <c r="E119" s="388"/>
      <c r="F119" s="388"/>
      <c r="G119" s="282"/>
      <c r="H119" s="388"/>
      <c r="I119" s="401"/>
      <c r="J119" s="282">
        <f>SUM(J120:J120)</f>
        <v>296349</v>
      </c>
    </row>
    <row r="120" spans="1:10">
      <c r="A120" s="287"/>
      <c r="B120" s="389"/>
      <c r="C120" s="287" t="s">
        <v>973</v>
      </c>
      <c r="D120" s="287" t="s">
        <v>974</v>
      </c>
      <c r="E120" s="389" t="s">
        <v>895</v>
      </c>
      <c r="F120" s="390">
        <v>1</v>
      </c>
      <c r="G120" s="395">
        <f>296349</f>
        <v>296349</v>
      </c>
      <c r="H120" s="389"/>
      <c r="I120" s="403"/>
      <c r="J120" s="284">
        <f>F120*G120</f>
        <v>296349</v>
      </c>
    </row>
    <row r="121" spans="1:10">
      <c r="A121" s="387"/>
      <c r="B121" s="388"/>
      <c r="C121" s="387"/>
      <c r="D121" s="387" t="s">
        <v>972</v>
      </c>
      <c r="E121" s="388"/>
      <c r="F121" s="388"/>
      <c r="G121" s="282"/>
      <c r="H121" s="388"/>
      <c r="I121" s="401"/>
      <c r="J121" s="282">
        <f>SUM(J122:J122)</f>
        <v>458420.04000000004</v>
      </c>
    </row>
    <row r="122" spans="1:10">
      <c r="A122" s="287"/>
      <c r="B122" s="389"/>
      <c r="C122" s="287" t="s">
        <v>977</v>
      </c>
      <c r="D122" s="287" t="s">
        <v>978</v>
      </c>
      <c r="E122" s="389" t="s">
        <v>734</v>
      </c>
      <c r="F122" s="390">
        <v>26</v>
      </c>
      <c r="G122" s="396">
        <f>$L$22</f>
        <v>17118</v>
      </c>
      <c r="H122" s="389"/>
      <c r="I122" s="402">
        <v>1.03</v>
      </c>
      <c r="J122" s="284">
        <f>F122*G122*I122</f>
        <v>458420.04000000004</v>
      </c>
    </row>
    <row r="123" spans="1:10">
      <c r="A123" s="391"/>
      <c r="B123" s="392">
        <v>14</v>
      </c>
      <c r="C123" s="391" t="s">
        <v>607</v>
      </c>
      <c r="D123" s="391" t="s">
        <v>939</v>
      </c>
      <c r="E123" s="392" t="s">
        <v>926</v>
      </c>
      <c r="F123" s="392"/>
      <c r="G123" s="393">
        <v>1668970000</v>
      </c>
      <c r="H123" s="394">
        <v>270</v>
      </c>
      <c r="I123" s="404"/>
      <c r="J123" s="405">
        <f>J124+J128+J130</f>
        <v>2794294.0688888887</v>
      </c>
    </row>
    <row r="124" spans="1:10">
      <c r="A124" s="387"/>
      <c r="B124" s="388"/>
      <c r="C124" s="387"/>
      <c r="D124" s="387" t="s">
        <v>967</v>
      </c>
      <c r="E124" s="388"/>
      <c r="F124" s="388"/>
      <c r="G124" s="282"/>
      <c r="H124" s="388"/>
      <c r="I124" s="401"/>
      <c r="J124" s="282">
        <f>SUM(J125:J127)</f>
        <v>1316631.888888889</v>
      </c>
    </row>
    <row r="125" spans="1:10">
      <c r="A125" s="287"/>
      <c r="B125" s="389"/>
      <c r="C125" s="287"/>
      <c r="D125" s="287" t="s">
        <v>968</v>
      </c>
      <c r="E125" s="389" t="s">
        <v>37</v>
      </c>
      <c r="F125" s="390">
        <v>14</v>
      </c>
      <c r="G125" s="284"/>
      <c r="H125" s="389"/>
      <c r="I125" s="402">
        <v>0.9</v>
      </c>
      <c r="J125" s="284">
        <f>G123*F125*I125/H123/100</f>
        <v>778852.66666666674</v>
      </c>
    </row>
    <row r="126" spans="1:10">
      <c r="A126" s="287"/>
      <c r="B126" s="389"/>
      <c r="C126" s="287"/>
      <c r="D126" s="287" t="s">
        <v>969</v>
      </c>
      <c r="E126" s="389" t="s">
        <v>37</v>
      </c>
      <c r="F126" s="390">
        <v>3.7</v>
      </c>
      <c r="G126" s="284"/>
      <c r="H126" s="389"/>
      <c r="I126" s="403"/>
      <c r="J126" s="284">
        <f>G123*F126/H123/100</f>
        <v>228710.70370370371</v>
      </c>
    </row>
    <row r="127" spans="1:10">
      <c r="A127" s="287"/>
      <c r="B127" s="389"/>
      <c r="C127" s="287"/>
      <c r="D127" s="287" t="s">
        <v>970</v>
      </c>
      <c r="E127" s="389" t="s">
        <v>37</v>
      </c>
      <c r="F127" s="390">
        <v>5</v>
      </c>
      <c r="G127" s="284"/>
      <c r="H127" s="389"/>
      <c r="I127" s="403"/>
      <c r="J127" s="284">
        <f>G123*F127/H123/100</f>
        <v>309068.51851851848</v>
      </c>
    </row>
    <row r="128" spans="1:10">
      <c r="A128" s="387"/>
      <c r="B128" s="388"/>
      <c r="C128" s="387"/>
      <c r="D128" s="387" t="s">
        <v>971</v>
      </c>
      <c r="E128" s="388"/>
      <c r="F128" s="388"/>
      <c r="G128" s="282"/>
      <c r="H128" s="388"/>
      <c r="I128" s="401"/>
      <c r="J128" s="282">
        <f>SUM(J129:J129)</f>
        <v>296349</v>
      </c>
    </row>
    <row r="129" spans="1:10">
      <c r="A129" s="287"/>
      <c r="B129" s="389"/>
      <c r="C129" s="287" t="s">
        <v>973</v>
      </c>
      <c r="D129" s="287" t="s">
        <v>974</v>
      </c>
      <c r="E129" s="389" t="s">
        <v>895</v>
      </c>
      <c r="F129" s="390">
        <v>1</v>
      </c>
      <c r="G129" s="395">
        <f>296349</f>
        <v>296349</v>
      </c>
      <c r="H129" s="389"/>
      <c r="I129" s="403"/>
      <c r="J129" s="284">
        <f>F129*G129</f>
        <v>296349</v>
      </c>
    </row>
    <row r="130" spans="1:10">
      <c r="A130" s="387"/>
      <c r="B130" s="388"/>
      <c r="C130" s="387"/>
      <c r="D130" s="387" t="s">
        <v>972</v>
      </c>
      <c r="E130" s="388"/>
      <c r="F130" s="388"/>
      <c r="G130" s="282"/>
      <c r="H130" s="388"/>
      <c r="I130" s="401"/>
      <c r="J130" s="282">
        <f>SUM(J131:J131)</f>
        <v>1181313.18</v>
      </c>
    </row>
    <row r="131" spans="1:10">
      <c r="A131" s="287"/>
      <c r="B131" s="389"/>
      <c r="C131" s="287" t="s">
        <v>977</v>
      </c>
      <c r="D131" s="287" t="s">
        <v>978</v>
      </c>
      <c r="E131" s="389" t="s">
        <v>734</v>
      </c>
      <c r="F131" s="390">
        <v>67</v>
      </c>
      <c r="G131" s="396">
        <f>$L$22</f>
        <v>17118</v>
      </c>
      <c r="H131" s="389"/>
      <c r="I131" s="402">
        <v>1.03</v>
      </c>
      <c r="J131" s="284">
        <f>F131*G131*I131</f>
        <v>1181313.18</v>
      </c>
    </row>
    <row r="132" spans="1:10">
      <c r="A132" s="391"/>
      <c r="B132" s="392">
        <v>15</v>
      </c>
      <c r="C132" s="391" t="s">
        <v>674</v>
      </c>
      <c r="D132" s="391" t="s">
        <v>940</v>
      </c>
      <c r="E132" s="392" t="s">
        <v>926</v>
      </c>
      <c r="F132" s="392"/>
      <c r="G132" s="393">
        <v>217034000</v>
      </c>
      <c r="H132" s="394">
        <v>180</v>
      </c>
      <c r="I132" s="404"/>
      <c r="J132" s="405">
        <f>J133+J137+J139</f>
        <v>1158219.0222222223</v>
      </c>
    </row>
    <row r="133" spans="1:10">
      <c r="A133" s="387"/>
      <c r="B133" s="388"/>
      <c r="C133" s="387"/>
      <c r="D133" s="387" t="s">
        <v>967</v>
      </c>
      <c r="E133" s="388"/>
      <c r="F133" s="388"/>
      <c r="G133" s="282"/>
      <c r="H133" s="388"/>
      <c r="I133" s="401"/>
      <c r="J133" s="282">
        <f>SUM(J134:J136)</f>
        <v>244766.12222222221</v>
      </c>
    </row>
    <row r="134" spans="1:10">
      <c r="A134" s="287"/>
      <c r="B134" s="389"/>
      <c r="C134" s="287"/>
      <c r="D134" s="287" t="s">
        <v>968</v>
      </c>
      <c r="E134" s="389" t="s">
        <v>37</v>
      </c>
      <c r="F134" s="390">
        <v>11</v>
      </c>
      <c r="G134" s="284"/>
      <c r="H134" s="389"/>
      <c r="I134" s="402">
        <v>0.9</v>
      </c>
      <c r="J134" s="284">
        <f>G132*F134*I134/H132/100</f>
        <v>119368.7</v>
      </c>
    </row>
    <row r="135" spans="1:10">
      <c r="A135" s="287"/>
      <c r="B135" s="389"/>
      <c r="C135" s="287"/>
      <c r="D135" s="287" t="s">
        <v>969</v>
      </c>
      <c r="E135" s="389" t="s">
        <v>37</v>
      </c>
      <c r="F135" s="390">
        <v>5.4</v>
      </c>
      <c r="G135" s="284"/>
      <c r="H135" s="389"/>
      <c r="I135" s="403"/>
      <c r="J135" s="284">
        <f>G132*F135/H132/100</f>
        <v>65110.2</v>
      </c>
    </row>
    <row r="136" spans="1:10">
      <c r="A136" s="287"/>
      <c r="B136" s="389"/>
      <c r="C136" s="287"/>
      <c r="D136" s="287" t="s">
        <v>970</v>
      </c>
      <c r="E136" s="389" t="s">
        <v>37</v>
      </c>
      <c r="F136" s="390">
        <v>5</v>
      </c>
      <c r="G136" s="284"/>
      <c r="H136" s="389"/>
      <c r="I136" s="403"/>
      <c r="J136" s="284">
        <f>G132*F136/H132/100</f>
        <v>60287.222222222219</v>
      </c>
    </row>
    <row r="137" spans="1:10">
      <c r="A137" s="387"/>
      <c r="B137" s="388"/>
      <c r="C137" s="387"/>
      <c r="D137" s="387" t="s">
        <v>971</v>
      </c>
      <c r="E137" s="388"/>
      <c r="F137" s="388"/>
      <c r="G137" s="282"/>
      <c r="H137" s="388"/>
      <c r="I137" s="401"/>
      <c r="J137" s="282">
        <f>SUM(J138:J138)</f>
        <v>296349</v>
      </c>
    </row>
    <row r="138" spans="1:10">
      <c r="A138" s="287"/>
      <c r="B138" s="389"/>
      <c r="C138" s="287" t="s">
        <v>973</v>
      </c>
      <c r="D138" s="287" t="s">
        <v>974</v>
      </c>
      <c r="E138" s="389" t="s">
        <v>895</v>
      </c>
      <c r="F138" s="390">
        <v>1</v>
      </c>
      <c r="G138" s="395">
        <f>296349</f>
        <v>296349</v>
      </c>
      <c r="H138" s="389"/>
      <c r="I138" s="403"/>
      <c r="J138" s="284">
        <f>F138*G138</f>
        <v>296349</v>
      </c>
    </row>
    <row r="139" spans="1:10">
      <c r="A139" s="387"/>
      <c r="B139" s="388"/>
      <c r="C139" s="387"/>
      <c r="D139" s="387" t="s">
        <v>972</v>
      </c>
      <c r="E139" s="388"/>
      <c r="F139" s="388"/>
      <c r="G139" s="282"/>
      <c r="H139" s="388"/>
      <c r="I139" s="401"/>
      <c r="J139" s="282">
        <f>SUM(J140:J140)</f>
        <v>617103.9</v>
      </c>
    </row>
    <row r="140" spans="1:10">
      <c r="A140" s="287"/>
      <c r="B140" s="389"/>
      <c r="C140" s="287" t="s">
        <v>977</v>
      </c>
      <c r="D140" s="287" t="s">
        <v>978</v>
      </c>
      <c r="E140" s="389" t="s">
        <v>734</v>
      </c>
      <c r="F140" s="390">
        <v>35</v>
      </c>
      <c r="G140" s="396">
        <f>$L$22</f>
        <v>17118</v>
      </c>
      <c r="H140" s="389"/>
      <c r="I140" s="402">
        <v>1.03</v>
      </c>
      <c r="J140" s="284">
        <f>F140*G140*I140</f>
        <v>617103.9</v>
      </c>
    </row>
    <row r="141" spans="1:10">
      <c r="A141" s="391"/>
      <c r="B141" s="392">
        <v>16</v>
      </c>
      <c r="C141" s="391" t="s">
        <v>634</v>
      </c>
      <c r="D141" s="391" t="s">
        <v>941</v>
      </c>
      <c r="E141" s="392" t="s">
        <v>926</v>
      </c>
      <c r="F141" s="392"/>
      <c r="G141" s="393">
        <v>410793000</v>
      </c>
      <c r="H141" s="394">
        <v>180</v>
      </c>
      <c r="I141" s="404"/>
      <c r="J141" s="405">
        <f>J142+J146+J148</f>
        <v>1558646.2133333334</v>
      </c>
    </row>
    <row r="142" spans="1:10">
      <c r="A142" s="387"/>
      <c r="B142" s="388"/>
      <c r="C142" s="387"/>
      <c r="D142" s="387" t="s">
        <v>967</v>
      </c>
      <c r="E142" s="388"/>
      <c r="F142" s="388"/>
      <c r="G142" s="282"/>
      <c r="H142" s="388"/>
      <c r="I142" s="401"/>
      <c r="J142" s="282">
        <f>SUM(J143:J145)</f>
        <v>433614.83333333326</v>
      </c>
    </row>
    <row r="143" spans="1:10">
      <c r="A143" s="287"/>
      <c r="B143" s="389"/>
      <c r="C143" s="287"/>
      <c r="D143" s="287" t="s">
        <v>968</v>
      </c>
      <c r="E143" s="389" t="s">
        <v>37</v>
      </c>
      <c r="F143" s="390">
        <v>10</v>
      </c>
      <c r="G143" s="284"/>
      <c r="H143" s="389"/>
      <c r="I143" s="402">
        <v>0.9</v>
      </c>
      <c r="J143" s="284">
        <f>G141*F143*I143/H141/100</f>
        <v>205396.5</v>
      </c>
    </row>
    <row r="144" spans="1:10">
      <c r="A144" s="287"/>
      <c r="B144" s="389"/>
      <c r="C144" s="287"/>
      <c r="D144" s="287" t="s">
        <v>969</v>
      </c>
      <c r="E144" s="389" t="s">
        <v>37</v>
      </c>
      <c r="F144" s="390">
        <v>5</v>
      </c>
      <c r="G144" s="284"/>
      <c r="H144" s="389"/>
      <c r="I144" s="403"/>
      <c r="J144" s="284">
        <f>G141*F144/H141/100</f>
        <v>114109.16666666666</v>
      </c>
    </row>
    <row r="145" spans="1:10">
      <c r="A145" s="287"/>
      <c r="B145" s="389"/>
      <c r="C145" s="287"/>
      <c r="D145" s="287" t="s">
        <v>970</v>
      </c>
      <c r="E145" s="389" t="s">
        <v>37</v>
      </c>
      <c r="F145" s="390">
        <v>5</v>
      </c>
      <c r="G145" s="284"/>
      <c r="H145" s="389"/>
      <c r="I145" s="403"/>
      <c r="J145" s="284">
        <f>G141*F145/H141/100</f>
        <v>114109.16666666666</v>
      </c>
    </row>
    <row r="146" spans="1:10">
      <c r="A146" s="387"/>
      <c r="B146" s="388"/>
      <c r="C146" s="387"/>
      <c r="D146" s="387" t="s">
        <v>971</v>
      </c>
      <c r="E146" s="388"/>
      <c r="F146" s="388"/>
      <c r="G146" s="282"/>
      <c r="H146" s="388"/>
      <c r="I146" s="401"/>
      <c r="J146" s="282">
        <f>SUM(J147:J147)</f>
        <v>296349</v>
      </c>
    </row>
    <row r="147" spans="1:10">
      <c r="A147" s="287"/>
      <c r="B147" s="389"/>
      <c r="C147" s="287" t="s">
        <v>973</v>
      </c>
      <c r="D147" s="287" t="s">
        <v>974</v>
      </c>
      <c r="E147" s="389" t="s">
        <v>895</v>
      </c>
      <c r="F147" s="390">
        <v>1</v>
      </c>
      <c r="G147" s="395">
        <f>296349</f>
        <v>296349</v>
      </c>
      <c r="H147" s="389"/>
      <c r="I147" s="403"/>
      <c r="J147" s="284">
        <f>F147*G147</f>
        <v>296349</v>
      </c>
    </row>
    <row r="148" spans="1:10">
      <c r="A148" s="387"/>
      <c r="B148" s="388"/>
      <c r="C148" s="387"/>
      <c r="D148" s="387" t="s">
        <v>972</v>
      </c>
      <c r="E148" s="388"/>
      <c r="F148" s="388"/>
      <c r="G148" s="282"/>
      <c r="H148" s="388"/>
      <c r="I148" s="401"/>
      <c r="J148" s="282">
        <f>SUM(J149:J149)</f>
        <v>828682.38</v>
      </c>
    </row>
    <row r="149" spans="1:10">
      <c r="A149" s="287"/>
      <c r="B149" s="389"/>
      <c r="C149" s="287" t="s">
        <v>977</v>
      </c>
      <c r="D149" s="287" t="s">
        <v>978</v>
      </c>
      <c r="E149" s="389" t="s">
        <v>734</v>
      </c>
      <c r="F149" s="390">
        <v>47</v>
      </c>
      <c r="G149" s="396">
        <f>$L$22</f>
        <v>17118</v>
      </c>
      <c r="H149" s="389"/>
      <c r="I149" s="402">
        <v>1.03</v>
      </c>
      <c r="J149" s="284">
        <f>F149*G149*I149</f>
        <v>828682.38</v>
      </c>
    </row>
    <row r="150" spans="1:10">
      <c r="A150" s="391"/>
      <c r="B150" s="392">
        <v>17</v>
      </c>
      <c r="C150" s="391" t="s">
        <v>647</v>
      </c>
      <c r="D150" s="391" t="s">
        <v>942</v>
      </c>
      <c r="E150" s="392" t="s">
        <v>926</v>
      </c>
      <c r="F150" s="392"/>
      <c r="G150" s="393">
        <v>930161000</v>
      </c>
      <c r="H150" s="394">
        <v>150</v>
      </c>
      <c r="I150" s="404"/>
      <c r="J150" s="405">
        <f>J151+J155+J158</f>
        <v>2958321.8666666662</v>
      </c>
    </row>
    <row r="151" spans="1:10">
      <c r="A151" s="387"/>
      <c r="B151" s="388"/>
      <c r="C151" s="387"/>
      <c r="D151" s="387" t="s">
        <v>967</v>
      </c>
      <c r="E151" s="388"/>
      <c r="F151" s="388"/>
      <c r="G151" s="282"/>
      <c r="H151" s="388"/>
      <c r="I151" s="401"/>
      <c r="J151" s="282">
        <f>SUM(J152:J154)</f>
        <v>1444850.0866666664</v>
      </c>
    </row>
    <row r="152" spans="1:10">
      <c r="A152" s="287"/>
      <c r="B152" s="389"/>
      <c r="C152" s="287"/>
      <c r="D152" s="287" t="s">
        <v>968</v>
      </c>
      <c r="E152" s="389" t="s">
        <v>37</v>
      </c>
      <c r="F152" s="390">
        <v>13</v>
      </c>
      <c r="G152" s="284"/>
      <c r="H152" s="389"/>
      <c r="I152" s="402">
        <v>0.9</v>
      </c>
      <c r="J152" s="284">
        <f>G150*F152*I152/H150/100</f>
        <v>725525.58</v>
      </c>
    </row>
    <row r="153" spans="1:10">
      <c r="A153" s="287"/>
      <c r="B153" s="389"/>
      <c r="C153" s="287"/>
      <c r="D153" s="287" t="s">
        <v>969</v>
      </c>
      <c r="E153" s="389" t="s">
        <v>37</v>
      </c>
      <c r="F153" s="390">
        <v>5.6</v>
      </c>
      <c r="G153" s="284"/>
      <c r="H153" s="389"/>
      <c r="I153" s="403"/>
      <c r="J153" s="284">
        <f>G150*F153/H150/100</f>
        <v>347260.10666666663</v>
      </c>
    </row>
    <row r="154" spans="1:10">
      <c r="A154" s="287"/>
      <c r="B154" s="389"/>
      <c r="C154" s="287"/>
      <c r="D154" s="287" t="s">
        <v>970</v>
      </c>
      <c r="E154" s="389" t="s">
        <v>37</v>
      </c>
      <c r="F154" s="390">
        <v>6</v>
      </c>
      <c r="G154" s="284"/>
      <c r="H154" s="389"/>
      <c r="I154" s="403"/>
      <c r="J154" s="284">
        <f>G150*F154/H150/100</f>
        <v>372064.4</v>
      </c>
    </row>
    <row r="155" spans="1:10">
      <c r="A155" s="387"/>
      <c r="B155" s="388"/>
      <c r="C155" s="387"/>
      <c r="D155" s="387" t="s">
        <v>971</v>
      </c>
      <c r="E155" s="388"/>
      <c r="F155" s="388"/>
      <c r="G155" s="282"/>
      <c r="H155" s="388"/>
      <c r="I155" s="401"/>
      <c r="J155" s="282">
        <f>SUM(J156:J157)</f>
        <v>508474</v>
      </c>
    </row>
    <row r="156" spans="1:10">
      <c r="A156" s="287"/>
      <c r="B156" s="389"/>
      <c r="C156" s="287" t="s">
        <v>986</v>
      </c>
      <c r="D156" s="287" t="s">
        <v>987</v>
      </c>
      <c r="E156" s="389" t="s">
        <v>895</v>
      </c>
      <c r="F156" s="390">
        <v>1</v>
      </c>
      <c r="G156" s="395">
        <f>211864</f>
        <v>211864</v>
      </c>
      <c r="H156" s="389"/>
      <c r="I156" s="403"/>
      <c r="J156" s="284">
        <f t="shared" ref="J156:J157" si="2">F156*G156</f>
        <v>211864</v>
      </c>
    </row>
    <row r="157" spans="1:10">
      <c r="A157" s="287"/>
      <c r="B157" s="389"/>
      <c r="C157" s="287" t="s">
        <v>988</v>
      </c>
      <c r="D157" s="287" t="s">
        <v>989</v>
      </c>
      <c r="E157" s="389" t="s">
        <v>895</v>
      </c>
      <c r="F157" s="390">
        <v>1</v>
      </c>
      <c r="G157" s="395">
        <f>296610</f>
        <v>296610</v>
      </c>
      <c r="H157" s="389"/>
      <c r="I157" s="403"/>
      <c r="J157" s="284">
        <f t="shared" si="2"/>
        <v>296610</v>
      </c>
    </row>
    <row r="158" spans="1:10">
      <c r="A158" s="387"/>
      <c r="B158" s="388"/>
      <c r="C158" s="387"/>
      <c r="D158" s="387" t="s">
        <v>972</v>
      </c>
      <c r="E158" s="388"/>
      <c r="F158" s="388"/>
      <c r="G158" s="282"/>
      <c r="H158" s="388"/>
      <c r="I158" s="401"/>
      <c r="J158" s="282">
        <f>SUM(J159:J159)</f>
        <v>1004997.78</v>
      </c>
    </row>
    <row r="159" spans="1:10">
      <c r="A159" s="287"/>
      <c r="B159" s="389"/>
      <c r="C159" s="287" t="s">
        <v>977</v>
      </c>
      <c r="D159" s="287" t="s">
        <v>978</v>
      </c>
      <c r="E159" s="389" t="s">
        <v>734</v>
      </c>
      <c r="F159" s="390">
        <v>57</v>
      </c>
      <c r="G159" s="396">
        <f>$L$22</f>
        <v>17118</v>
      </c>
      <c r="H159" s="389"/>
      <c r="I159" s="402">
        <v>1.03</v>
      </c>
      <c r="J159" s="284">
        <f>F159*G159*I159</f>
        <v>1004997.78</v>
      </c>
    </row>
    <row r="160" spans="1:10">
      <c r="A160" s="391"/>
      <c r="B160" s="392">
        <v>18</v>
      </c>
      <c r="C160" s="391" t="s">
        <v>606</v>
      </c>
      <c r="D160" s="391" t="s">
        <v>943</v>
      </c>
      <c r="E160" s="392" t="s">
        <v>926</v>
      </c>
      <c r="F160" s="392"/>
      <c r="G160" s="393">
        <v>2043419000</v>
      </c>
      <c r="H160" s="394">
        <v>180</v>
      </c>
      <c r="I160" s="404"/>
      <c r="J160" s="405">
        <f>J161+J165+J168</f>
        <v>3572483.6555555556</v>
      </c>
    </row>
    <row r="161" spans="1:10">
      <c r="A161" s="387"/>
      <c r="B161" s="388"/>
      <c r="C161" s="387"/>
      <c r="D161" s="387" t="s">
        <v>967</v>
      </c>
      <c r="E161" s="388"/>
      <c r="F161" s="388"/>
      <c r="G161" s="282"/>
      <c r="H161" s="388"/>
      <c r="I161" s="401"/>
      <c r="J161" s="282">
        <f>SUM(J162:J164)</f>
        <v>2474807.4555555554</v>
      </c>
    </row>
    <row r="162" spans="1:10">
      <c r="A162" s="287"/>
      <c r="B162" s="389"/>
      <c r="C162" s="287"/>
      <c r="D162" s="287" t="s">
        <v>968</v>
      </c>
      <c r="E162" s="389" t="s">
        <v>37</v>
      </c>
      <c r="F162" s="390">
        <v>14</v>
      </c>
      <c r="G162" s="284"/>
      <c r="H162" s="389"/>
      <c r="I162" s="402">
        <v>0.9</v>
      </c>
      <c r="J162" s="284">
        <f>G160*F162*I162/H160/100</f>
        <v>1430393.3</v>
      </c>
    </row>
    <row r="163" spans="1:10">
      <c r="A163" s="287"/>
      <c r="B163" s="389"/>
      <c r="C163" s="287"/>
      <c r="D163" s="287" t="s">
        <v>969</v>
      </c>
      <c r="E163" s="389" t="s">
        <v>37</v>
      </c>
      <c r="F163" s="390">
        <v>4.2</v>
      </c>
      <c r="G163" s="284"/>
      <c r="H163" s="389"/>
      <c r="I163" s="403"/>
      <c r="J163" s="284">
        <f>G160*F163/H160/100</f>
        <v>476797.76666666666</v>
      </c>
    </row>
    <row r="164" spans="1:10">
      <c r="A164" s="287"/>
      <c r="B164" s="389"/>
      <c r="C164" s="287"/>
      <c r="D164" s="287" t="s">
        <v>970</v>
      </c>
      <c r="E164" s="389" t="s">
        <v>37</v>
      </c>
      <c r="F164" s="390">
        <v>5</v>
      </c>
      <c r="G164" s="284"/>
      <c r="H164" s="389"/>
      <c r="I164" s="403"/>
      <c r="J164" s="284">
        <f>G160*F164/H160/100</f>
        <v>567616.38888888888</v>
      </c>
    </row>
    <row r="165" spans="1:10">
      <c r="A165" s="387"/>
      <c r="B165" s="388"/>
      <c r="C165" s="387"/>
      <c r="D165" s="387" t="s">
        <v>971</v>
      </c>
      <c r="E165" s="388"/>
      <c r="F165" s="388"/>
      <c r="G165" s="282"/>
      <c r="H165" s="388"/>
      <c r="I165" s="401"/>
      <c r="J165" s="282">
        <f>SUM(J166:J167)</f>
        <v>568730</v>
      </c>
    </row>
    <row r="166" spans="1:10">
      <c r="A166" s="287"/>
      <c r="B166" s="389"/>
      <c r="C166" s="287" t="s">
        <v>979</v>
      </c>
      <c r="D166" s="287" t="s">
        <v>980</v>
      </c>
      <c r="E166" s="389" t="s">
        <v>895</v>
      </c>
      <c r="F166" s="390">
        <v>1</v>
      </c>
      <c r="G166" s="395">
        <f>249651</f>
        <v>249651</v>
      </c>
      <c r="H166" s="389"/>
      <c r="I166" s="403"/>
      <c r="J166" s="284">
        <f t="shared" ref="J166:J167" si="3">F166*G166</f>
        <v>249651</v>
      </c>
    </row>
    <row r="167" spans="1:10">
      <c r="A167" s="287"/>
      <c r="B167" s="389"/>
      <c r="C167" s="287" t="s">
        <v>990</v>
      </c>
      <c r="D167" s="287" t="s">
        <v>991</v>
      </c>
      <c r="E167" s="389" t="s">
        <v>895</v>
      </c>
      <c r="F167" s="390">
        <v>1</v>
      </c>
      <c r="G167" s="395">
        <f>319079</f>
        <v>319079</v>
      </c>
      <c r="H167" s="389"/>
      <c r="I167" s="403"/>
      <c r="J167" s="284">
        <f t="shared" si="3"/>
        <v>319079</v>
      </c>
    </row>
    <row r="168" spans="1:10">
      <c r="A168" s="387"/>
      <c r="B168" s="388"/>
      <c r="C168" s="387"/>
      <c r="D168" s="387" t="s">
        <v>972</v>
      </c>
      <c r="E168" s="388"/>
      <c r="F168" s="388"/>
      <c r="G168" s="282"/>
      <c r="H168" s="388"/>
      <c r="I168" s="401"/>
      <c r="J168" s="282">
        <f>SUM(J169:J169)</f>
        <v>528946.20000000007</v>
      </c>
    </row>
    <row r="169" spans="1:10">
      <c r="A169" s="287"/>
      <c r="B169" s="389"/>
      <c r="C169" s="287" t="s">
        <v>977</v>
      </c>
      <c r="D169" s="287" t="s">
        <v>978</v>
      </c>
      <c r="E169" s="389" t="s">
        <v>734</v>
      </c>
      <c r="F169" s="390">
        <v>30</v>
      </c>
      <c r="G169" s="396">
        <f>$L$22</f>
        <v>17118</v>
      </c>
      <c r="H169" s="389"/>
      <c r="I169" s="402">
        <v>1.03</v>
      </c>
      <c r="J169" s="284">
        <f>F169*G169*I169</f>
        <v>528946.20000000007</v>
      </c>
    </row>
    <row r="170" spans="1:10">
      <c r="A170" s="391"/>
      <c r="B170" s="392">
        <v>19</v>
      </c>
      <c r="C170" s="391" t="s">
        <v>645</v>
      </c>
      <c r="D170" s="391" t="s">
        <v>944</v>
      </c>
      <c r="E170" s="392" t="s">
        <v>926</v>
      </c>
      <c r="F170" s="392"/>
      <c r="G170" s="393">
        <v>1022799000</v>
      </c>
      <c r="H170" s="394">
        <v>230</v>
      </c>
      <c r="I170" s="404"/>
      <c r="J170" s="405">
        <f>J171+J175+J177</f>
        <v>1989485.4904347826</v>
      </c>
    </row>
    <row r="171" spans="1:10">
      <c r="A171" s="387"/>
      <c r="B171" s="388"/>
      <c r="C171" s="387"/>
      <c r="D171" s="387" t="s">
        <v>967</v>
      </c>
      <c r="E171" s="388"/>
      <c r="F171" s="388"/>
      <c r="G171" s="282"/>
      <c r="H171" s="388"/>
      <c r="I171" s="401"/>
      <c r="J171" s="282">
        <f>SUM(J172:J174)</f>
        <v>982776.43043478264</v>
      </c>
    </row>
    <row r="172" spans="1:10">
      <c r="A172" s="287"/>
      <c r="B172" s="389"/>
      <c r="C172" s="287"/>
      <c r="D172" s="287" t="s">
        <v>968</v>
      </c>
      <c r="E172" s="389" t="s">
        <v>37</v>
      </c>
      <c r="F172" s="390">
        <v>15</v>
      </c>
      <c r="G172" s="284"/>
      <c r="H172" s="389"/>
      <c r="I172" s="402">
        <v>0.9</v>
      </c>
      <c r="J172" s="284">
        <f>G170*F172*I172/H170/100</f>
        <v>600338.54347826086</v>
      </c>
    </row>
    <row r="173" spans="1:10">
      <c r="A173" s="287"/>
      <c r="B173" s="389"/>
      <c r="C173" s="287"/>
      <c r="D173" s="287" t="s">
        <v>969</v>
      </c>
      <c r="E173" s="389" t="s">
        <v>37</v>
      </c>
      <c r="F173" s="390">
        <v>3.6</v>
      </c>
      <c r="G173" s="284"/>
      <c r="H173" s="389"/>
      <c r="I173" s="403"/>
      <c r="J173" s="284">
        <f>G170*F173/H170/100</f>
        <v>160090.27826086956</v>
      </c>
    </row>
    <row r="174" spans="1:10">
      <c r="A174" s="287"/>
      <c r="B174" s="389"/>
      <c r="C174" s="287"/>
      <c r="D174" s="287" t="s">
        <v>970</v>
      </c>
      <c r="E174" s="389" t="s">
        <v>37</v>
      </c>
      <c r="F174" s="390">
        <v>5</v>
      </c>
      <c r="G174" s="284"/>
      <c r="H174" s="389"/>
      <c r="I174" s="403"/>
      <c r="J174" s="284">
        <f>G170*F174/H170/100</f>
        <v>222347.60869565219</v>
      </c>
    </row>
    <row r="175" spans="1:10">
      <c r="A175" s="387"/>
      <c r="B175" s="388"/>
      <c r="C175" s="387"/>
      <c r="D175" s="387" t="s">
        <v>971</v>
      </c>
      <c r="E175" s="388"/>
      <c r="F175" s="388"/>
      <c r="G175" s="282"/>
      <c r="H175" s="388"/>
      <c r="I175" s="401"/>
      <c r="J175" s="282">
        <f>SUM(J176:J176)</f>
        <v>319079</v>
      </c>
    </row>
    <row r="176" spans="1:10">
      <c r="A176" s="287"/>
      <c r="B176" s="389"/>
      <c r="C176" s="287" t="s">
        <v>990</v>
      </c>
      <c r="D176" s="287" t="s">
        <v>991</v>
      </c>
      <c r="E176" s="389" t="s">
        <v>895</v>
      </c>
      <c r="F176" s="390">
        <v>1</v>
      </c>
      <c r="G176" s="395">
        <f>319079</f>
        <v>319079</v>
      </c>
      <c r="H176" s="389"/>
      <c r="I176" s="403"/>
      <c r="J176" s="284">
        <f>F176*G176</f>
        <v>319079</v>
      </c>
    </row>
    <row r="177" spans="1:10">
      <c r="A177" s="387"/>
      <c r="B177" s="388"/>
      <c r="C177" s="387"/>
      <c r="D177" s="387" t="s">
        <v>972</v>
      </c>
      <c r="E177" s="388"/>
      <c r="F177" s="388"/>
      <c r="G177" s="282"/>
      <c r="H177" s="388"/>
      <c r="I177" s="401"/>
      <c r="J177" s="282">
        <f>SUM(J178:J178)</f>
        <v>687630.06</v>
      </c>
    </row>
    <row r="178" spans="1:10">
      <c r="A178" s="287"/>
      <c r="B178" s="389"/>
      <c r="C178" s="287" t="s">
        <v>977</v>
      </c>
      <c r="D178" s="287" t="s">
        <v>978</v>
      </c>
      <c r="E178" s="389" t="s">
        <v>734</v>
      </c>
      <c r="F178" s="390">
        <v>39</v>
      </c>
      <c r="G178" s="396">
        <f>$L$22</f>
        <v>17118</v>
      </c>
      <c r="H178" s="389"/>
      <c r="I178" s="402">
        <v>1.03</v>
      </c>
      <c r="J178" s="284">
        <f>F178*G178*I178</f>
        <v>687630.06</v>
      </c>
    </row>
    <row r="179" spans="1:10">
      <c r="A179" s="391"/>
      <c r="B179" s="392">
        <v>20</v>
      </c>
      <c r="C179" s="391" t="s">
        <v>623</v>
      </c>
      <c r="D179" s="391" t="s">
        <v>945</v>
      </c>
      <c r="E179" s="392" t="s">
        <v>926</v>
      </c>
      <c r="F179" s="392"/>
      <c r="G179" s="393">
        <v>30210000</v>
      </c>
      <c r="H179" s="394">
        <v>165</v>
      </c>
      <c r="I179" s="404"/>
      <c r="J179" s="405">
        <f>J180+J184+J186</f>
        <v>326305.98864499998</v>
      </c>
    </row>
    <row r="180" spans="1:10">
      <c r="A180" s="387"/>
      <c r="B180" s="388"/>
      <c r="C180" s="387"/>
      <c r="D180" s="387" t="s">
        <v>967</v>
      </c>
      <c r="E180" s="388"/>
      <c r="F180" s="388"/>
      <c r="G180" s="282"/>
      <c r="H180" s="388"/>
      <c r="I180" s="401"/>
      <c r="J180" s="282">
        <f>SUM(J181:J183)</f>
        <v>52364</v>
      </c>
    </row>
    <row r="181" spans="1:10">
      <c r="A181" s="287"/>
      <c r="B181" s="389"/>
      <c r="C181" s="287"/>
      <c r="D181" s="287" t="s">
        <v>968</v>
      </c>
      <c r="E181" s="389" t="s">
        <v>37</v>
      </c>
      <c r="F181" s="390">
        <v>19</v>
      </c>
      <c r="G181" s="284"/>
      <c r="H181" s="389"/>
      <c r="I181" s="402">
        <v>0.9</v>
      </c>
      <c r="J181" s="284">
        <f>G179*F181*I181/H179/100</f>
        <v>31308.545454545456</v>
      </c>
    </row>
    <row r="182" spans="1:10">
      <c r="A182" s="287"/>
      <c r="B182" s="389"/>
      <c r="C182" s="287"/>
      <c r="D182" s="287" t="s">
        <v>969</v>
      </c>
      <c r="E182" s="389" t="s">
        <v>37</v>
      </c>
      <c r="F182" s="390">
        <v>6.5</v>
      </c>
      <c r="G182" s="284"/>
      <c r="H182" s="389"/>
      <c r="I182" s="403"/>
      <c r="J182" s="284">
        <f>G179*F182/H179/100</f>
        <v>11900.909090909092</v>
      </c>
    </row>
    <row r="183" spans="1:10">
      <c r="A183" s="287"/>
      <c r="B183" s="389"/>
      <c r="C183" s="287"/>
      <c r="D183" s="287" t="s">
        <v>970</v>
      </c>
      <c r="E183" s="389" t="s">
        <v>37</v>
      </c>
      <c r="F183" s="390">
        <v>5</v>
      </c>
      <c r="G183" s="284"/>
      <c r="H183" s="389"/>
      <c r="I183" s="403"/>
      <c r="J183" s="284">
        <f>G179*F183/H179/100</f>
        <v>9154.545454545454</v>
      </c>
    </row>
    <row r="184" spans="1:10">
      <c r="A184" s="387"/>
      <c r="B184" s="388"/>
      <c r="C184" s="387"/>
      <c r="D184" s="387" t="s">
        <v>971</v>
      </c>
      <c r="E184" s="388"/>
      <c r="F184" s="388"/>
      <c r="G184" s="282"/>
      <c r="H184" s="388"/>
      <c r="I184" s="401"/>
      <c r="J184" s="282">
        <f>SUM(J185:J185)</f>
        <v>249651</v>
      </c>
    </row>
    <row r="185" spans="1:10">
      <c r="A185" s="287"/>
      <c r="B185" s="389"/>
      <c r="C185" s="287" t="s">
        <v>979</v>
      </c>
      <c r="D185" s="287" t="s">
        <v>980</v>
      </c>
      <c r="E185" s="389" t="s">
        <v>895</v>
      </c>
      <c r="F185" s="390">
        <v>1</v>
      </c>
      <c r="G185" s="395">
        <f>249651</f>
        <v>249651</v>
      </c>
      <c r="H185" s="389"/>
      <c r="I185" s="403"/>
      <c r="J185" s="284">
        <f>F185*G185</f>
        <v>249651</v>
      </c>
    </row>
    <row r="186" spans="1:10">
      <c r="A186" s="387"/>
      <c r="B186" s="388"/>
      <c r="C186" s="387"/>
      <c r="D186" s="387" t="s">
        <v>972</v>
      </c>
      <c r="E186" s="388"/>
      <c r="F186" s="388"/>
      <c r="G186" s="282"/>
      <c r="H186" s="388"/>
      <c r="I186" s="401"/>
      <c r="J186" s="282">
        <f>SUM(J187:J187)</f>
        <v>24290.988644999998</v>
      </c>
    </row>
    <row r="187" spans="1:10">
      <c r="A187" s="287"/>
      <c r="B187" s="389"/>
      <c r="C187" s="287" t="s">
        <v>983</v>
      </c>
      <c r="D187" s="287" t="s">
        <v>984</v>
      </c>
      <c r="E187" s="389" t="s">
        <v>985</v>
      </c>
      <c r="F187" s="390">
        <v>11</v>
      </c>
      <c r="G187" s="398">
        <f>$L$50</f>
        <v>2103.1158999999998</v>
      </c>
      <c r="H187" s="389"/>
      <c r="I187" s="402">
        <v>1.05</v>
      </c>
      <c r="J187" s="284">
        <f>F187*G187*I187</f>
        <v>24290.988644999998</v>
      </c>
    </row>
    <row r="188" spans="1:10">
      <c r="A188" s="391"/>
      <c r="B188" s="392">
        <v>21</v>
      </c>
      <c r="C188" s="391" t="s">
        <v>657</v>
      </c>
      <c r="D188" s="391" t="s">
        <v>946</v>
      </c>
      <c r="E188" s="392" t="s">
        <v>926</v>
      </c>
      <c r="F188" s="392"/>
      <c r="G188" s="393">
        <v>17828000</v>
      </c>
      <c r="H188" s="394">
        <v>170</v>
      </c>
      <c r="I188" s="404"/>
      <c r="J188" s="405">
        <f>J189+J193+J195</f>
        <v>299617.31473647064</v>
      </c>
    </row>
    <row r="189" spans="1:10">
      <c r="A189" s="387"/>
      <c r="B189" s="388"/>
      <c r="C189" s="387"/>
      <c r="D189" s="387" t="s">
        <v>967</v>
      </c>
      <c r="E189" s="388"/>
      <c r="F189" s="388"/>
      <c r="G189" s="282"/>
      <c r="H189" s="388"/>
      <c r="I189" s="401"/>
      <c r="J189" s="282">
        <f>SUM(J190:J192)</f>
        <v>32300.141176470588</v>
      </c>
    </row>
    <row r="190" spans="1:10">
      <c r="A190" s="287"/>
      <c r="B190" s="389"/>
      <c r="C190" s="287"/>
      <c r="D190" s="287" t="s">
        <v>968</v>
      </c>
      <c r="E190" s="389" t="s">
        <v>37</v>
      </c>
      <c r="F190" s="390">
        <v>19</v>
      </c>
      <c r="G190" s="284"/>
      <c r="H190" s="389"/>
      <c r="I190" s="402">
        <v>1</v>
      </c>
      <c r="J190" s="284">
        <f>G188*F190*I190/H188/100</f>
        <v>19925.411764705881</v>
      </c>
    </row>
    <row r="191" spans="1:10">
      <c r="A191" s="287"/>
      <c r="B191" s="389"/>
      <c r="C191" s="287"/>
      <c r="D191" s="287" t="s">
        <v>969</v>
      </c>
      <c r="E191" s="389" t="s">
        <v>37</v>
      </c>
      <c r="F191" s="390">
        <v>6.8</v>
      </c>
      <c r="G191" s="284"/>
      <c r="H191" s="389"/>
      <c r="I191" s="403"/>
      <c r="J191" s="284">
        <f>G188*F191/H188/100</f>
        <v>7131.2</v>
      </c>
    </row>
    <row r="192" spans="1:10">
      <c r="A192" s="287"/>
      <c r="B192" s="389"/>
      <c r="C192" s="287"/>
      <c r="D192" s="287" t="s">
        <v>970</v>
      </c>
      <c r="E192" s="389" t="s">
        <v>37</v>
      </c>
      <c r="F192" s="390">
        <v>5</v>
      </c>
      <c r="G192" s="284"/>
      <c r="H192" s="389"/>
      <c r="I192" s="403"/>
      <c r="J192" s="284">
        <f>G188*F192/H188/100</f>
        <v>5243.5294117647063</v>
      </c>
    </row>
    <row r="193" spans="1:10">
      <c r="A193" s="387"/>
      <c r="B193" s="388"/>
      <c r="C193" s="387"/>
      <c r="D193" s="387" t="s">
        <v>971</v>
      </c>
      <c r="E193" s="388"/>
      <c r="F193" s="388"/>
      <c r="G193" s="282"/>
      <c r="H193" s="388"/>
      <c r="I193" s="401"/>
      <c r="J193" s="282">
        <f>SUM(J194:J194)</f>
        <v>249651</v>
      </c>
    </row>
    <row r="194" spans="1:10">
      <c r="A194" s="287"/>
      <c r="B194" s="389"/>
      <c r="C194" s="287" t="s">
        <v>979</v>
      </c>
      <c r="D194" s="287" t="s">
        <v>980</v>
      </c>
      <c r="E194" s="389" t="s">
        <v>895</v>
      </c>
      <c r="F194" s="390">
        <v>1</v>
      </c>
      <c r="G194" s="395">
        <f>249651</f>
        <v>249651</v>
      </c>
      <c r="H194" s="389"/>
      <c r="I194" s="403"/>
      <c r="J194" s="284">
        <f>F194*G194</f>
        <v>249651</v>
      </c>
    </row>
    <row r="195" spans="1:10">
      <c r="A195" s="387"/>
      <c r="B195" s="388"/>
      <c r="C195" s="387"/>
      <c r="D195" s="387" t="s">
        <v>972</v>
      </c>
      <c r="E195" s="388"/>
      <c r="F195" s="388"/>
      <c r="G195" s="282"/>
      <c r="H195" s="388"/>
      <c r="I195" s="401"/>
      <c r="J195" s="282">
        <f>SUM(J196:J196)</f>
        <v>17666.173559999999</v>
      </c>
    </row>
    <row r="196" spans="1:10">
      <c r="A196" s="287"/>
      <c r="B196" s="389"/>
      <c r="C196" s="287" t="s">
        <v>983</v>
      </c>
      <c r="D196" s="287" t="s">
        <v>984</v>
      </c>
      <c r="E196" s="389" t="s">
        <v>985</v>
      </c>
      <c r="F196" s="390">
        <v>8</v>
      </c>
      <c r="G196" s="398">
        <f>$L$50</f>
        <v>2103.1158999999998</v>
      </c>
      <c r="H196" s="389"/>
      <c r="I196" s="402">
        <v>1.05</v>
      </c>
      <c r="J196" s="284">
        <f>F196*G196*I196</f>
        <v>17666.173559999999</v>
      </c>
    </row>
    <row r="197" spans="1:10">
      <c r="A197" s="391"/>
      <c r="B197" s="392">
        <v>22</v>
      </c>
      <c r="C197" s="391" t="s">
        <v>600</v>
      </c>
      <c r="D197" s="391" t="s">
        <v>947</v>
      </c>
      <c r="E197" s="392" t="s">
        <v>926</v>
      </c>
      <c r="F197" s="392"/>
      <c r="G197" s="393">
        <v>851855000</v>
      </c>
      <c r="H197" s="394">
        <v>280</v>
      </c>
      <c r="I197" s="404"/>
      <c r="J197" s="405">
        <f>J198+J202+J204</f>
        <v>1819307.232857143</v>
      </c>
    </row>
    <row r="198" spans="1:10">
      <c r="A198" s="387"/>
      <c r="B198" s="388"/>
      <c r="C198" s="387"/>
      <c r="D198" s="387" t="s">
        <v>967</v>
      </c>
      <c r="E198" s="388"/>
      <c r="F198" s="388"/>
      <c r="G198" s="282"/>
      <c r="H198" s="388"/>
      <c r="I198" s="401"/>
      <c r="J198" s="282">
        <f>SUM(J199:J201)</f>
        <v>711907.39285714296</v>
      </c>
    </row>
    <row r="199" spans="1:10">
      <c r="A199" s="287"/>
      <c r="B199" s="389"/>
      <c r="C199" s="287"/>
      <c r="D199" s="287" t="s">
        <v>968</v>
      </c>
      <c r="E199" s="389" t="s">
        <v>37</v>
      </c>
      <c r="F199" s="390">
        <v>14</v>
      </c>
      <c r="G199" s="284"/>
      <c r="H199" s="389"/>
      <c r="I199" s="402">
        <v>0.9</v>
      </c>
      <c r="J199" s="284">
        <f>G197*F199*I199/H197/100</f>
        <v>383334.75</v>
      </c>
    </row>
    <row r="200" spans="1:10">
      <c r="A200" s="287"/>
      <c r="B200" s="389"/>
      <c r="C200" s="287"/>
      <c r="D200" s="287" t="s">
        <v>969</v>
      </c>
      <c r="E200" s="389" t="s">
        <v>37</v>
      </c>
      <c r="F200" s="390">
        <v>5.8</v>
      </c>
      <c r="G200" s="284"/>
      <c r="H200" s="389"/>
      <c r="I200" s="403"/>
      <c r="J200" s="284">
        <f>G197*F200/H197/100</f>
        <v>176455.67857142858</v>
      </c>
    </row>
    <row r="201" spans="1:10">
      <c r="A201" s="287"/>
      <c r="B201" s="389"/>
      <c r="C201" s="287"/>
      <c r="D201" s="287" t="s">
        <v>970</v>
      </c>
      <c r="E201" s="389" t="s">
        <v>37</v>
      </c>
      <c r="F201" s="390">
        <v>5</v>
      </c>
      <c r="G201" s="284"/>
      <c r="H201" s="389"/>
      <c r="I201" s="403"/>
      <c r="J201" s="284">
        <f>G197*F201/H197/100</f>
        <v>152116.96428571429</v>
      </c>
    </row>
    <row r="202" spans="1:10">
      <c r="A202" s="387"/>
      <c r="B202" s="388"/>
      <c r="C202" s="387"/>
      <c r="D202" s="387" t="s">
        <v>971</v>
      </c>
      <c r="E202" s="388"/>
      <c r="F202" s="388"/>
      <c r="G202" s="282"/>
      <c r="H202" s="388"/>
      <c r="I202" s="401"/>
      <c r="J202" s="282">
        <f>SUM(J203:J203)</f>
        <v>296349</v>
      </c>
    </row>
    <row r="203" spans="1:10">
      <c r="A203" s="287"/>
      <c r="B203" s="389"/>
      <c r="C203" s="287" t="s">
        <v>973</v>
      </c>
      <c r="D203" s="287" t="s">
        <v>974</v>
      </c>
      <c r="E203" s="389" t="s">
        <v>895</v>
      </c>
      <c r="F203" s="390">
        <v>1</v>
      </c>
      <c r="G203" s="395">
        <f>296349</f>
        <v>296349</v>
      </c>
      <c r="H203" s="389"/>
      <c r="I203" s="403"/>
      <c r="J203" s="284">
        <f>F203*G203</f>
        <v>296349</v>
      </c>
    </row>
    <row r="204" spans="1:10">
      <c r="A204" s="387"/>
      <c r="B204" s="388"/>
      <c r="C204" s="387"/>
      <c r="D204" s="387" t="s">
        <v>972</v>
      </c>
      <c r="E204" s="388"/>
      <c r="F204" s="388"/>
      <c r="G204" s="282"/>
      <c r="H204" s="388"/>
      <c r="I204" s="401"/>
      <c r="J204" s="282">
        <f>SUM(J205:J205)</f>
        <v>811050.84</v>
      </c>
    </row>
    <row r="205" spans="1:10">
      <c r="A205" s="287"/>
      <c r="B205" s="389"/>
      <c r="C205" s="287" t="s">
        <v>977</v>
      </c>
      <c r="D205" s="287" t="s">
        <v>978</v>
      </c>
      <c r="E205" s="389" t="s">
        <v>734</v>
      </c>
      <c r="F205" s="390">
        <v>46</v>
      </c>
      <c r="G205" s="396">
        <f>$L$22</f>
        <v>17118</v>
      </c>
      <c r="H205" s="389"/>
      <c r="I205" s="402">
        <v>1.03</v>
      </c>
      <c r="J205" s="284">
        <f>F205*G205*I205</f>
        <v>811050.84</v>
      </c>
    </row>
    <row r="206" spans="1:10">
      <c r="A206" s="391"/>
      <c r="B206" s="392">
        <v>23</v>
      </c>
      <c r="C206" s="391" t="s">
        <v>603</v>
      </c>
      <c r="D206" s="391" t="s">
        <v>948</v>
      </c>
      <c r="E206" s="392" t="s">
        <v>926</v>
      </c>
      <c r="F206" s="392"/>
      <c r="G206" s="393">
        <v>1753811000</v>
      </c>
      <c r="H206" s="394">
        <v>280</v>
      </c>
      <c r="I206" s="404"/>
      <c r="J206" s="405">
        <f>J207+J211+J213</f>
        <v>3083240.1150000002</v>
      </c>
    </row>
    <row r="207" spans="1:10">
      <c r="A207" s="387"/>
      <c r="B207" s="388"/>
      <c r="C207" s="387"/>
      <c r="D207" s="387" t="s">
        <v>967</v>
      </c>
      <c r="E207" s="388"/>
      <c r="F207" s="388"/>
      <c r="G207" s="282"/>
      <c r="H207" s="388"/>
      <c r="I207" s="401"/>
      <c r="J207" s="282">
        <f>SUM(J208:J210)</f>
        <v>1446894.075</v>
      </c>
    </row>
    <row r="208" spans="1:10">
      <c r="A208" s="287"/>
      <c r="B208" s="389"/>
      <c r="C208" s="287"/>
      <c r="D208" s="287" t="s">
        <v>968</v>
      </c>
      <c r="E208" s="389" t="s">
        <v>37</v>
      </c>
      <c r="F208" s="390">
        <v>14</v>
      </c>
      <c r="G208" s="284"/>
      <c r="H208" s="389"/>
      <c r="I208" s="402">
        <v>0.9</v>
      </c>
      <c r="J208" s="284">
        <f>G206*F208*I208/H206/100</f>
        <v>789214.95</v>
      </c>
    </row>
    <row r="209" spans="1:10">
      <c r="A209" s="287"/>
      <c r="B209" s="389"/>
      <c r="C209" s="287"/>
      <c r="D209" s="287" t="s">
        <v>969</v>
      </c>
      <c r="E209" s="389" t="s">
        <v>37</v>
      </c>
      <c r="F209" s="390">
        <v>5.5</v>
      </c>
      <c r="G209" s="284"/>
      <c r="H209" s="389"/>
      <c r="I209" s="403"/>
      <c r="J209" s="284">
        <f>G206*F209/H206/100</f>
        <v>344498.58928571426</v>
      </c>
    </row>
    <row r="210" spans="1:10">
      <c r="A210" s="287"/>
      <c r="B210" s="389"/>
      <c r="C210" s="287"/>
      <c r="D210" s="287" t="s">
        <v>970</v>
      </c>
      <c r="E210" s="389" t="s">
        <v>37</v>
      </c>
      <c r="F210" s="390">
        <v>5</v>
      </c>
      <c r="G210" s="284"/>
      <c r="H210" s="389"/>
      <c r="I210" s="403"/>
      <c r="J210" s="284">
        <f>G206*F210/H206/100</f>
        <v>313180.53571428568</v>
      </c>
    </row>
    <row r="211" spans="1:10">
      <c r="A211" s="387"/>
      <c r="B211" s="388"/>
      <c r="C211" s="387"/>
      <c r="D211" s="387" t="s">
        <v>971</v>
      </c>
      <c r="E211" s="388"/>
      <c r="F211" s="388"/>
      <c r="G211" s="282"/>
      <c r="H211" s="388"/>
      <c r="I211" s="401"/>
      <c r="J211" s="282">
        <f>SUM(J212:J212)</f>
        <v>296349</v>
      </c>
    </row>
    <row r="212" spans="1:10">
      <c r="A212" s="287"/>
      <c r="B212" s="389"/>
      <c r="C212" s="287" t="s">
        <v>973</v>
      </c>
      <c r="D212" s="287" t="s">
        <v>974</v>
      </c>
      <c r="E212" s="389" t="s">
        <v>895</v>
      </c>
      <c r="F212" s="390">
        <v>1</v>
      </c>
      <c r="G212" s="395">
        <f>296349</f>
        <v>296349</v>
      </c>
      <c r="H212" s="389"/>
      <c r="I212" s="403"/>
      <c r="J212" s="284">
        <f>F212*G212</f>
        <v>296349</v>
      </c>
    </row>
    <row r="213" spans="1:10">
      <c r="A213" s="387"/>
      <c r="B213" s="388"/>
      <c r="C213" s="387"/>
      <c r="D213" s="387" t="s">
        <v>972</v>
      </c>
      <c r="E213" s="388"/>
      <c r="F213" s="388"/>
      <c r="G213" s="282"/>
      <c r="H213" s="388"/>
      <c r="I213" s="401"/>
      <c r="J213" s="282">
        <f>SUM(J214:J214)</f>
        <v>1339997.04</v>
      </c>
    </row>
    <row r="214" spans="1:10">
      <c r="A214" s="287"/>
      <c r="B214" s="389"/>
      <c r="C214" s="287" t="s">
        <v>977</v>
      </c>
      <c r="D214" s="287" t="s">
        <v>978</v>
      </c>
      <c r="E214" s="389" t="s">
        <v>734</v>
      </c>
      <c r="F214" s="390">
        <v>76</v>
      </c>
      <c r="G214" s="396">
        <f>$L$22</f>
        <v>17118</v>
      </c>
      <c r="H214" s="389"/>
      <c r="I214" s="402">
        <v>1.03</v>
      </c>
      <c r="J214" s="284">
        <f>F214*G214*I214</f>
        <v>1339997.04</v>
      </c>
    </row>
    <row r="215" spans="1:10">
      <c r="A215" s="391"/>
      <c r="B215" s="392">
        <v>24</v>
      </c>
      <c r="C215" s="391" t="s">
        <v>683</v>
      </c>
      <c r="D215" s="391" t="s">
        <v>840</v>
      </c>
      <c r="E215" s="392" t="s">
        <v>926</v>
      </c>
      <c r="F215" s="392"/>
      <c r="G215" s="393">
        <v>704070000</v>
      </c>
      <c r="H215" s="394">
        <v>280</v>
      </c>
      <c r="I215" s="404"/>
      <c r="J215" s="405">
        <f>J216+J220+J222</f>
        <v>1974154.9942857143</v>
      </c>
    </row>
    <row r="216" spans="1:10">
      <c r="A216" s="387"/>
      <c r="B216" s="388"/>
      <c r="C216" s="387"/>
      <c r="D216" s="387" t="s">
        <v>967</v>
      </c>
      <c r="E216" s="388"/>
      <c r="F216" s="388"/>
      <c r="G216" s="282"/>
      <c r="H216" s="388"/>
      <c r="I216" s="401"/>
      <c r="J216" s="282">
        <f>SUM(J217:J219)</f>
        <v>719157.2142857142</v>
      </c>
    </row>
    <row r="217" spans="1:10">
      <c r="A217" s="287"/>
      <c r="B217" s="389"/>
      <c r="C217" s="287"/>
      <c r="D217" s="287" t="s">
        <v>968</v>
      </c>
      <c r="E217" s="389" t="s">
        <v>37</v>
      </c>
      <c r="F217" s="390">
        <v>17</v>
      </c>
      <c r="G217" s="284"/>
      <c r="H217" s="389"/>
      <c r="I217" s="402">
        <v>0.9</v>
      </c>
      <c r="J217" s="284">
        <f>G215*F217*I217/H215/100</f>
        <v>384723.96428571426</v>
      </c>
    </row>
    <row r="218" spans="1:10">
      <c r="A218" s="287"/>
      <c r="B218" s="389"/>
      <c r="C218" s="287"/>
      <c r="D218" s="287" t="s">
        <v>969</v>
      </c>
      <c r="E218" s="389" t="s">
        <v>37</v>
      </c>
      <c r="F218" s="390">
        <v>7.3</v>
      </c>
      <c r="G218" s="284"/>
      <c r="H218" s="389"/>
      <c r="I218" s="403"/>
      <c r="J218" s="284">
        <f>G215*F218/H215/100</f>
        <v>183561.10714285713</v>
      </c>
    </row>
    <row r="219" spans="1:10">
      <c r="A219" s="287"/>
      <c r="B219" s="389"/>
      <c r="C219" s="287"/>
      <c r="D219" s="287" t="s">
        <v>970</v>
      </c>
      <c r="E219" s="389" t="s">
        <v>37</v>
      </c>
      <c r="F219" s="390">
        <v>6</v>
      </c>
      <c r="G219" s="284"/>
      <c r="H219" s="389"/>
      <c r="I219" s="403"/>
      <c r="J219" s="284">
        <f>G215*F219/H215/100</f>
        <v>150872.14285714284</v>
      </c>
    </row>
    <row r="220" spans="1:10">
      <c r="A220" s="387"/>
      <c r="B220" s="388"/>
      <c r="C220" s="387"/>
      <c r="D220" s="387" t="s">
        <v>971</v>
      </c>
      <c r="E220" s="388"/>
      <c r="F220" s="388"/>
      <c r="G220" s="282"/>
      <c r="H220" s="388"/>
      <c r="I220" s="401"/>
      <c r="J220" s="282">
        <f>SUM(J221:J221)</f>
        <v>250000</v>
      </c>
    </row>
    <row r="221" spans="1:10">
      <c r="A221" s="287"/>
      <c r="B221" s="389"/>
      <c r="C221" s="287" t="s">
        <v>992</v>
      </c>
      <c r="D221" s="287" t="s">
        <v>993</v>
      </c>
      <c r="E221" s="389" t="s">
        <v>895</v>
      </c>
      <c r="F221" s="390">
        <v>1</v>
      </c>
      <c r="G221" s="395">
        <f>250000</f>
        <v>250000</v>
      </c>
      <c r="H221" s="389"/>
      <c r="I221" s="403"/>
      <c r="J221" s="284">
        <f>F221*G221</f>
        <v>250000</v>
      </c>
    </row>
    <row r="222" spans="1:10">
      <c r="A222" s="387"/>
      <c r="B222" s="388"/>
      <c r="C222" s="387"/>
      <c r="D222" s="387" t="s">
        <v>972</v>
      </c>
      <c r="E222" s="388"/>
      <c r="F222" s="388"/>
      <c r="G222" s="282"/>
      <c r="H222" s="388"/>
      <c r="I222" s="401"/>
      <c r="J222" s="282">
        <f>SUM(J223:J223)</f>
        <v>1004997.78</v>
      </c>
    </row>
    <row r="223" spans="1:10">
      <c r="A223" s="287"/>
      <c r="B223" s="389"/>
      <c r="C223" s="287" t="s">
        <v>977</v>
      </c>
      <c r="D223" s="287" t="s">
        <v>978</v>
      </c>
      <c r="E223" s="389" t="s">
        <v>734</v>
      </c>
      <c r="F223" s="390">
        <v>57</v>
      </c>
      <c r="G223" s="396">
        <f>$L$22</f>
        <v>17118</v>
      </c>
      <c r="H223" s="389"/>
      <c r="I223" s="402">
        <v>1.03</v>
      </c>
      <c r="J223" s="284">
        <f>F223*G223*I223</f>
        <v>1004997.78</v>
      </c>
    </row>
    <row r="224" spans="1:10">
      <c r="A224" s="391"/>
      <c r="B224" s="392">
        <v>25</v>
      </c>
      <c r="C224" s="391" t="s">
        <v>652</v>
      </c>
      <c r="D224" s="391" t="s">
        <v>949</v>
      </c>
      <c r="E224" s="392" t="s">
        <v>926</v>
      </c>
      <c r="F224" s="392"/>
      <c r="G224" s="393">
        <v>437559000</v>
      </c>
      <c r="H224" s="394">
        <v>260</v>
      </c>
      <c r="I224" s="404"/>
      <c r="J224" s="405">
        <f>J225+J229+J231</f>
        <v>1457573.8784615383</v>
      </c>
    </row>
    <row r="225" spans="1:10">
      <c r="A225" s="387"/>
      <c r="B225" s="388"/>
      <c r="C225" s="387"/>
      <c r="D225" s="387" t="s">
        <v>967</v>
      </c>
      <c r="E225" s="388"/>
      <c r="F225" s="388"/>
      <c r="G225" s="282"/>
      <c r="H225" s="388"/>
      <c r="I225" s="401"/>
      <c r="J225" s="282">
        <f>SUM(J226:J228)</f>
        <v>484680.73846153845</v>
      </c>
    </row>
    <row r="226" spans="1:10">
      <c r="A226" s="287"/>
      <c r="B226" s="389"/>
      <c r="C226" s="287"/>
      <c r="D226" s="287" t="s">
        <v>968</v>
      </c>
      <c r="E226" s="389" t="s">
        <v>37</v>
      </c>
      <c r="F226" s="390">
        <v>17</v>
      </c>
      <c r="G226" s="284"/>
      <c r="H226" s="389"/>
      <c r="I226" s="402">
        <v>0.9</v>
      </c>
      <c r="J226" s="284">
        <f>G224*F226*I226/H224/100</f>
        <v>257486.64230769232</v>
      </c>
    </row>
    <row r="227" spans="1:10">
      <c r="A227" s="287"/>
      <c r="B227" s="389"/>
      <c r="C227" s="287"/>
      <c r="D227" s="287" t="s">
        <v>969</v>
      </c>
      <c r="E227" s="389" t="s">
        <v>37</v>
      </c>
      <c r="F227" s="390">
        <v>7.5</v>
      </c>
      <c r="G227" s="284"/>
      <c r="H227" s="389"/>
      <c r="I227" s="403"/>
      <c r="J227" s="284">
        <f>G224*F227/H224/100</f>
        <v>126218.9423076923</v>
      </c>
    </row>
    <row r="228" spans="1:10">
      <c r="A228" s="287"/>
      <c r="B228" s="389"/>
      <c r="C228" s="287"/>
      <c r="D228" s="287" t="s">
        <v>970</v>
      </c>
      <c r="E228" s="389" t="s">
        <v>37</v>
      </c>
      <c r="F228" s="390">
        <v>6</v>
      </c>
      <c r="G228" s="284"/>
      <c r="H228" s="389"/>
      <c r="I228" s="403"/>
      <c r="J228" s="284">
        <f>G224*F228/H224/100</f>
        <v>100975.15384615384</v>
      </c>
    </row>
    <row r="229" spans="1:10">
      <c r="A229" s="387"/>
      <c r="B229" s="388"/>
      <c r="C229" s="387"/>
      <c r="D229" s="387" t="s">
        <v>971</v>
      </c>
      <c r="E229" s="388"/>
      <c r="F229" s="388"/>
      <c r="G229" s="282"/>
      <c r="H229" s="388"/>
      <c r="I229" s="401"/>
      <c r="J229" s="282">
        <f>SUM(J230:J230)</f>
        <v>250000</v>
      </c>
    </row>
    <row r="230" spans="1:10">
      <c r="A230" s="287"/>
      <c r="B230" s="389"/>
      <c r="C230" s="287" t="s">
        <v>992</v>
      </c>
      <c r="D230" s="287" t="s">
        <v>993</v>
      </c>
      <c r="E230" s="389" t="s">
        <v>895</v>
      </c>
      <c r="F230" s="390">
        <v>1</v>
      </c>
      <c r="G230" s="395">
        <f>250000</f>
        <v>250000</v>
      </c>
      <c r="H230" s="389"/>
      <c r="I230" s="403"/>
      <c r="J230" s="284">
        <f>F230*G230</f>
        <v>250000</v>
      </c>
    </row>
    <row r="231" spans="1:10">
      <c r="A231" s="387"/>
      <c r="B231" s="388"/>
      <c r="C231" s="387"/>
      <c r="D231" s="387" t="s">
        <v>972</v>
      </c>
      <c r="E231" s="388"/>
      <c r="F231" s="388"/>
      <c r="G231" s="282"/>
      <c r="H231" s="388"/>
      <c r="I231" s="401"/>
      <c r="J231" s="282">
        <f>SUM(J232:J232)</f>
        <v>722893.14</v>
      </c>
    </row>
    <row r="232" spans="1:10">
      <c r="A232" s="287"/>
      <c r="B232" s="389"/>
      <c r="C232" s="287" t="s">
        <v>977</v>
      </c>
      <c r="D232" s="287" t="s">
        <v>978</v>
      </c>
      <c r="E232" s="389" t="s">
        <v>734</v>
      </c>
      <c r="F232" s="390">
        <v>41</v>
      </c>
      <c r="G232" s="396">
        <f>$L$22</f>
        <v>17118</v>
      </c>
      <c r="H232" s="389"/>
      <c r="I232" s="402">
        <v>1.03</v>
      </c>
      <c r="J232" s="284">
        <f>F232*G232*I232</f>
        <v>722893.14</v>
      </c>
    </row>
    <row r="233" spans="1:10">
      <c r="A233" s="391"/>
      <c r="B233" s="392">
        <v>26</v>
      </c>
      <c r="C233" s="391" t="s">
        <v>610</v>
      </c>
      <c r="D233" s="391" t="s">
        <v>950</v>
      </c>
      <c r="E233" s="392" t="s">
        <v>926</v>
      </c>
      <c r="F233" s="392"/>
      <c r="G233" s="393">
        <v>497469000</v>
      </c>
      <c r="H233" s="394">
        <v>260</v>
      </c>
      <c r="I233" s="404"/>
      <c r="J233" s="405">
        <f>J234+J238+J240</f>
        <v>1107763.9892307692</v>
      </c>
    </row>
    <row r="234" spans="1:10">
      <c r="A234" s="387"/>
      <c r="B234" s="388"/>
      <c r="C234" s="387"/>
      <c r="D234" s="387" t="s">
        <v>967</v>
      </c>
      <c r="E234" s="388"/>
      <c r="F234" s="388"/>
      <c r="G234" s="282"/>
      <c r="H234" s="388"/>
      <c r="I234" s="401"/>
      <c r="J234" s="282">
        <f>SUM(J235:J237)</f>
        <v>405628.56923076924</v>
      </c>
    </row>
    <row r="235" spans="1:10">
      <c r="A235" s="287"/>
      <c r="B235" s="389"/>
      <c r="C235" s="287"/>
      <c r="D235" s="287" t="s">
        <v>968</v>
      </c>
      <c r="E235" s="389" t="s">
        <v>37</v>
      </c>
      <c r="F235" s="390">
        <v>12</v>
      </c>
      <c r="G235" s="284"/>
      <c r="H235" s="389"/>
      <c r="I235" s="402">
        <v>0.9</v>
      </c>
      <c r="J235" s="284">
        <f>G233*F235*I235/H233/100</f>
        <v>206640.96923076923</v>
      </c>
    </row>
    <row r="236" spans="1:10">
      <c r="A236" s="287"/>
      <c r="B236" s="389"/>
      <c r="C236" s="287"/>
      <c r="D236" s="287" t="s">
        <v>969</v>
      </c>
      <c r="E236" s="389" t="s">
        <v>37</v>
      </c>
      <c r="F236" s="390">
        <v>4.4000000000000004</v>
      </c>
      <c r="G236" s="284"/>
      <c r="H236" s="389"/>
      <c r="I236" s="403"/>
      <c r="J236" s="284">
        <f>G233*F236/H233/100</f>
        <v>84187.061538461538</v>
      </c>
    </row>
    <row r="237" spans="1:10">
      <c r="A237" s="287"/>
      <c r="B237" s="389"/>
      <c r="C237" s="287"/>
      <c r="D237" s="287" t="s">
        <v>970</v>
      </c>
      <c r="E237" s="389" t="s">
        <v>37</v>
      </c>
      <c r="F237" s="390">
        <v>6</v>
      </c>
      <c r="G237" s="284"/>
      <c r="H237" s="389"/>
      <c r="I237" s="403"/>
      <c r="J237" s="284">
        <f>G233*F237/H233/100</f>
        <v>114800.53846153845</v>
      </c>
    </row>
    <row r="238" spans="1:10">
      <c r="A238" s="387"/>
      <c r="B238" s="388"/>
      <c r="C238" s="387"/>
      <c r="D238" s="387" t="s">
        <v>971</v>
      </c>
      <c r="E238" s="388"/>
      <c r="F238" s="388"/>
      <c r="G238" s="282"/>
      <c r="H238" s="388"/>
      <c r="I238" s="401"/>
      <c r="J238" s="282">
        <f>SUM(J239:J239)</f>
        <v>296610</v>
      </c>
    </row>
    <row r="239" spans="1:10">
      <c r="A239" s="287"/>
      <c r="B239" s="389"/>
      <c r="C239" s="287" t="s">
        <v>988</v>
      </c>
      <c r="D239" s="287" t="s">
        <v>989</v>
      </c>
      <c r="E239" s="389" t="s">
        <v>895</v>
      </c>
      <c r="F239" s="390">
        <v>1</v>
      </c>
      <c r="G239" s="395">
        <f>296610</f>
        <v>296610</v>
      </c>
      <c r="H239" s="389"/>
      <c r="I239" s="403"/>
      <c r="J239" s="284">
        <f>F239*G239</f>
        <v>296610</v>
      </c>
    </row>
    <row r="240" spans="1:10">
      <c r="A240" s="387"/>
      <c r="B240" s="388"/>
      <c r="C240" s="387"/>
      <c r="D240" s="387" t="s">
        <v>972</v>
      </c>
      <c r="E240" s="388"/>
      <c r="F240" s="388"/>
      <c r="G240" s="282"/>
      <c r="H240" s="388"/>
      <c r="I240" s="401"/>
      <c r="J240" s="282">
        <f>SUM(J241:J241)</f>
        <v>405525.42</v>
      </c>
    </row>
    <row r="241" spans="1:10">
      <c r="A241" s="287"/>
      <c r="B241" s="389"/>
      <c r="C241" s="287" t="s">
        <v>977</v>
      </c>
      <c r="D241" s="287" t="s">
        <v>978</v>
      </c>
      <c r="E241" s="389" t="s">
        <v>734</v>
      </c>
      <c r="F241" s="390">
        <v>23</v>
      </c>
      <c r="G241" s="396">
        <f>$L$22</f>
        <v>17118</v>
      </c>
      <c r="H241" s="389"/>
      <c r="I241" s="402">
        <v>1.03</v>
      </c>
      <c r="J241" s="284">
        <f>F241*G241*I241</f>
        <v>405525.42</v>
      </c>
    </row>
    <row r="242" spans="1:10">
      <c r="A242" s="391"/>
      <c r="B242" s="392">
        <v>27</v>
      </c>
      <c r="C242" s="391" t="s">
        <v>640</v>
      </c>
      <c r="D242" s="391" t="s">
        <v>951</v>
      </c>
      <c r="E242" s="392" t="s">
        <v>926</v>
      </c>
      <c r="F242" s="392"/>
      <c r="G242" s="393">
        <v>24432515000</v>
      </c>
      <c r="H242" s="394">
        <v>180</v>
      </c>
      <c r="I242" s="404"/>
      <c r="J242" s="405">
        <f>J243+J247+J250</f>
        <v>40942317.600000001</v>
      </c>
    </row>
    <row r="243" spans="1:10">
      <c r="A243" s="387"/>
      <c r="B243" s="388"/>
      <c r="C243" s="387"/>
      <c r="D243" s="387" t="s">
        <v>967</v>
      </c>
      <c r="E243" s="388"/>
      <c r="F243" s="388"/>
      <c r="G243" s="282"/>
      <c r="H243" s="388"/>
      <c r="I243" s="401"/>
      <c r="J243" s="282">
        <f>SUM(J244:J246)</f>
        <v>34205521</v>
      </c>
    </row>
    <row r="244" spans="1:10">
      <c r="A244" s="287"/>
      <c r="B244" s="389"/>
      <c r="C244" s="287"/>
      <c r="D244" s="287" t="s">
        <v>968</v>
      </c>
      <c r="E244" s="389" t="s">
        <v>37</v>
      </c>
      <c r="F244" s="390">
        <v>16</v>
      </c>
      <c r="G244" s="284"/>
      <c r="H244" s="389"/>
      <c r="I244" s="402">
        <v>0.9</v>
      </c>
      <c r="J244" s="284">
        <f>G242*F244*I244/H242/100</f>
        <v>19546012</v>
      </c>
    </row>
    <row r="245" spans="1:10">
      <c r="A245" s="287"/>
      <c r="B245" s="389"/>
      <c r="C245" s="287"/>
      <c r="D245" s="287" t="s">
        <v>969</v>
      </c>
      <c r="E245" s="389" t="s">
        <v>37</v>
      </c>
      <c r="F245" s="390">
        <v>5.8</v>
      </c>
      <c r="G245" s="284"/>
      <c r="H245" s="389"/>
      <c r="I245" s="403"/>
      <c r="J245" s="284">
        <f>G242*F245/H242/100</f>
        <v>7872699.277777778</v>
      </c>
    </row>
    <row r="246" spans="1:10">
      <c r="A246" s="287"/>
      <c r="B246" s="389"/>
      <c r="C246" s="287"/>
      <c r="D246" s="287" t="s">
        <v>970</v>
      </c>
      <c r="E246" s="389" t="s">
        <v>37</v>
      </c>
      <c r="F246" s="390">
        <v>5</v>
      </c>
      <c r="G246" s="284"/>
      <c r="H246" s="389"/>
      <c r="I246" s="403"/>
      <c r="J246" s="284">
        <f>G242*F246/H242/100</f>
        <v>6786809.722222222</v>
      </c>
    </row>
    <row r="247" spans="1:10">
      <c r="A247" s="387"/>
      <c r="B247" s="388"/>
      <c r="C247" s="387"/>
      <c r="D247" s="387" t="s">
        <v>971</v>
      </c>
      <c r="E247" s="388"/>
      <c r="F247" s="388"/>
      <c r="G247" s="282"/>
      <c r="H247" s="388"/>
      <c r="I247" s="401"/>
      <c r="J247" s="282">
        <f>SUM(J248:J249)</f>
        <v>742073</v>
      </c>
    </row>
    <row r="248" spans="1:10">
      <c r="A248" s="287"/>
      <c r="B248" s="389"/>
      <c r="C248" s="287" t="s">
        <v>973</v>
      </c>
      <c r="D248" s="287" t="s">
        <v>974</v>
      </c>
      <c r="E248" s="389" t="s">
        <v>895</v>
      </c>
      <c r="F248" s="390">
        <v>1</v>
      </c>
      <c r="G248" s="395">
        <f>296349</f>
        <v>296349</v>
      </c>
      <c r="H248" s="389"/>
      <c r="I248" s="403"/>
      <c r="J248" s="284">
        <f t="shared" ref="J248:J249" si="4">F248*G248</f>
        <v>296349</v>
      </c>
    </row>
    <row r="249" spans="1:10">
      <c r="A249" s="287"/>
      <c r="B249" s="389"/>
      <c r="C249" s="287" t="s">
        <v>994</v>
      </c>
      <c r="D249" s="287" t="s">
        <v>995</v>
      </c>
      <c r="E249" s="389" t="s">
        <v>895</v>
      </c>
      <c r="F249" s="390">
        <v>1</v>
      </c>
      <c r="G249" s="395">
        <f>445724</f>
        <v>445724</v>
      </c>
      <c r="H249" s="389"/>
      <c r="I249" s="403"/>
      <c r="J249" s="284">
        <f t="shared" si="4"/>
        <v>445724</v>
      </c>
    </row>
    <row r="250" spans="1:10">
      <c r="A250" s="387"/>
      <c r="B250" s="388"/>
      <c r="C250" s="387"/>
      <c r="D250" s="387" t="s">
        <v>972</v>
      </c>
      <c r="E250" s="388"/>
      <c r="F250" s="388"/>
      <c r="G250" s="282"/>
      <c r="H250" s="388"/>
      <c r="I250" s="401"/>
      <c r="J250" s="282">
        <f>SUM(J251:J251)</f>
        <v>5994723.6000000006</v>
      </c>
    </row>
    <row r="251" spans="1:10">
      <c r="A251" s="287"/>
      <c r="B251" s="389"/>
      <c r="C251" s="287" t="s">
        <v>977</v>
      </c>
      <c r="D251" s="287" t="s">
        <v>978</v>
      </c>
      <c r="E251" s="389" t="s">
        <v>734</v>
      </c>
      <c r="F251" s="390">
        <v>340</v>
      </c>
      <c r="G251" s="396">
        <f>$L$22</f>
        <v>17118</v>
      </c>
      <c r="H251" s="389"/>
      <c r="I251" s="402">
        <v>1.03</v>
      </c>
      <c r="J251" s="284">
        <f>F251*G251*I251</f>
        <v>5994723.6000000006</v>
      </c>
    </row>
    <row r="252" spans="1:10">
      <c r="A252" s="391"/>
      <c r="B252" s="392">
        <v>28</v>
      </c>
      <c r="C252" s="391" t="s">
        <v>643</v>
      </c>
      <c r="D252" s="391" t="s">
        <v>952</v>
      </c>
      <c r="E252" s="392" t="s">
        <v>926</v>
      </c>
      <c r="F252" s="392"/>
      <c r="G252" s="393">
        <v>1073429000</v>
      </c>
      <c r="H252" s="394">
        <v>270</v>
      </c>
      <c r="I252" s="404"/>
      <c r="J252" s="405">
        <f>J253+J257+J259</f>
        <v>1686285.1748148147</v>
      </c>
    </row>
    <row r="253" spans="1:10">
      <c r="A253" s="387"/>
      <c r="B253" s="388"/>
      <c r="C253" s="387"/>
      <c r="D253" s="387" t="s">
        <v>967</v>
      </c>
      <c r="E253" s="388"/>
      <c r="F253" s="388"/>
      <c r="G253" s="282"/>
      <c r="H253" s="388"/>
      <c r="I253" s="401"/>
      <c r="J253" s="282">
        <f>SUM(J254:J256)</f>
        <v>878621.51481481479</v>
      </c>
    </row>
    <row r="254" spans="1:10">
      <c r="A254" s="287"/>
      <c r="B254" s="389"/>
      <c r="C254" s="287"/>
      <c r="D254" s="287" t="s">
        <v>968</v>
      </c>
      <c r="E254" s="389" t="s">
        <v>37</v>
      </c>
      <c r="F254" s="390">
        <v>15</v>
      </c>
      <c r="G254" s="284"/>
      <c r="H254" s="389"/>
      <c r="I254" s="402">
        <v>0.9</v>
      </c>
      <c r="J254" s="284">
        <f>G252*F254*I254/H252/100</f>
        <v>536714.5</v>
      </c>
    </row>
    <row r="255" spans="1:10">
      <c r="A255" s="287"/>
      <c r="B255" s="389"/>
      <c r="C255" s="287"/>
      <c r="D255" s="287" t="s">
        <v>969</v>
      </c>
      <c r="E255" s="389" t="s">
        <v>37</v>
      </c>
      <c r="F255" s="390">
        <v>3.6</v>
      </c>
      <c r="G255" s="284"/>
      <c r="H255" s="389"/>
      <c r="I255" s="403"/>
      <c r="J255" s="284">
        <f>G252*F255/H252/100</f>
        <v>143123.86666666667</v>
      </c>
    </row>
    <row r="256" spans="1:10">
      <c r="A256" s="287"/>
      <c r="B256" s="389"/>
      <c r="C256" s="287"/>
      <c r="D256" s="287" t="s">
        <v>970</v>
      </c>
      <c r="E256" s="389" t="s">
        <v>37</v>
      </c>
      <c r="F256" s="390">
        <v>5</v>
      </c>
      <c r="G256" s="284"/>
      <c r="H256" s="389"/>
      <c r="I256" s="403"/>
      <c r="J256" s="284">
        <f>G252*F256/H252/100</f>
        <v>198783.14814814815</v>
      </c>
    </row>
    <row r="257" spans="1:10">
      <c r="A257" s="387"/>
      <c r="B257" s="388"/>
      <c r="C257" s="387"/>
      <c r="D257" s="387" t="s">
        <v>971</v>
      </c>
      <c r="E257" s="388"/>
      <c r="F257" s="388"/>
      <c r="G257" s="282"/>
      <c r="H257" s="388"/>
      <c r="I257" s="401"/>
      <c r="J257" s="282">
        <f>SUM(J258:J258)</f>
        <v>296349</v>
      </c>
    </row>
    <row r="258" spans="1:10">
      <c r="A258" s="287"/>
      <c r="B258" s="389"/>
      <c r="C258" s="287" t="s">
        <v>973</v>
      </c>
      <c r="D258" s="287" t="s">
        <v>974</v>
      </c>
      <c r="E258" s="389" t="s">
        <v>895</v>
      </c>
      <c r="F258" s="390">
        <v>1</v>
      </c>
      <c r="G258" s="395">
        <f>296349</f>
        <v>296349</v>
      </c>
      <c r="H258" s="389"/>
      <c r="I258" s="403"/>
      <c r="J258" s="284">
        <f>F258*G258</f>
        <v>296349</v>
      </c>
    </row>
    <row r="259" spans="1:10">
      <c r="A259" s="387"/>
      <c r="B259" s="388"/>
      <c r="C259" s="387"/>
      <c r="D259" s="387" t="s">
        <v>972</v>
      </c>
      <c r="E259" s="388"/>
      <c r="F259" s="388"/>
      <c r="G259" s="282"/>
      <c r="H259" s="388"/>
      <c r="I259" s="401"/>
      <c r="J259" s="282">
        <f>SUM(J260:J260)</f>
        <v>511314.66000000003</v>
      </c>
    </row>
    <row r="260" spans="1:10">
      <c r="A260" s="287"/>
      <c r="B260" s="389"/>
      <c r="C260" s="287" t="s">
        <v>977</v>
      </c>
      <c r="D260" s="287" t="s">
        <v>978</v>
      </c>
      <c r="E260" s="389" t="s">
        <v>734</v>
      </c>
      <c r="F260" s="390">
        <v>29</v>
      </c>
      <c r="G260" s="396">
        <f>$L$22</f>
        <v>17118</v>
      </c>
      <c r="H260" s="389"/>
      <c r="I260" s="402">
        <v>1.03</v>
      </c>
      <c r="J260" s="284">
        <f>F260*G260*I260</f>
        <v>511314.66000000003</v>
      </c>
    </row>
    <row r="261" spans="1:10">
      <c r="A261" s="391"/>
      <c r="B261" s="392">
        <v>29</v>
      </c>
      <c r="C261" s="391" t="s">
        <v>608</v>
      </c>
      <c r="D261" s="391" t="s">
        <v>953</v>
      </c>
      <c r="E261" s="392" t="s">
        <v>926</v>
      </c>
      <c r="F261" s="392"/>
      <c r="G261" s="393">
        <v>695012000</v>
      </c>
      <c r="H261" s="394">
        <v>270</v>
      </c>
      <c r="I261" s="404"/>
      <c r="J261" s="405">
        <f>J262+J266+J268</f>
        <v>1553246.5422222223</v>
      </c>
    </row>
    <row r="262" spans="1:10">
      <c r="A262" s="387"/>
      <c r="B262" s="388"/>
      <c r="C262" s="387"/>
      <c r="D262" s="387" t="s">
        <v>967</v>
      </c>
      <c r="E262" s="388"/>
      <c r="F262" s="388"/>
      <c r="G262" s="282"/>
      <c r="H262" s="388"/>
      <c r="I262" s="401"/>
      <c r="J262" s="282">
        <f>SUM(J263:J265)</f>
        <v>586899.02222222218</v>
      </c>
    </row>
    <row r="263" spans="1:10">
      <c r="A263" s="287"/>
      <c r="B263" s="389"/>
      <c r="C263" s="287"/>
      <c r="D263" s="287" t="s">
        <v>968</v>
      </c>
      <c r="E263" s="389" t="s">
        <v>37</v>
      </c>
      <c r="F263" s="390">
        <v>15</v>
      </c>
      <c r="G263" s="284"/>
      <c r="H263" s="389"/>
      <c r="I263" s="402">
        <v>0.9</v>
      </c>
      <c r="J263" s="284">
        <f>G261*F263*I263/H261/100</f>
        <v>347506</v>
      </c>
    </row>
    <row r="264" spans="1:10">
      <c r="A264" s="287"/>
      <c r="B264" s="389"/>
      <c r="C264" s="287"/>
      <c r="D264" s="287" t="s">
        <v>969</v>
      </c>
      <c r="E264" s="389" t="s">
        <v>37</v>
      </c>
      <c r="F264" s="390">
        <v>4.3</v>
      </c>
      <c r="G264" s="284"/>
      <c r="H264" s="389"/>
      <c r="I264" s="403"/>
      <c r="J264" s="284">
        <f>G261*F264/H261/100</f>
        <v>110687.09629629628</v>
      </c>
    </row>
    <row r="265" spans="1:10">
      <c r="A265" s="287"/>
      <c r="B265" s="389"/>
      <c r="C265" s="287"/>
      <c r="D265" s="287" t="s">
        <v>970</v>
      </c>
      <c r="E265" s="389" t="s">
        <v>37</v>
      </c>
      <c r="F265" s="390">
        <v>5</v>
      </c>
      <c r="G265" s="284"/>
      <c r="H265" s="389"/>
      <c r="I265" s="403"/>
      <c r="J265" s="284">
        <f>G261*F265/H261/100</f>
        <v>128705.92592592593</v>
      </c>
    </row>
    <row r="266" spans="1:10">
      <c r="A266" s="387"/>
      <c r="B266" s="388"/>
      <c r="C266" s="387"/>
      <c r="D266" s="387" t="s">
        <v>971</v>
      </c>
      <c r="E266" s="388"/>
      <c r="F266" s="388"/>
      <c r="G266" s="282"/>
      <c r="H266" s="388"/>
      <c r="I266" s="401"/>
      <c r="J266" s="282">
        <f>SUM(J267:J267)</f>
        <v>296349</v>
      </c>
    </row>
    <row r="267" spans="1:10">
      <c r="A267" s="287"/>
      <c r="B267" s="389"/>
      <c r="C267" s="287" t="s">
        <v>973</v>
      </c>
      <c r="D267" s="287" t="s">
        <v>974</v>
      </c>
      <c r="E267" s="389" t="s">
        <v>895</v>
      </c>
      <c r="F267" s="390">
        <v>1</v>
      </c>
      <c r="G267" s="395">
        <f>296349</f>
        <v>296349</v>
      </c>
      <c r="H267" s="389"/>
      <c r="I267" s="403"/>
      <c r="J267" s="284">
        <f>F267*G267</f>
        <v>296349</v>
      </c>
    </row>
    <row r="268" spans="1:10">
      <c r="A268" s="387"/>
      <c r="B268" s="388"/>
      <c r="C268" s="387"/>
      <c r="D268" s="387" t="s">
        <v>972</v>
      </c>
      <c r="E268" s="388"/>
      <c r="F268" s="388"/>
      <c r="G268" s="282"/>
      <c r="H268" s="388"/>
      <c r="I268" s="401"/>
      <c r="J268" s="282">
        <f>SUM(J269:J269)</f>
        <v>669998.52</v>
      </c>
    </row>
    <row r="269" spans="1:10">
      <c r="A269" s="287"/>
      <c r="B269" s="389"/>
      <c r="C269" s="287" t="s">
        <v>977</v>
      </c>
      <c r="D269" s="287" t="s">
        <v>978</v>
      </c>
      <c r="E269" s="389" t="s">
        <v>734</v>
      </c>
      <c r="F269" s="390">
        <v>38</v>
      </c>
      <c r="G269" s="396">
        <f>$L$22</f>
        <v>17118</v>
      </c>
      <c r="H269" s="389"/>
      <c r="I269" s="402">
        <v>1.03</v>
      </c>
      <c r="J269" s="284">
        <f>F269*G269*I269</f>
        <v>669998.52</v>
      </c>
    </row>
    <row r="270" spans="1:10">
      <c r="A270" s="391"/>
      <c r="B270" s="392">
        <v>30</v>
      </c>
      <c r="C270" s="391" t="s">
        <v>651</v>
      </c>
      <c r="D270" s="391" t="s">
        <v>954</v>
      </c>
      <c r="E270" s="392" t="s">
        <v>926</v>
      </c>
      <c r="F270" s="392"/>
      <c r="G270" s="393">
        <v>365850000</v>
      </c>
      <c r="H270" s="394">
        <v>270</v>
      </c>
      <c r="I270" s="404"/>
      <c r="J270" s="405">
        <f>J271+J275+J277</f>
        <v>1009475.96</v>
      </c>
    </row>
    <row r="271" spans="1:10">
      <c r="A271" s="387"/>
      <c r="B271" s="388"/>
      <c r="C271" s="387"/>
      <c r="D271" s="387" t="s">
        <v>967</v>
      </c>
      <c r="E271" s="388"/>
      <c r="F271" s="388"/>
      <c r="G271" s="282"/>
      <c r="H271" s="388"/>
      <c r="I271" s="401"/>
      <c r="J271" s="282">
        <f>SUM(J272:J274)</f>
        <v>289970</v>
      </c>
    </row>
    <row r="272" spans="1:10">
      <c r="A272" s="287"/>
      <c r="B272" s="389"/>
      <c r="C272" s="287"/>
      <c r="D272" s="287" t="s">
        <v>968</v>
      </c>
      <c r="E272" s="389" t="s">
        <v>37</v>
      </c>
      <c r="F272" s="390">
        <v>15</v>
      </c>
      <c r="G272" s="284"/>
      <c r="H272" s="389"/>
      <c r="I272" s="402">
        <v>0.9</v>
      </c>
      <c r="J272" s="284">
        <f>G270*F272*I272/H270/100</f>
        <v>182925</v>
      </c>
    </row>
    <row r="273" spans="1:10">
      <c r="A273" s="287"/>
      <c r="B273" s="389"/>
      <c r="C273" s="287"/>
      <c r="D273" s="287" t="s">
        <v>969</v>
      </c>
      <c r="E273" s="389" t="s">
        <v>37</v>
      </c>
      <c r="F273" s="390">
        <v>2.9</v>
      </c>
      <c r="G273" s="284"/>
      <c r="H273" s="389"/>
      <c r="I273" s="403"/>
      <c r="J273" s="284">
        <f>G270*F273/H270/100</f>
        <v>39295</v>
      </c>
    </row>
    <row r="274" spans="1:10">
      <c r="A274" s="287"/>
      <c r="B274" s="389"/>
      <c r="C274" s="287"/>
      <c r="D274" s="287" t="s">
        <v>970</v>
      </c>
      <c r="E274" s="389" t="s">
        <v>37</v>
      </c>
      <c r="F274" s="390">
        <v>5</v>
      </c>
      <c r="G274" s="284"/>
      <c r="H274" s="389"/>
      <c r="I274" s="403"/>
      <c r="J274" s="284">
        <f>G270*F274/H270/100</f>
        <v>67750</v>
      </c>
    </row>
    <row r="275" spans="1:10">
      <c r="A275" s="387"/>
      <c r="B275" s="388"/>
      <c r="C275" s="387"/>
      <c r="D275" s="387" t="s">
        <v>971</v>
      </c>
      <c r="E275" s="388"/>
      <c r="F275" s="388"/>
      <c r="G275" s="282"/>
      <c r="H275" s="388"/>
      <c r="I275" s="401"/>
      <c r="J275" s="282">
        <f>SUM(J276:J276)</f>
        <v>296349</v>
      </c>
    </row>
    <row r="276" spans="1:10">
      <c r="A276" s="287"/>
      <c r="B276" s="389"/>
      <c r="C276" s="287" t="s">
        <v>973</v>
      </c>
      <c r="D276" s="287" t="s">
        <v>974</v>
      </c>
      <c r="E276" s="389" t="s">
        <v>895</v>
      </c>
      <c r="F276" s="390">
        <v>1</v>
      </c>
      <c r="G276" s="395">
        <f>296349</f>
        <v>296349</v>
      </c>
      <c r="H276" s="389"/>
      <c r="I276" s="403"/>
      <c r="J276" s="284">
        <f>F276*G276</f>
        <v>296349</v>
      </c>
    </row>
    <row r="277" spans="1:10">
      <c r="A277" s="387"/>
      <c r="B277" s="388"/>
      <c r="C277" s="387"/>
      <c r="D277" s="387" t="s">
        <v>972</v>
      </c>
      <c r="E277" s="388"/>
      <c r="F277" s="388"/>
      <c r="G277" s="282"/>
      <c r="H277" s="388"/>
      <c r="I277" s="401"/>
      <c r="J277" s="282">
        <f>SUM(J278:J278)</f>
        <v>423156.96</v>
      </c>
    </row>
    <row r="278" spans="1:10">
      <c r="A278" s="287"/>
      <c r="B278" s="389"/>
      <c r="C278" s="287" t="s">
        <v>977</v>
      </c>
      <c r="D278" s="287" t="s">
        <v>978</v>
      </c>
      <c r="E278" s="389" t="s">
        <v>734</v>
      </c>
      <c r="F278" s="390">
        <v>24</v>
      </c>
      <c r="G278" s="396">
        <f>$L$22</f>
        <v>17118</v>
      </c>
      <c r="H278" s="389"/>
      <c r="I278" s="402">
        <v>1.03</v>
      </c>
      <c r="J278" s="284">
        <f>F278*G278*I278</f>
        <v>423156.96</v>
      </c>
    </row>
    <row r="279" spans="1:10">
      <c r="A279" s="391"/>
      <c r="B279" s="392">
        <v>31</v>
      </c>
      <c r="C279" s="391" t="s">
        <v>642</v>
      </c>
      <c r="D279" s="391" t="s">
        <v>955</v>
      </c>
      <c r="E279" s="392" t="s">
        <v>926</v>
      </c>
      <c r="F279" s="392"/>
      <c r="G279" s="393">
        <v>866135000</v>
      </c>
      <c r="H279" s="394">
        <v>260</v>
      </c>
      <c r="I279" s="404"/>
      <c r="J279" s="405">
        <f>J280+J284+J286</f>
        <v>1491813.8923076922</v>
      </c>
    </row>
    <row r="280" spans="1:10">
      <c r="A280" s="387"/>
      <c r="B280" s="388"/>
      <c r="C280" s="387"/>
      <c r="D280" s="387" t="s">
        <v>967</v>
      </c>
      <c r="E280" s="388"/>
      <c r="F280" s="388"/>
      <c r="G280" s="282"/>
      <c r="H280" s="388"/>
      <c r="I280" s="401"/>
      <c r="J280" s="282">
        <f>SUM(J281:J283)</f>
        <v>666257.69230769225</v>
      </c>
    </row>
    <row r="281" spans="1:10">
      <c r="A281" s="287"/>
      <c r="B281" s="389"/>
      <c r="C281" s="287"/>
      <c r="D281" s="287" t="s">
        <v>968</v>
      </c>
      <c r="E281" s="389" t="s">
        <v>37</v>
      </c>
      <c r="F281" s="390">
        <v>11</v>
      </c>
      <c r="G281" s="284"/>
      <c r="H281" s="389"/>
      <c r="I281" s="402">
        <v>0.9</v>
      </c>
      <c r="J281" s="284">
        <f>G279*F281*I281/H279/100</f>
        <v>329797.55769230769</v>
      </c>
    </row>
    <row r="282" spans="1:10">
      <c r="A282" s="287"/>
      <c r="B282" s="389"/>
      <c r="C282" s="287"/>
      <c r="D282" s="287" t="s">
        <v>969</v>
      </c>
      <c r="E282" s="389" t="s">
        <v>37</v>
      </c>
      <c r="F282" s="390">
        <v>4.0999999999999996</v>
      </c>
      <c r="G282" s="284"/>
      <c r="H282" s="389"/>
      <c r="I282" s="403"/>
      <c r="J282" s="284">
        <f>G279*F282/H279/100</f>
        <v>136582.82692307691</v>
      </c>
    </row>
    <row r="283" spans="1:10">
      <c r="A283" s="287"/>
      <c r="B283" s="389"/>
      <c r="C283" s="287"/>
      <c r="D283" s="287" t="s">
        <v>970</v>
      </c>
      <c r="E283" s="389" t="s">
        <v>37</v>
      </c>
      <c r="F283" s="390">
        <v>6</v>
      </c>
      <c r="G283" s="284"/>
      <c r="H283" s="389"/>
      <c r="I283" s="403"/>
      <c r="J283" s="284">
        <f>G279*F283/H279/100</f>
        <v>199877.30769230769</v>
      </c>
    </row>
    <row r="284" spans="1:10">
      <c r="A284" s="387"/>
      <c r="B284" s="388"/>
      <c r="C284" s="387"/>
      <c r="D284" s="387" t="s">
        <v>971</v>
      </c>
      <c r="E284" s="388"/>
      <c r="F284" s="388"/>
      <c r="G284" s="282"/>
      <c r="H284" s="388"/>
      <c r="I284" s="401"/>
      <c r="J284" s="282">
        <f>SUM(J285:J285)</f>
        <v>296610</v>
      </c>
    </row>
    <row r="285" spans="1:10">
      <c r="A285" s="287"/>
      <c r="B285" s="389"/>
      <c r="C285" s="287" t="s">
        <v>988</v>
      </c>
      <c r="D285" s="287" t="s">
        <v>989</v>
      </c>
      <c r="E285" s="389" t="s">
        <v>895</v>
      </c>
      <c r="F285" s="390">
        <v>1</v>
      </c>
      <c r="G285" s="395">
        <f>296610</f>
        <v>296610</v>
      </c>
      <c r="H285" s="389"/>
      <c r="I285" s="403"/>
      <c r="J285" s="284">
        <f>F285*G285</f>
        <v>296610</v>
      </c>
    </row>
    <row r="286" spans="1:10">
      <c r="A286" s="387"/>
      <c r="B286" s="388"/>
      <c r="C286" s="387"/>
      <c r="D286" s="387" t="s">
        <v>972</v>
      </c>
      <c r="E286" s="388"/>
      <c r="F286" s="388"/>
      <c r="G286" s="282"/>
      <c r="H286" s="388"/>
      <c r="I286" s="401"/>
      <c r="J286" s="282">
        <f>SUM(J287:J287)</f>
        <v>528946.20000000007</v>
      </c>
    </row>
    <row r="287" spans="1:10">
      <c r="A287" s="287"/>
      <c r="B287" s="389"/>
      <c r="C287" s="287" t="s">
        <v>977</v>
      </c>
      <c r="D287" s="287" t="s">
        <v>978</v>
      </c>
      <c r="E287" s="389" t="s">
        <v>734</v>
      </c>
      <c r="F287" s="390">
        <v>30</v>
      </c>
      <c r="G287" s="396">
        <f>$L$22</f>
        <v>17118</v>
      </c>
      <c r="H287" s="389"/>
      <c r="I287" s="402">
        <v>1.03</v>
      </c>
      <c r="J287" s="284">
        <f>F287*G287*I287</f>
        <v>528946.20000000007</v>
      </c>
    </row>
    <row r="288" spans="1:10">
      <c r="A288" s="391"/>
      <c r="B288" s="392">
        <v>32</v>
      </c>
      <c r="C288" s="391" t="s">
        <v>638</v>
      </c>
      <c r="D288" s="391" t="s">
        <v>956</v>
      </c>
      <c r="E288" s="392" t="s">
        <v>926</v>
      </c>
      <c r="F288" s="392"/>
      <c r="G288" s="393">
        <v>365850000</v>
      </c>
      <c r="H288" s="394">
        <v>270</v>
      </c>
      <c r="I288" s="404"/>
      <c r="J288" s="405">
        <f>J289+J293+J295</f>
        <v>1009475.96</v>
      </c>
    </row>
    <row r="289" spans="1:10">
      <c r="A289" s="387"/>
      <c r="B289" s="388"/>
      <c r="C289" s="387"/>
      <c r="D289" s="387" t="s">
        <v>967</v>
      </c>
      <c r="E289" s="388"/>
      <c r="F289" s="388"/>
      <c r="G289" s="282"/>
      <c r="H289" s="388"/>
      <c r="I289" s="401"/>
      <c r="J289" s="282">
        <f>SUM(J290:J292)</f>
        <v>289970</v>
      </c>
    </row>
    <row r="290" spans="1:10">
      <c r="A290" s="287"/>
      <c r="B290" s="389"/>
      <c r="C290" s="287"/>
      <c r="D290" s="287" t="s">
        <v>968</v>
      </c>
      <c r="E290" s="389" t="s">
        <v>37</v>
      </c>
      <c r="F290" s="390">
        <v>15</v>
      </c>
      <c r="G290" s="284"/>
      <c r="H290" s="389"/>
      <c r="I290" s="402">
        <v>0.9</v>
      </c>
      <c r="J290" s="284">
        <f>G288*F290*I290/H288/100</f>
        <v>182925</v>
      </c>
    </row>
    <row r="291" spans="1:10">
      <c r="A291" s="287"/>
      <c r="B291" s="389"/>
      <c r="C291" s="287"/>
      <c r="D291" s="287" t="s">
        <v>969</v>
      </c>
      <c r="E291" s="389" t="s">
        <v>37</v>
      </c>
      <c r="F291" s="390">
        <v>2.9</v>
      </c>
      <c r="G291" s="284"/>
      <c r="H291" s="389"/>
      <c r="I291" s="403"/>
      <c r="J291" s="284">
        <f>G288*F291/H288/100</f>
        <v>39295</v>
      </c>
    </row>
    <row r="292" spans="1:10">
      <c r="A292" s="287"/>
      <c r="B292" s="389"/>
      <c r="C292" s="287"/>
      <c r="D292" s="287" t="s">
        <v>970</v>
      </c>
      <c r="E292" s="389" t="s">
        <v>37</v>
      </c>
      <c r="F292" s="390">
        <v>5</v>
      </c>
      <c r="G292" s="284"/>
      <c r="H292" s="389"/>
      <c r="I292" s="403"/>
      <c r="J292" s="284">
        <f>G288*F292/H288/100</f>
        <v>67750</v>
      </c>
    </row>
    <row r="293" spans="1:10">
      <c r="A293" s="387"/>
      <c r="B293" s="388"/>
      <c r="C293" s="387"/>
      <c r="D293" s="387" t="s">
        <v>971</v>
      </c>
      <c r="E293" s="388"/>
      <c r="F293" s="388"/>
      <c r="G293" s="282"/>
      <c r="H293" s="388"/>
      <c r="I293" s="401"/>
      <c r="J293" s="282">
        <f>SUM(J294:J294)</f>
        <v>296349</v>
      </c>
    </row>
    <row r="294" spans="1:10">
      <c r="A294" s="287"/>
      <c r="B294" s="389"/>
      <c r="C294" s="287" t="s">
        <v>973</v>
      </c>
      <c r="D294" s="287" t="s">
        <v>974</v>
      </c>
      <c r="E294" s="389" t="s">
        <v>895</v>
      </c>
      <c r="F294" s="390">
        <v>1</v>
      </c>
      <c r="G294" s="395">
        <f>296349</f>
        <v>296349</v>
      </c>
      <c r="H294" s="389"/>
      <c r="I294" s="403"/>
      <c r="J294" s="284">
        <f>F294*G294</f>
        <v>296349</v>
      </c>
    </row>
    <row r="295" spans="1:10">
      <c r="A295" s="387"/>
      <c r="B295" s="388"/>
      <c r="C295" s="387"/>
      <c r="D295" s="387" t="s">
        <v>972</v>
      </c>
      <c r="E295" s="388"/>
      <c r="F295" s="388"/>
      <c r="G295" s="282"/>
      <c r="H295" s="388"/>
      <c r="I295" s="401"/>
      <c r="J295" s="282">
        <f>SUM(J296:J296)</f>
        <v>423156.96</v>
      </c>
    </row>
    <row r="296" spans="1:10">
      <c r="A296" s="287"/>
      <c r="B296" s="389"/>
      <c r="C296" s="287" t="s">
        <v>977</v>
      </c>
      <c r="D296" s="287" t="s">
        <v>978</v>
      </c>
      <c r="E296" s="389" t="s">
        <v>734</v>
      </c>
      <c r="F296" s="390">
        <v>24</v>
      </c>
      <c r="G296" s="396">
        <f>$L$22</f>
        <v>17118</v>
      </c>
      <c r="H296" s="389"/>
      <c r="I296" s="402">
        <v>1.03</v>
      </c>
      <c r="J296" s="284">
        <f>F296*G296*I296</f>
        <v>423156.96</v>
      </c>
    </row>
    <row r="297" spans="1:10">
      <c r="A297" s="391"/>
      <c r="B297" s="392">
        <v>33</v>
      </c>
      <c r="C297" s="391" t="s">
        <v>613</v>
      </c>
      <c r="D297" s="391" t="s">
        <v>957</v>
      </c>
      <c r="E297" s="392" t="s">
        <v>926</v>
      </c>
      <c r="F297" s="392"/>
      <c r="G297" s="393">
        <v>534828000</v>
      </c>
      <c r="H297" s="394">
        <v>270</v>
      </c>
      <c r="I297" s="404"/>
      <c r="J297" s="405">
        <f>J298+J302+J304</f>
        <v>1372616.6911111111</v>
      </c>
    </row>
    <row r="298" spans="1:10">
      <c r="A298" s="387"/>
      <c r="B298" s="388"/>
      <c r="C298" s="387"/>
      <c r="D298" s="387" t="s">
        <v>967</v>
      </c>
      <c r="E298" s="388"/>
      <c r="F298" s="388"/>
      <c r="G298" s="282"/>
      <c r="H298" s="388"/>
      <c r="I298" s="401"/>
      <c r="J298" s="282">
        <f>SUM(J299:J301)</f>
        <v>423900.7111111111</v>
      </c>
    </row>
    <row r="299" spans="1:10">
      <c r="A299" s="287"/>
      <c r="B299" s="389"/>
      <c r="C299" s="287"/>
      <c r="D299" s="287" t="s">
        <v>968</v>
      </c>
      <c r="E299" s="389" t="s">
        <v>37</v>
      </c>
      <c r="F299" s="390">
        <v>15</v>
      </c>
      <c r="G299" s="284"/>
      <c r="H299" s="389"/>
      <c r="I299" s="402">
        <v>0.9</v>
      </c>
      <c r="J299" s="284">
        <f>G297*F299*I299/H297/100</f>
        <v>267414</v>
      </c>
    </row>
    <row r="300" spans="1:10">
      <c r="A300" s="287"/>
      <c r="B300" s="389"/>
      <c r="C300" s="287"/>
      <c r="D300" s="287" t="s">
        <v>969</v>
      </c>
      <c r="E300" s="389" t="s">
        <v>37</v>
      </c>
      <c r="F300" s="390">
        <v>2.9</v>
      </c>
      <c r="G300" s="284"/>
      <c r="H300" s="389"/>
      <c r="I300" s="403"/>
      <c r="J300" s="284">
        <f>G297*F300/H297/100</f>
        <v>57444.488888888889</v>
      </c>
    </row>
    <row r="301" spans="1:10">
      <c r="A301" s="287"/>
      <c r="B301" s="389"/>
      <c r="C301" s="287"/>
      <c r="D301" s="287" t="s">
        <v>970</v>
      </c>
      <c r="E301" s="389" t="s">
        <v>37</v>
      </c>
      <c r="F301" s="390">
        <v>5</v>
      </c>
      <c r="G301" s="284"/>
      <c r="H301" s="389"/>
      <c r="I301" s="403"/>
      <c r="J301" s="284">
        <f>G297*F301/H297/100</f>
        <v>99042.222222222219</v>
      </c>
    </row>
    <row r="302" spans="1:10">
      <c r="A302" s="387"/>
      <c r="B302" s="388"/>
      <c r="C302" s="387"/>
      <c r="D302" s="387" t="s">
        <v>971</v>
      </c>
      <c r="E302" s="388"/>
      <c r="F302" s="388"/>
      <c r="G302" s="282"/>
      <c r="H302" s="388"/>
      <c r="I302" s="401"/>
      <c r="J302" s="282">
        <f>SUM(J303:J303)</f>
        <v>296349</v>
      </c>
    </row>
    <row r="303" spans="1:10">
      <c r="A303" s="287"/>
      <c r="B303" s="389"/>
      <c r="C303" s="287" t="s">
        <v>973</v>
      </c>
      <c r="D303" s="287" t="s">
        <v>974</v>
      </c>
      <c r="E303" s="389" t="s">
        <v>895</v>
      </c>
      <c r="F303" s="390">
        <v>1</v>
      </c>
      <c r="G303" s="395">
        <f>296349</f>
        <v>296349</v>
      </c>
      <c r="H303" s="389"/>
      <c r="I303" s="403"/>
      <c r="J303" s="284">
        <f>F303*G303</f>
        <v>296349</v>
      </c>
    </row>
    <row r="304" spans="1:10">
      <c r="A304" s="387"/>
      <c r="B304" s="388"/>
      <c r="C304" s="387"/>
      <c r="D304" s="387" t="s">
        <v>972</v>
      </c>
      <c r="E304" s="388"/>
      <c r="F304" s="388"/>
      <c r="G304" s="282"/>
      <c r="H304" s="388"/>
      <c r="I304" s="401"/>
      <c r="J304" s="282">
        <f>SUM(J305:J305)</f>
        <v>652366.98</v>
      </c>
    </row>
    <row r="305" spans="1:10">
      <c r="A305" s="287"/>
      <c r="B305" s="389"/>
      <c r="C305" s="287" t="s">
        <v>977</v>
      </c>
      <c r="D305" s="287" t="s">
        <v>978</v>
      </c>
      <c r="E305" s="389" t="s">
        <v>734</v>
      </c>
      <c r="F305" s="390">
        <v>37</v>
      </c>
      <c r="G305" s="396">
        <f>$L$22</f>
        <v>17118</v>
      </c>
      <c r="H305" s="389"/>
      <c r="I305" s="402">
        <v>1.03</v>
      </c>
      <c r="J305" s="284">
        <f>F305*G305*I305</f>
        <v>652366.98</v>
      </c>
    </row>
    <row r="306" spans="1:10">
      <c r="A306" s="391"/>
      <c r="B306" s="392">
        <v>34</v>
      </c>
      <c r="C306" s="391" t="s">
        <v>641</v>
      </c>
      <c r="D306" s="391" t="s">
        <v>958</v>
      </c>
      <c r="E306" s="392" t="s">
        <v>926</v>
      </c>
      <c r="F306" s="392"/>
      <c r="G306" s="393">
        <v>6500000000</v>
      </c>
      <c r="H306" s="394">
        <v>180</v>
      </c>
      <c r="I306" s="404"/>
      <c r="J306" s="405">
        <f>J307+J311+J314</f>
        <v>10312616.668888887</v>
      </c>
    </row>
    <row r="307" spans="1:10">
      <c r="A307" s="387"/>
      <c r="B307" s="388"/>
      <c r="C307" s="387"/>
      <c r="D307" s="387" t="s">
        <v>967</v>
      </c>
      <c r="E307" s="388"/>
      <c r="F307" s="388"/>
      <c r="G307" s="282"/>
      <c r="H307" s="388"/>
      <c r="I307" s="401"/>
      <c r="J307" s="282">
        <f>SUM(J308:J310)</f>
        <v>8738888.8888888881</v>
      </c>
    </row>
    <row r="308" spans="1:10">
      <c r="A308" s="287"/>
      <c r="B308" s="389"/>
      <c r="C308" s="287"/>
      <c r="D308" s="287" t="s">
        <v>968</v>
      </c>
      <c r="E308" s="389" t="s">
        <v>37</v>
      </c>
      <c r="F308" s="390">
        <v>14</v>
      </c>
      <c r="G308" s="284"/>
      <c r="H308" s="389"/>
      <c r="I308" s="402">
        <v>0.9</v>
      </c>
      <c r="J308" s="284">
        <f>G306*F308*I308/H306/100</f>
        <v>4550000</v>
      </c>
    </row>
    <row r="309" spans="1:10">
      <c r="A309" s="287"/>
      <c r="B309" s="389"/>
      <c r="C309" s="287"/>
      <c r="D309" s="287" t="s">
        <v>969</v>
      </c>
      <c r="E309" s="389" t="s">
        <v>37</v>
      </c>
      <c r="F309" s="390">
        <v>5.6</v>
      </c>
      <c r="G309" s="284"/>
      <c r="H309" s="389"/>
      <c r="I309" s="403"/>
      <c r="J309" s="284">
        <f>G306*F309/H306/100</f>
        <v>2022222.222222222</v>
      </c>
    </row>
    <row r="310" spans="1:10">
      <c r="A310" s="287"/>
      <c r="B310" s="389"/>
      <c r="C310" s="287"/>
      <c r="D310" s="287" t="s">
        <v>970</v>
      </c>
      <c r="E310" s="389" t="s">
        <v>37</v>
      </c>
      <c r="F310" s="390">
        <v>6</v>
      </c>
      <c r="G310" s="284"/>
      <c r="H310" s="389"/>
      <c r="I310" s="403"/>
      <c r="J310" s="284">
        <f>G306*F310/H306/100</f>
        <v>2166666.6666666665</v>
      </c>
    </row>
    <row r="311" spans="1:10">
      <c r="A311" s="387"/>
      <c r="B311" s="388"/>
      <c r="C311" s="387"/>
      <c r="D311" s="387" t="s">
        <v>971</v>
      </c>
      <c r="E311" s="388"/>
      <c r="F311" s="388"/>
      <c r="G311" s="282"/>
      <c r="H311" s="388"/>
      <c r="I311" s="401"/>
      <c r="J311" s="282">
        <f>SUM(J312:J313)</f>
        <v>568730</v>
      </c>
    </row>
    <row r="312" spans="1:10">
      <c r="A312" s="287"/>
      <c r="B312" s="389"/>
      <c r="C312" s="287" t="s">
        <v>979</v>
      </c>
      <c r="D312" s="287" t="s">
        <v>980</v>
      </c>
      <c r="E312" s="389" t="s">
        <v>895</v>
      </c>
      <c r="F312" s="390">
        <v>1</v>
      </c>
      <c r="G312" s="395">
        <f>249651</f>
        <v>249651</v>
      </c>
      <c r="H312" s="389"/>
      <c r="I312" s="403"/>
      <c r="J312" s="284">
        <f t="shared" ref="J312:J313" si="5">F312*G312</f>
        <v>249651</v>
      </c>
    </row>
    <row r="313" spans="1:10">
      <c r="A313" s="287"/>
      <c r="B313" s="389"/>
      <c r="C313" s="287" t="s">
        <v>990</v>
      </c>
      <c r="D313" s="287" t="s">
        <v>991</v>
      </c>
      <c r="E313" s="389" t="s">
        <v>895</v>
      </c>
      <c r="F313" s="390">
        <v>1</v>
      </c>
      <c r="G313" s="395">
        <f>319079</f>
        <v>319079</v>
      </c>
      <c r="H313" s="389"/>
      <c r="I313" s="403"/>
      <c r="J313" s="284">
        <f t="shared" si="5"/>
        <v>319079</v>
      </c>
    </row>
    <row r="314" spans="1:10">
      <c r="A314" s="387"/>
      <c r="B314" s="388"/>
      <c r="C314" s="387"/>
      <c r="D314" s="387" t="s">
        <v>972</v>
      </c>
      <c r="E314" s="388"/>
      <c r="F314" s="388"/>
      <c r="G314" s="282"/>
      <c r="H314" s="388"/>
      <c r="I314" s="401"/>
      <c r="J314" s="282">
        <f>SUM(J315:J315)</f>
        <v>1004997.78</v>
      </c>
    </row>
    <row r="315" spans="1:10">
      <c r="A315" s="287"/>
      <c r="B315" s="389"/>
      <c r="C315" s="287" t="s">
        <v>977</v>
      </c>
      <c r="D315" s="287" t="s">
        <v>978</v>
      </c>
      <c r="E315" s="389" t="s">
        <v>734</v>
      </c>
      <c r="F315" s="390">
        <v>57</v>
      </c>
      <c r="G315" s="396">
        <f>$L$22</f>
        <v>17118</v>
      </c>
      <c r="H315" s="389"/>
      <c r="I315" s="402">
        <v>1.03</v>
      </c>
      <c r="J315" s="284">
        <f>F315*G315*I315</f>
        <v>1004997.78</v>
      </c>
    </row>
    <row r="316" spans="1:10">
      <c r="A316" s="391"/>
      <c r="B316" s="392">
        <v>35</v>
      </c>
      <c r="C316" s="391" t="s">
        <v>644</v>
      </c>
      <c r="D316" s="391" t="s">
        <v>959</v>
      </c>
      <c r="E316" s="392" t="s">
        <v>926</v>
      </c>
      <c r="F316" s="392"/>
      <c r="G316" s="393">
        <v>516960000</v>
      </c>
      <c r="H316" s="394">
        <v>270</v>
      </c>
      <c r="I316" s="404"/>
      <c r="J316" s="405">
        <f>J317+J321+J323</f>
        <v>1270296.9466666668</v>
      </c>
    </row>
    <row r="317" spans="1:10">
      <c r="A317" s="387"/>
      <c r="B317" s="388"/>
      <c r="C317" s="387"/>
      <c r="D317" s="387" t="s">
        <v>967</v>
      </c>
      <c r="E317" s="388"/>
      <c r="F317" s="388"/>
      <c r="G317" s="282"/>
      <c r="H317" s="388"/>
      <c r="I317" s="401"/>
      <c r="J317" s="282">
        <f>SUM(J318:J320)</f>
        <v>409738.66666666663</v>
      </c>
    </row>
    <row r="318" spans="1:10">
      <c r="A318" s="287"/>
      <c r="B318" s="389"/>
      <c r="C318" s="287"/>
      <c r="D318" s="287" t="s">
        <v>968</v>
      </c>
      <c r="E318" s="389" t="s">
        <v>37</v>
      </c>
      <c r="F318" s="390">
        <v>15</v>
      </c>
      <c r="G318" s="284"/>
      <c r="H318" s="389"/>
      <c r="I318" s="402">
        <v>0.9</v>
      </c>
      <c r="J318" s="284">
        <f>G316*F318*I318/H316/100</f>
        <v>258480</v>
      </c>
    </row>
    <row r="319" spans="1:10">
      <c r="A319" s="287"/>
      <c r="B319" s="389"/>
      <c r="C319" s="287"/>
      <c r="D319" s="287" t="s">
        <v>969</v>
      </c>
      <c r="E319" s="389" t="s">
        <v>37</v>
      </c>
      <c r="F319" s="390">
        <v>2.9</v>
      </c>
      <c r="G319" s="284"/>
      <c r="H319" s="389"/>
      <c r="I319" s="403"/>
      <c r="J319" s="284">
        <f>G316*F319/H316/100</f>
        <v>55525.333333333328</v>
      </c>
    </row>
    <row r="320" spans="1:10">
      <c r="A320" s="287"/>
      <c r="B320" s="389"/>
      <c r="C320" s="287"/>
      <c r="D320" s="287" t="s">
        <v>970</v>
      </c>
      <c r="E320" s="389" t="s">
        <v>37</v>
      </c>
      <c r="F320" s="390">
        <v>5</v>
      </c>
      <c r="G320" s="284"/>
      <c r="H320" s="389"/>
      <c r="I320" s="403"/>
      <c r="J320" s="284">
        <f>G316*F320/H316/100</f>
        <v>95733.333333333343</v>
      </c>
    </row>
    <row r="321" spans="1:10">
      <c r="A321" s="387"/>
      <c r="B321" s="388"/>
      <c r="C321" s="387"/>
      <c r="D321" s="387" t="s">
        <v>971</v>
      </c>
      <c r="E321" s="388"/>
      <c r="F321" s="388"/>
      <c r="G321" s="282"/>
      <c r="H321" s="388"/>
      <c r="I321" s="401"/>
      <c r="J321" s="282">
        <f>SUM(J322:J322)</f>
        <v>296349</v>
      </c>
    </row>
    <row r="322" spans="1:10">
      <c r="A322" s="287"/>
      <c r="B322" s="389"/>
      <c r="C322" s="287" t="s">
        <v>973</v>
      </c>
      <c r="D322" s="287" t="s">
        <v>974</v>
      </c>
      <c r="E322" s="389" t="s">
        <v>895</v>
      </c>
      <c r="F322" s="390">
        <v>1</v>
      </c>
      <c r="G322" s="395">
        <f>296349</f>
        <v>296349</v>
      </c>
      <c r="H322" s="389"/>
      <c r="I322" s="403"/>
      <c r="J322" s="284">
        <f>F322*G322</f>
        <v>296349</v>
      </c>
    </row>
    <row r="323" spans="1:10">
      <c r="A323" s="387"/>
      <c r="B323" s="388"/>
      <c r="C323" s="387"/>
      <c r="D323" s="387" t="s">
        <v>972</v>
      </c>
      <c r="E323" s="388"/>
      <c r="F323" s="388"/>
      <c r="G323" s="282"/>
      <c r="H323" s="388"/>
      <c r="I323" s="401"/>
      <c r="J323" s="282">
        <f>SUM(J324:J324)</f>
        <v>564209.28</v>
      </c>
    </row>
    <row r="324" spans="1:10">
      <c r="A324" s="288"/>
      <c r="B324" s="407"/>
      <c r="C324" s="288" t="s">
        <v>977</v>
      </c>
      <c r="D324" s="288" t="s">
        <v>978</v>
      </c>
      <c r="E324" s="407" t="s">
        <v>734</v>
      </c>
      <c r="F324" s="408">
        <v>32</v>
      </c>
      <c r="G324" s="396">
        <f>$L$22</f>
        <v>17118</v>
      </c>
      <c r="H324" s="407"/>
      <c r="I324" s="409">
        <v>1.03</v>
      </c>
      <c r="J324" s="286">
        <f>F324*G324*I324</f>
        <v>564209.28</v>
      </c>
    </row>
  </sheetData>
  <mergeCells count="4">
    <mergeCell ref="A1:J1"/>
    <mergeCell ref="A2:J2"/>
    <mergeCell ref="A3:J3"/>
    <mergeCell ref="A4:J4"/>
  </mergeCells>
  <pageMargins left="1.18" right="0.59" top="0.79" bottom="0.79" header="0.3" footer="0.3"/>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5"/>
  </sheetPr>
  <dimension ref="A1:O43"/>
  <sheetViews>
    <sheetView showZeros="0" topLeftCell="B1" workbookViewId="0">
      <selection activeCell="H15" sqref="H15"/>
    </sheetView>
  </sheetViews>
  <sheetFormatPr defaultColWidth="9.44140625" defaultRowHeight="14.4"/>
  <cols>
    <col min="1" max="1" width="9.44140625" hidden="1" customWidth="1"/>
    <col min="2" max="2" width="4.44140625" customWidth="1"/>
    <col min="3" max="3" width="8" customWidth="1"/>
    <col min="4" max="4" width="21.44140625" customWidth="1"/>
    <col min="5" max="5" width="6.44140625" customWidth="1"/>
    <col min="6" max="6" width="8" customWidth="1"/>
    <col min="7" max="7" width="9.44140625" customWidth="1"/>
    <col min="8" max="8" width="7.44140625" customWidth="1"/>
    <col min="9" max="9" width="10.77734375" customWidth="1"/>
    <col min="10" max="10" width="7.44140625" customWidth="1"/>
    <col min="11" max="11" width="10.44140625" customWidth="1"/>
    <col min="12" max="12" width="7.44140625" customWidth="1"/>
    <col min="13" max="13" width="10.77734375" customWidth="1"/>
    <col min="14" max="15" width="10.44140625" customWidth="1"/>
  </cols>
  <sheetData>
    <row r="1" spans="1:15" ht="17.399999999999999">
      <c r="A1" s="940" t="s">
        <v>996</v>
      </c>
      <c r="B1" s="940"/>
      <c r="C1" s="940"/>
      <c r="D1" s="940"/>
      <c r="E1" s="940"/>
      <c r="F1" s="940"/>
      <c r="G1" s="940"/>
      <c r="H1" s="940"/>
      <c r="I1" s="940"/>
      <c r="J1" s="940"/>
      <c r="K1" s="940"/>
      <c r="L1" s="940"/>
      <c r="M1" s="940"/>
      <c r="N1" s="940"/>
      <c r="O1" s="940"/>
    </row>
    <row r="2" spans="1:15" ht="15.6">
      <c r="A2" s="978" t="s">
        <v>762</v>
      </c>
      <c r="B2" s="978"/>
      <c r="C2" s="978"/>
      <c r="D2" s="978"/>
      <c r="E2" s="978"/>
      <c r="F2" s="978"/>
      <c r="G2" s="978"/>
      <c r="H2" s="978"/>
      <c r="I2" s="978"/>
      <c r="J2" s="978"/>
      <c r="K2" s="978"/>
      <c r="L2" s="978"/>
      <c r="M2" s="978"/>
      <c r="N2" s="978"/>
      <c r="O2" s="978"/>
    </row>
    <row r="3" spans="1:15" ht="15.6">
      <c r="A3" s="978" t="s">
        <v>763</v>
      </c>
      <c r="B3" s="978"/>
      <c r="C3" s="978"/>
      <c r="D3" s="978"/>
      <c r="E3" s="978"/>
      <c r="F3" s="978"/>
      <c r="G3" s="978"/>
      <c r="H3" s="978"/>
      <c r="I3" s="978"/>
      <c r="J3" s="978"/>
      <c r="K3" s="978"/>
      <c r="L3" s="978"/>
      <c r="M3" s="978"/>
      <c r="N3" s="978"/>
      <c r="O3" s="978"/>
    </row>
    <row r="4" spans="1:15" ht="15.6">
      <c r="A4" s="978">
        <v>0</v>
      </c>
      <c r="B4" s="978"/>
      <c r="C4" s="978"/>
      <c r="D4" s="978"/>
      <c r="E4" s="978"/>
      <c r="F4" s="978"/>
      <c r="G4" s="978"/>
      <c r="H4" s="978"/>
      <c r="I4" s="978"/>
      <c r="J4" s="978"/>
      <c r="K4" s="978"/>
      <c r="L4" s="978"/>
      <c r="M4" s="978"/>
      <c r="N4" s="978"/>
      <c r="O4" s="978"/>
    </row>
    <row r="5" spans="1:15" ht="19.5" customHeight="1">
      <c r="A5" s="99" t="s">
        <v>997</v>
      </c>
      <c r="B5" s="99" t="s">
        <v>5</v>
      </c>
      <c r="C5" s="99" t="s">
        <v>592</v>
      </c>
      <c r="D5" s="99" t="s">
        <v>998</v>
      </c>
      <c r="E5" s="99" t="s">
        <v>594</v>
      </c>
      <c r="F5" s="99" t="s">
        <v>999</v>
      </c>
      <c r="G5" s="99" t="s">
        <v>595</v>
      </c>
      <c r="H5" s="99" t="s">
        <v>1000</v>
      </c>
      <c r="I5" s="99" t="s">
        <v>756</v>
      </c>
      <c r="J5" s="99" t="s">
        <v>687</v>
      </c>
      <c r="K5" s="99" t="s">
        <v>261</v>
      </c>
      <c r="L5" s="99" t="s">
        <v>697</v>
      </c>
      <c r="M5" s="99" t="s">
        <v>261</v>
      </c>
      <c r="N5" s="99" t="s">
        <v>757</v>
      </c>
      <c r="O5" s="99" t="s">
        <v>261</v>
      </c>
    </row>
    <row r="6" spans="1:15">
      <c r="A6" s="83" t="s">
        <v>1001</v>
      </c>
      <c r="B6" s="84">
        <v>1</v>
      </c>
      <c r="C6" s="83" t="s">
        <v>983</v>
      </c>
      <c r="D6" s="83" t="s">
        <v>1002</v>
      </c>
      <c r="E6" s="84" t="s">
        <v>985</v>
      </c>
      <c r="F6" s="208"/>
      <c r="G6" s="208"/>
      <c r="H6" s="208">
        <v>1.05</v>
      </c>
      <c r="I6" s="208">
        <f>SUM(I7:I12)</f>
        <v>2520.7889595000001</v>
      </c>
      <c r="J6" s="377">
        <v>895</v>
      </c>
      <c r="K6" s="377">
        <f>I6*J6</f>
        <v>2256106.1187525</v>
      </c>
      <c r="L6" s="377">
        <v>1920.3732</v>
      </c>
      <c r="M6" s="377">
        <f>I6*L6</f>
        <v>4840855.5606796853</v>
      </c>
      <c r="N6" s="377">
        <f>L6-J6</f>
        <v>1025.3732</v>
      </c>
      <c r="O6" s="377">
        <f>I6*N6</f>
        <v>2584749.4419271857</v>
      </c>
    </row>
    <row r="7" spans="1:15">
      <c r="A7" s="368" t="s">
        <v>268</v>
      </c>
      <c r="B7" s="369"/>
      <c r="C7" s="368" t="s">
        <v>657</v>
      </c>
      <c r="D7" s="368" t="s">
        <v>946</v>
      </c>
      <c r="E7" s="369" t="s">
        <v>926</v>
      </c>
      <c r="F7" s="370">
        <v>2.8955799999999998</v>
      </c>
      <c r="G7" s="370">
        <v>8</v>
      </c>
      <c r="H7" s="370"/>
      <c r="I7" s="370">
        <f>F7*G7*H6</f>
        <v>24.322872</v>
      </c>
      <c r="J7" s="378"/>
      <c r="K7" s="378"/>
      <c r="L7" s="378"/>
      <c r="M7" s="378"/>
      <c r="N7" s="378"/>
      <c r="O7" s="378"/>
    </row>
    <row r="8" spans="1:15">
      <c r="A8" s="368" t="s">
        <v>268</v>
      </c>
      <c r="B8" s="369"/>
      <c r="C8" s="368" t="s">
        <v>625</v>
      </c>
      <c r="D8" s="368" t="s">
        <v>933</v>
      </c>
      <c r="E8" s="369" t="s">
        <v>926</v>
      </c>
      <c r="F8" s="370">
        <v>83.788690000000003</v>
      </c>
      <c r="G8" s="370">
        <v>7</v>
      </c>
      <c r="H8" s="370"/>
      <c r="I8" s="370">
        <f>F8*G8*H6</f>
        <v>615.84687150000002</v>
      </c>
      <c r="J8" s="378"/>
      <c r="K8" s="378"/>
      <c r="L8" s="378"/>
      <c r="M8" s="378"/>
      <c r="N8" s="378"/>
      <c r="O8" s="378"/>
    </row>
    <row r="9" spans="1:15">
      <c r="A9" s="368" t="s">
        <v>268</v>
      </c>
      <c r="B9" s="369"/>
      <c r="C9" s="368" t="s">
        <v>630</v>
      </c>
      <c r="D9" s="368" t="s">
        <v>937</v>
      </c>
      <c r="E9" s="369" t="s">
        <v>926</v>
      </c>
      <c r="F9" s="370">
        <v>3.217158</v>
      </c>
      <c r="G9" s="370">
        <v>48</v>
      </c>
      <c r="H9" s="370"/>
      <c r="I9" s="370">
        <f>F9*G9*H6</f>
        <v>162.1447632</v>
      </c>
      <c r="J9" s="378"/>
      <c r="K9" s="378"/>
      <c r="L9" s="378"/>
      <c r="M9" s="378"/>
      <c r="N9" s="378"/>
      <c r="O9" s="378"/>
    </row>
    <row r="10" spans="1:15">
      <c r="A10" s="368" t="s">
        <v>268</v>
      </c>
      <c r="B10" s="369"/>
      <c r="C10" s="368" t="s">
        <v>623</v>
      </c>
      <c r="D10" s="368" t="s">
        <v>945</v>
      </c>
      <c r="E10" s="369" t="s">
        <v>926</v>
      </c>
      <c r="F10" s="370">
        <v>89.856700000000004</v>
      </c>
      <c r="G10" s="370">
        <v>11</v>
      </c>
      <c r="H10" s="370"/>
      <c r="I10" s="370">
        <f>F10*G10*H6</f>
        <v>1037.8448850000002</v>
      </c>
      <c r="J10" s="378"/>
      <c r="K10" s="378"/>
      <c r="L10" s="378"/>
      <c r="M10" s="378"/>
      <c r="N10" s="378"/>
      <c r="O10" s="378"/>
    </row>
    <row r="11" spans="1:15">
      <c r="A11" s="368" t="s">
        <v>268</v>
      </c>
      <c r="B11" s="369"/>
      <c r="C11" s="368" t="s">
        <v>633</v>
      </c>
      <c r="D11" s="368" t="s">
        <v>930</v>
      </c>
      <c r="E11" s="369" t="s">
        <v>926</v>
      </c>
      <c r="F11" s="370">
        <v>26.891404000000001</v>
      </c>
      <c r="G11" s="370">
        <v>9</v>
      </c>
      <c r="H11" s="370"/>
      <c r="I11" s="370">
        <f>F11*G11*H6</f>
        <v>254.12376780000002</v>
      </c>
      <c r="J11" s="378"/>
      <c r="K11" s="378"/>
      <c r="L11" s="378"/>
      <c r="M11" s="378"/>
      <c r="N11" s="378"/>
      <c r="O11" s="378"/>
    </row>
    <row r="12" spans="1:15">
      <c r="A12" s="368" t="s">
        <v>268</v>
      </c>
      <c r="B12" s="369"/>
      <c r="C12" s="368" t="s">
        <v>624</v>
      </c>
      <c r="D12" s="368" t="s">
        <v>931</v>
      </c>
      <c r="E12" s="369" t="s">
        <v>926</v>
      </c>
      <c r="F12" s="370">
        <v>81.239199999999997</v>
      </c>
      <c r="G12" s="370">
        <v>5</v>
      </c>
      <c r="H12" s="370"/>
      <c r="I12" s="370">
        <f>F12*G12*H6</f>
        <v>426.50579999999997</v>
      </c>
      <c r="J12" s="378"/>
      <c r="K12" s="378"/>
      <c r="L12" s="378"/>
      <c r="M12" s="378"/>
      <c r="N12" s="378"/>
      <c r="O12" s="378"/>
    </row>
    <row r="13" spans="1:15">
      <c r="A13" s="91" t="s">
        <v>1001</v>
      </c>
      <c r="B13" s="92">
        <v>2</v>
      </c>
      <c r="C13" s="91" t="s">
        <v>977</v>
      </c>
      <c r="D13" s="91" t="s">
        <v>1003</v>
      </c>
      <c r="E13" s="92" t="s">
        <v>734</v>
      </c>
      <c r="F13" s="212"/>
      <c r="G13" s="212"/>
      <c r="H13" s="212">
        <v>1.03</v>
      </c>
      <c r="I13" s="212">
        <f>SUM(I14:I39)</f>
        <v>10319.930277762003</v>
      </c>
      <c r="J13" s="379">
        <v>7182</v>
      </c>
      <c r="K13" s="379">
        <f>I13*J13</f>
        <v>74117739.254886702</v>
      </c>
      <c r="L13" s="379">
        <v>16363.6</v>
      </c>
      <c r="M13" s="379">
        <f>I13*L13</f>
        <v>168871211.09318632</v>
      </c>
      <c r="N13" s="379">
        <f>L13-J13</f>
        <v>9181.6</v>
      </c>
      <c r="O13" s="379">
        <f>I13*N13</f>
        <v>94753471.838299617</v>
      </c>
    </row>
    <row r="14" spans="1:15">
      <c r="A14" s="368" t="s">
        <v>268</v>
      </c>
      <c r="B14" s="369"/>
      <c r="C14" s="368" t="s">
        <v>613</v>
      </c>
      <c r="D14" s="368" t="s">
        <v>957</v>
      </c>
      <c r="E14" s="369" t="s">
        <v>926</v>
      </c>
      <c r="F14" s="370">
        <v>1.53877654867257</v>
      </c>
      <c r="G14" s="370">
        <v>37</v>
      </c>
      <c r="H14" s="370"/>
      <c r="I14" s="370">
        <f>F14*G14*H13</f>
        <v>58.642774269911641</v>
      </c>
      <c r="J14" s="378"/>
      <c r="K14" s="378"/>
      <c r="L14" s="378"/>
      <c r="M14" s="378"/>
      <c r="N14" s="378"/>
      <c r="O14" s="378"/>
    </row>
    <row r="15" spans="1:15">
      <c r="A15" s="368" t="s">
        <v>268</v>
      </c>
      <c r="B15" s="369"/>
      <c r="C15" s="368" t="s">
        <v>643</v>
      </c>
      <c r="D15" s="368" t="s">
        <v>952</v>
      </c>
      <c r="E15" s="369" t="s">
        <v>926</v>
      </c>
      <c r="F15" s="370">
        <v>9.0833651999999994</v>
      </c>
      <c r="G15" s="370">
        <v>29</v>
      </c>
      <c r="H15" s="370"/>
      <c r="I15" s="370">
        <f>F15*G15*H13</f>
        <v>271.32011852399995</v>
      </c>
      <c r="J15" s="378"/>
      <c r="K15" s="378"/>
      <c r="L15" s="378"/>
      <c r="M15" s="378"/>
      <c r="N15" s="378"/>
      <c r="O15" s="378"/>
    </row>
    <row r="16" spans="1:15">
      <c r="A16" s="368" t="s">
        <v>268</v>
      </c>
      <c r="B16" s="369"/>
      <c r="C16" s="368" t="s">
        <v>675</v>
      </c>
      <c r="D16" s="368" t="s">
        <v>934</v>
      </c>
      <c r="E16" s="369" t="s">
        <v>926</v>
      </c>
      <c r="F16" s="370">
        <v>0.4028023</v>
      </c>
      <c r="G16" s="370">
        <v>65</v>
      </c>
      <c r="H16" s="370"/>
      <c r="I16" s="370">
        <f>F16*G16*H13</f>
        <v>26.967613985000003</v>
      </c>
      <c r="J16" s="378"/>
      <c r="K16" s="378"/>
      <c r="L16" s="378"/>
      <c r="M16" s="378"/>
      <c r="N16" s="378"/>
      <c r="O16" s="378"/>
    </row>
    <row r="17" spans="1:15">
      <c r="A17" s="368" t="s">
        <v>268</v>
      </c>
      <c r="B17" s="369"/>
      <c r="C17" s="368" t="s">
        <v>641</v>
      </c>
      <c r="D17" s="368" t="s">
        <v>958</v>
      </c>
      <c r="E17" s="369" t="s">
        <v>926</v>
      </c>
      <c r="F17" s="370">
        <v>0</v>
      </c>
      <c r="G17" s="370">
        <v>57</v>
      </c>
      <c r="H17" s="370"/>
      <c r="I17" s="370">
        <f>F17*G17*H13</f>
        <v>0</v>
      </c>
      <c r="J17" s="378"/>
      <c r="K17" s="378"/>
      <c r="L17" s="378"/>
      <c r="M17" s="378"/>
      <c r="N17" s="378"/>
      <c r="O17" s="378"/>
    </row>
    <row r="18" spans="1:15">
      <c r="A18" s="368" t="s">
        <v>268</v>
      </c>
      <c r="B18" s="369"/>
      <c r="C18" s="368" t="s">
        <v>603</v>
      </c>
      <c r="D18" s="368" t="s">
        <v>948</v>
      </c>
      <c r="E18" s="369" t="s">
        <v>926</v>
      </c>
      <c r="F18" s="370">
        <v>0</v>
      </c>
      <c r="G18" s="370">
        <v>76</v>
      </c>
      <c r="H18" s="370"/>
      <c r="I18" s="370">
        <f>F18*G18*H13</f>
        <v>0</v>
      </c>
      <c r="J18" s="378"/>
      <c r="K18" s="378"/>
      <c r="L18" s="378"/>
      <c r="M18" s="378"/>
      <c r="N18" s="378"/>
      <c r="O18" s="378"/>
    </row>
    <row r="19" spans="1:15">
      <c r="A19" s="368" t="s">
        <v>268</v>
      </c>
      <c r="B19" s="369"/>
      <c r="C19" s="368" t="s">
        <v>665</v>
      </c>
      <c r="D19" s="368" t="s">
        <v>927</v>
      </c>
      <c r="E19" s="369" t="s">
        <v>926</v>
      </c>
      <c r="F19" s="370">
        <v>2.7410000000000001</v>
      </c>
      <c r="G19" s="370">
        <v>25</v>
      </c>
      <c r="H19" s="370"/>
      <c r="I19" s="370">
        <f>F19*G19*H13</f>
        <v>70.580750000000009</v>
      </c>
      <c r="J19" s="378"/>
      <c r="K19" s="378"/>
      <c r="L19" s="378"/>
      <c r="M19" s="378"/>
      <c r="N19" s="378"/>
      <c r="O19" s="378"/>
    </row>
    <row r="20" spans="1:15">
      <c r="A20" s="368" t="s">
        <v>268</v>
      </c>
      <c r="B20" s="369"/>
      <c r="C20" s="368" t="s">
        <v>642</v>
      </c>
      <c r="D20" s="368" t="s">
        <v>955</v>
      </c>
      <c r="E20" s="369" t="s">
        <v>926</v>
      </c>
      <c r="F20" s="370">
        <v>12.319070399999999</v>
      </c>
      <c r="G20" s="370">
        <v>30</v>
      </c>
      <c r="H20" s="370"/>
      <c r="I20" s="370">
        <f>F20*G20*H13</f>
        <v>380.65927536000004</v>
      </c>
      <c r="J20" s="378"/>
      <c r="K20" s="378"/>
      <c r="L20" s="378"/>
      <c r="M20" s="378"/>
      <c r="N20" s="378"/>
      <c r="O20" s="378"/>
    </row>
    <row r="21" spans="1:15">
      <c r="A21" s="368" t="s">
        <v>268</v>
      </c>
      <c r="B21" s="369"/>
      <c r="C21" s="368" t="s">
        <v>638</v>
      </c>
      <c r="D21" s="368" t="s">
        <v>956</v>
      </c>
      <c r="E21" s="369" t="s">
        <v>926</v>
      </c>
      <c r="F21" s="370">
        <v>3.57864906</v>
      </c>
      <c r="G21" s="370">
        <v>24</v>
      </c>
      <c r="H21" s="370"/>
      <c r="I21" s="370">
        <f>F21*G21*H13</f>
        <v>88.464204763200001</v>
      </c>
      <c r="J21" s="378"/>
      <c r="K21" s="378"/>
      <c r="L21" s="378"/>
      <c r="M21" s="378"/>
      <c r="N21" s="378"/>
      <c r="O21" s="378"/>
    </row>
    <row r="22" spans="1:15">
      <c r="A22" s="368" t="s">
        <v>268</v>
      </c>
      <c r="B22" s="369"/>
      <c r="C22" s="368" t="s">
        <v>608</v>
      </c>
      <c r="D22" s="368" t="s">
        <v>953</v>
      </c>
      <c r="E22" s="369" t="s">
        <v>926</v>
      </c>
      <c r="F22" s="370">
        <v>13.050023300176999</v>
      </c>
      <c r="G22" s="370">
        <v>38</v>
      </c>
      <c r="H22" s="370"/>
      <c r="I22" s="370">
        <f>F22*G22*H13</f>
        <v>510.77791196892781</v>
      </c>
      <c r="J22" s="378"/>
      <c r="K22" s="378"/>
      <c r="L22" s="378"/>
      <c r="M22" s="378"/>
      <c r="N22" s="378"/>
      <c r="O22" s="378"/>
    </row>
    <row r="23" spans="1:15">
      <c r="A23" s="368" t="s">
        <v>268</v>
      </c>
      <c r="B23" s="369"/>
      <c r="C23" s="368" t="s">
        <v>634</v>
      </c>
      <c r="D23" s="368" t="s">
        <v>941</v>
      </c>
      <c r="E23" s="369" t="s">
        <v>926</v>
      </c>
      <c r="F23" s="370">
        <v>14.329356600000001</v>
      </c>
      <c r="G23" s="370">
        <v>47</v>
      </c>
      <c r="H23" s="370"/>
      <c r="I23" s="370">
        <f>F23*G23*H13</f>
        <v>693.68415300599997</v>
      </c>
      <c r="J23" s="378"/>
      <c r="K23" s="378"/>
      <c r="L23" s="378"/>
      <c r="M23" s="378"/>
      <c r="N23" s="378"/>
      <c r="O23" s="378"/>
    </row>
    <row r="24" spans="1:15">
      <c r="A24" s="368" t="s">
        <v>268</v>
      </c>
      <c r="B24" s="369"/>
      <c r="C24" s="368" t="s">
        <v>600</v>
      </c>
      <c r="D24" s="368" t="s">
        <v>947</v>
      </c>
      <c r="E24" s="369" t="s">
        <v>926</v>
      </c>
      <c r="F24" s="370">
        <v>3.56350162292035</v>
      </c>
      <c r="G24" s="370">
        <v>46</v>
      </c>
      <c r="H24" s="370"/>
      <c r="I24" s="370">
        <f>F24*G24*H13</f>
        <v>168.83870689396619</v>
      </c>
      <c r="J24" s="378"/>
      <c r="K24" s="378"/>
      <c r="L24" s="378"/>
      <c r="M24" s="378"/>
      <c r="N24" s="378"/>
      <c r="O24" s="378"/>
    </row>
    <row r="25" spans="1:15">
      <c r="A25" s="368" t="s">
        <v>268</v>
      </c>
      <c r="B25" s="369"/>
      <c r="C25" s="368" t="s">
        <v>640</v>
      </c>
      <c r="D25" s="368" t="s">
        <v>951</v>
      </c>
      <c r="E25" s="369" t="s">
        <v>926</v>
      </c>
      <c r="F25" s="370">
        <v>6.3154728000000002</v>
      </c>
      <c r="G25" s="370">
        <v>340</v>
      </c>
      <c r="H25" s="370"/>
      <c r="I25" s="370">
        <f>F25*G25*H13</f>
        <v>2211.67857456</v>
      </c>
      <c r="J25" s="378"/>
      <c r="K25" s="378"/>
      <c r="L25" s="378"/>
      <c r="M25" s="378"/>
      <c r="N25" s="378"/>
      <c r="O25" s="378"/>
    </row>
    <row r="26" spans="1:15">
      <c r="A26" s="368" t="s">
        <v>268</v>
      </c>
      <c r="B26" s="369"/>
      <c r="C26" s="368" t="s">
        <v>599</v>
      </c>
      <c r="D26" s="368" t="s">
        <v>935</v>
      </c>
      <c r="E26" s="369" t="s">
        <v>926</v>
      </c>
      <c r="F26" s="370">
        <v>7.4720200999999999</v>
      </c>
      <c r="G26" s="370">
        <v>83</v>
      </c>
      <c r="H26" s="370"/>
      <c r="I26" s="370">
        <f>F26*G26*H13</f>
        <v>638.78299834900008</v>
      </c>
      <c r="J26" s="378"/>
      <c r="K26" s="378"/>
      <c r="L26" s="378"/>
      <c r="M26" s="378"/>
      <c r="N26" s="378"/>
      <c r="O26" s="378"/>
    </row>
    <row r="27" spans="1:15">
      <c r="A27" s="368" t="s">
        <v>268</v>
      </c>
      <c r="B27" s="369"/>
      <c r="C27" s="368" t="s">
        <v>647</v>
      </c>
      <c r="D27" s="368" t="s">
        <v>942</v>
      </c>
      <c r="E27" s="369" t="s">
        <v>926</v>
      </c>
      <c r="F27" s="370">
        <v>21.008240600000001</v>
      </c>
      <c r="G27" s="370">
        <v>57</v>
      </c>
      <c r="H27" s="370"/>
      <c r="I27" s="370">
        <f>F27*G27*H13</f>
        <v>1233.3938056260001</v>
      </c>
      <c r="J27" s="378"/>
      <c r="K27" s="378"/>
      <c r="L27" s="378"/>
      <c r="M27" s="378"/>
      <c r="N27" s="378"/>
      <c r="O27" s="378"/>
    </row>
    <row r="28" spans="1:15">
      <c r="A28" s="368" t="s">
        <v>268</v>
      </c>
      <c r="B28" s="369"/>
      <c r="C28" s="368" t="s">
        <v>651</v>
      </c>
      <c r="D28" s="368" t="s">
        <v>954</v>
      </c>
      <c r="E28" s="369" t="s">
        <v>926</v>
      </c>
      <c r="F28" s="370">
        <v>27.9387942</v>
      </c>
      <c r="G28" s="370">
        <v>24</v>
      </c>
      <c r="H28" s="370"/>
      <c r="I28" s="370">
        <f>F28*G28*H13</f>
        <v>690.64699262399995</v>
      </c>
      <c r="J28" s="378"/>
      <c r="K28" s="378"/>
      <c r="L28" s="378"/>
      <c r="M28" s="378"/>
      <c r="N28" s="378"/>
      <c r="O28" s="378"/>
    </row>
    <row r="29" spans="1:15">
      <c r="A29" s="368" t="s">
        <v>268</v>
      </c>
      <c r="B29" s="369"/>
      <c r="C29" s="368" t="s">
        <v>674</v>
      </c>
      <c r="D29" s="368" t="s">
        <v>940</v>
      </c>
      <c r="E29" s="369" t="s">
        <v>926</v>
      </c>
      <c r="F29" s="370">
        <v>0.7893</v>
      </c>
      <c r="G29" s="370">
        <v>35</v>
      </c>
      <c r="H29" s="370"/>
      <c r="I29" s="370">
        <f>F29*G29*H13</f>
        <v>28.454264999999999</v>
      </c>
      <c r="J29" s="378"/>
      <c r="K29" s="378"/>
      <c r="L29" s="378"/>
      <c r="M29" s="378"/>
      <c r="N29" s="378"/>
      <c r="O29" s="378"/>
    </row>
    <row r="30" spans="1:15">
      <c r="A30" s="368" t="s">
        <v>268</v>
      </c>
      <c r="B30" s="369"/>
      <c r="C30" s="368" t="s">
        <v>602</v>
      </c>
      <c r="D30" s="368" t="s">
        <v>936</v>
      </c>
      <c r="E30" s="369" t="s">
        <v>926</v>
      </c>
      <c r="F30" s="370">
        <v>1.1381604999999999</v>
      </c>
      <c r="G30" s="370">
        <v>113</v>
      </c>
      <c r="H30" s="370"/>
      <c r="I30" s="370">
        <f>F30*G30*H13</f>
        <v>132.470500595</v>
      </c>
      <c r="J30" s="378"/>
      <c r="K30" s="378"/>
      <c r="L30" s="378"/>
      <c r="M30" s="378"/>
      <c r="N30" s="378"/>
      <c r="O30" s="378"/>
    </row>
    <row r="31" spans="1:15">
      <c r="A31" s="368" t="s">
        <v>268</v>
      </c>
      <c r="B31" s="369"/>
      <c r="C31" s="368" t="s">
        <v>660</v>
      </c>
      <c r="D31" s="368" t="s">
        <v>928</v>
      </c>
      <c r="E31" s="369" t="s">
        <v>926</v>
      </c>
      <c r="F31" s="370">
        <v>0.30149999999999999</v>
      </c>
      <c r="G31" s="370">
        <v>33</v>
      </c>
      <c r="H31" s="370"/>
      <c r="I31" s="370">
        <f>F31*G31*H13</f>
        <v>10.247985</v>
      </c>
      <c r="J31" s="378"/>
      <c r="K31" s="378"/>
      <c r="L31" s="378"/>
      <c r="M31" s="378"/>
      <c r="N31" s="378"/>
      <c r="O31" s="378"/>
    </row>
    <row r="32" spans="1:15">
      <c r="A32" s="368" t="s">
        <v>268</v>
      </c>
      <c r="B32" s="369"/>
      <c r="C32" s="368" t="s">
        <v>610</v>
      </c>
      <c r="D32" s="368" t="s">
        <v>950</v>
      </c>
      <c r="E32" s="369" t="s">
        <v>926</v>
      </c>
      <c r="F32" s="370">
        <v>6.6687608753097303</v>
      </c>
      <c r="G32" s="370">
        <v>23</v>
      </c>
      <c r="H32" s="370"/>
      <c r="I32" s="370">
        <f>F32*G32*H13</f>
        <v>157.98294513608749</v>
      </c>
      <c r="J32" s="378"/>
      <c r="K32" s="378"/>
      <c r="L32" s="378"/>
      <c r="M32" s="378"/>
      <c r="N32" s="378"/>
      <c r="O32" s="378"/>
    </row>
    <row r="33" spans="1:15">
      <c r="A33" s="368" t="s">
        <v>268</v>
      </c>
      <c r="B33" s="369"/>
      <c r="C33" s="368" t="s">
        <v>609</v>
      </c>
      <c r="D33" s="368" t="s">
        <v>938</v>
      </c>
      <c r="E33" s="369" t="s">
        <v>926</v>
      </c>
      <c r="F33" s="370">
        <v>15.215276483716799</v>
      </c>
      <c r="G33" s="370">
        <v>26</v>
      </c>
      <c r="H33" s="370"/>
      <c r="I33" s="370">
        <f>F33*G33*H13</f>
        <v>407.4651042339359</v>
      </c>
      <c r="J33" s="378"/>
      <c r="K33" s="378"/>
      <c r="L33" s="378"/>
      <c r="M33" s="378"/>
      <c r="N33" s="378"/>
      <c r="O33" s="378"/>
    </row>
    <row r="34" spans="1:15">
      <c r="A34" s="368" t="s">
        <v>268</v>
      </c>
      <c r="B34" s="369"/>
      <c r="C34" s="368" t="s">
        <v>645</v>
      </c>
      <c r="D34" s="368" t="s">
        <v>944</v>
      </c>
      <c r="E34" s="369" t="s">
        <v>926</v>
      </c>
      <c r="F34" s="370">
        <v>3.1772285999999998</v>
      </c>
      <c r="G34" s="370">
        <v>39</v>
      </c>
      <c r="H34" s="370"/>
      <c r="I34" s="370">
        <f>F34*G34*H13</f>
        <v>127.62927286200001</v>
      </c>
      <c r="J34" s="378"/>
      <c r="K34" s="378"/>
      <c r="L34" s="378"/>
      <c r="M34" s="378"/>
      <c r="N34" s="378"/>
      <c r="O34" s="378"/>
    </row>
    <row r="35" spans="1:15">
      <c r="A35" s="368" t="s">
        <v>268</v>
      </c>
      <c r="B35" s="369"/>
      <c r="C35" s="368" t="s">
        <v>644</v>
      </c>
      <c r="D35" s="368" t="s">
        <v>959</v>
      </c>
      <c r="E35" s="369" t="s">
        <v>926</v>
      </c>
      <c r="F35" s="370">
        <v>8.9859042000000002</v>
      </c>
      <c r="G35" s="370">
        <v>32</v>
      </c>
      <c r="H35" s="370"/>
      <c r="I35" s="370">
        <f>F35*G35*H13</f>
        <v>296.175402432</v>
      </c>
      <c r="J35" s="378"/>
      <c r="K35" s="378"/>
      <c r="L35" s="378"/>
      <c r="M35" s="378"/>
      <c r="N35" s="378"/>
      <c r="O35" s="378"/>
    </row>
    <row r="36" spans="1:15">
      <c r="A36" s="368" t="s">
        <v>268</v>
      </c>
      <c r="B36" s="369"/>
      <c r="C36" s="368" t="s">
        <v>607</v>
      </c>
      <c r="D36" s="368" t="s">
        <v>939</v>
      </c>
      <c r="E36" s="369" t="s">
        <v>926</v>
      </c>
      <c r="F36" s="370">
        <v>10.161921333805299</v>
      </c>
      <c r="G36" s="370">
        <v>67</v>
      </c>
      <c r="H36" s="370"/>
      <c r="I36" s="370">
        <f>F36*G36*H13</f>
        <v>701.27419124590369</v>
      </c>
      <c r="J36" s="378"/>
      <c r="K36" s="378"/>
      <c r="L36" s="378"/>
      <c r="M36" s="378"/>
      <c r="N36" s="378"/>
      <c r="O36" s="378"/>
    </row>
    <row r="37" spans="1:15">
      <c r="A37" s="368" t="s">
        <v>268</v>
      </c>
      <c r="B37" s="369"/>
      <c r="C37" s="368" t="s">
        <v>606</v>
      </c>
      <c r="D37" s="368" t="s">
        <v>943</v>
      </c>
      <c r="E37" s="369" t="s">
        <v>926</v>
      </c>
      <c r="F37" s="370">
        <v>6.6687608753097303</v>
      </c>
      <c r="G37" s="370">
        <v>30</v>
      </c>
      <c r="H37" s="370"/>
      <c r="I37" s="370">
        <f>F37*G37*H13</f>
        <v>206.06471104707066</v>
      </c>
      <c r="J37" s="378"/>
      <c r="K37" s="378"/>
      <c r="L37" s="378"/>
      <c r="M37" s="378"/>
      <c r="N37" s="378"/>
      <c r="O37" s="378"/>
    </row>
    <row r="38" spans="1:15">
      <c r="A38" s="368" t="s">
        <v>268</v>
      </c>
      <c r="B38" s="369"/>
      <c r="C38" s="368" t="s">
        <v>683</v>
      </c>
      <c r="D38" s="368" t="s">
        <v>840</v>
      </c>
      <c r="E38" s="369" t="s">
        <v>926</v>
      </c>
      <c r="F38" s="370">
        <v>10.5229157</v>
      </c>
      <c r="G38" s="370">
        <v>57</v>
      </c>
      <c r="H38" s="370"/>
      <c r="I38" s="370">
        <f>F38*G38*H13</f>
        <v>617.80038074700008</v>
      </c>
      <c r="J38" s="378"/>
      <c r="K38" s="378"/>
      <c r="L38" s="378"/>
      <c r="M38" s="378"/>
      <c r="N38" s="378"/>
      <c r="O38" s="378"/>
    </row>
    <row r="39" spans="1:15">
      <c r="A39" s="368" t="s">
        <v>268</v>
      </c>
      <c r="B39" s="369"/>
      <c r="C39" s="368" t="s">
        <v>652</v>
      </c>
      <c r="D39" s="368" t="s">
        <v>949</v>
      </c>
      <c r="E39" s="369" t="s">
        <v>926</v>
      </c>
      <c r="F39" s="370">
        <v>13.9693971</v>
      </c>
      <c r="G39" s="370">
        <v>41</v>
      </c>
      <c r="H39" s="370"/>
      <c r="I39" s="370">
        <f>F39*G39*H13</f>
        <v>589.92763953300005</v>
      </c>
      <c r="J39" s="378"/>
      <c r="K39" s="378"/>
      <c r="L39" s="378"/>
      <c r="M39" s="378"/>
      <c r="N39" s="378"/>
      <c r="O39" s="378"/>
    </row>
    <row r="40" spans="1:15">
      <c r="A40" s="91" t="s">
        <v>1001</v>
      </c>
      <c r="B40" s="92">
        <v>3</v>
      </c>
      <c r="C40" s="91" t="s">
        <v>981</v>
      </c>
      <c r="D40" s="91" t="s">
        <v>1004</v>
      </c>
      <c r="E40" s="92" t="s">
        <v>734</v>
      </c>
      <c r="F40" s="212"/>
      <c r="G40" s="212"/>
      <c r="H40" s="212">
        <v>1.02</v>
      </c>
      <c r="I40" s="212">
        <f>SUM(I41:I42)</f>
        <v>49.543431840000004</v>
      </c>
      <c r="J40" s="379">
        <v>26676</v>
      </c>
      <c r="K40" s="379">
        <f>I40*J40</f>
        <v>1321620.5877638401</v>
      </c>
      <c r="L40" s="379">
        <v>18663.599999999999</v>
      </c>
      <c r="M40" s="379">
        <f>I40*L40</f>
        <v>924658.79448902397</v>
      </c>
      <c r="N40" s="379">
        <f>L40-J40</f>
        <v>-8012.4000000000015</v>
      </c>
      <c r="O40" s="379">
        <f>I40*N40</f>
        <v>-396961.79327481613</v>
      </c>
    </row>
    <row r="41" spans="1:15">
      <c r="A41" s="368" t="s">
        <v>268</v>
      </c>
      <c r="B41" s="369"/>
      <c r="C41" s="368" t="s">
        <v>676</v>
      </c>
      <c r="D41" s="368" t="s">
        <v>932</v>
      </c>
      <c r="E41" s="369" t="s">
        <v>926</v>
      </c>
      <c r="F41" s="370">
        <v>1.410318</v>
      </c>
      <c r="G41" s="370">
        <v>4</v>
      </c>
      <c r="H41" s="370"/>
      <c r="I41" s="370">
        <f>F41*G41*H40</f>
        <v>5.7540974399999998</v>
      </c>
      <c r="J41" s="378"/>
      <c r="K41" s="378"/>
      <c r="L41" s="378"/>
      <c r="M41" s="378"/>
      <c r="N41" s="378"/>
      <c r="O41" s="378"/>
    </row>
    <row r="42" spans="1:15">
      <c r="A42" s="371" t="s">
        <v>268</v>
      </c>
      <c r="B42" s="372"/>
      <c r="C42" s="371" t="s">
        <v>637</v>
      </c>
      <c r="D42" s="371" t="s">
        <v>929</v>
      </c>
      <c r="E42" s="372" t="s">
        <v>926</v>
      </c>
      <c r="F42" s="373">
        <v>5.3663400000000001</v>
      </c>
      <c r="G42" s="373">
        <v>8</v>
      </c>
      <c r="H42" s="373"/>
      <c r="I42" s="373">
        <f>F42*G42*H40</f>
        <v>43.789334400000001</v>
      </c>
      <c r="J42" s="380"/>
      <c r="K42" s="380"/>
      <c r="L42" s="380"/>
      <c r="M42" s="380"/>
      <c r="N42" s="380"/>
      <c r="O42" s="380"/>
    </row>
    <row r="43" spans="1:15">
      <c r="A43" s="374" t="s">
        <v>1005</v>
      </c>
      <c r="B43" s="375"/>
      <c r="C43" s="374"/>
      <c r="D43" s="374" t="s">
        <v>588</v>
      </c>
      <c r="E43" s="375"/>
      <c r="F43" s="374"/>
      <c r="G43" s="374"/>
      <c r="H43" s="374"/>
      <c r="I43" s="374"/>
      <c r="J43" s="382"/>
      <c r="K43" s="382">
        <f>SUMIF(A6:A42,"NL",K6:K42)</f>
        <v>77695465.961403042</v>
      </c>
      <c r="L43" s="382"/>
      <c r="M43" s="382">
        <f>SUMIF(A6:A42,"NL",M6:M42)</f>
        <v>174636725.44835502</v>
      </c>
      <c r="N43" s="382"/>
      <c r="O43" s="382">
        <f>SUMIF(A6:A42,"NL",O6:O42)</f>
        <v>96941259.486951977</v>
      </c>
    </row>
  </sheetData>
  <mergeCells count="4">
    <mergeCell ref="A1:O1"/>
    <mergeCell ref="A2:O2"/>
    <mergeCell ref="A3:O3"/>
    <mergeCell ref="A4:O4"/>
  </mergeCells>
  <pageMargins left="0.75" right="0.75" top="0.79" bottom="0.79" header="0.3" footer="0.3"/>
  <pageSetup paperSize="9" orientation="landscape" useFirstPageNumber="1"/>
  <headerFooter>
    <oddFooter>&amp;CTrang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5"/>
  </sheetPr>
  <dimension ref="A1:O54"/>
  <sheetViews>
    <sheetView showZeros="0" topLeftCell="B1" workbookViewId="0">
      <selection activeCell="G14" sqref="G14"/>
    </sheetView>
  </sheetViews>
  <sheetFormatPr defaultColWidth="9.44140625" defaultRowHeight="14.4"/>
  <cols>
    <col min="1" max="1" width="9.44140625" hidden="1" customWidth="1"/>
    <col min="2" max="2" width="4.44140625" customWidth="1"/>
    <col min="3" max="3" width="8" customWidth="1"/>
    <col min="4" max="4" width="31.77734375" customWidth="1"/>
    <col min="5" max="5" width="7.21875" customWidth="1"/>
    <col min="6" max="6" width="8.44140625" customWidth="1"/>
    <col min="7" max="7" width="9.44140625" customWidth="1"/>
    <col min="8" max="8" width="7.44140625" customWidth="1"/>
    <col min="9" max="9" width="9.44140625" customWidth="1"/>
    <col min="10" max="10" width="7.44140625" customWidth="1"/>
    <col min="11" max="11" width="10.44140625" customWidth="1"/>
    <col min="12" max="12" width="8.44140625" customWidth="1"/>
    <col min="13" max="15" width="10.77734375" customWidth="1"/>
  </cols>
  <sheetData>
    <row r="1" spans="1:15" ht="17.399999999999999">
      <c r="A1" s="940" t="s">
        <v>1006</v>
      </c>
      <c r="B1" s="940"/>
      <c r="C1" s="940"/>
      <c r="D1" s="940"/>
      <c r="E1" s="940"/>
      <c r="F1" s="940"/>
      <c r="G1" s="940"/>
      <c r="H1" s="940"/>
      <c r="I1" s="940"/>
      <c r="J1" s="940"/>
      <c r="K1" s="940"/>
      <c r="L1" s="940"/>
      <c r="M1" s="940"/>
      <c r="N1" s="940"/>
      <c r="O1" s="940"/>
    </row>
    <row r="2" spans="1:15" ht="15.6">
      <c r="A2" s="978" t="s">
        <v>762</v>
      </c>
      <c r="B2" s="978"/>
      <c r="C2" s="978"/>
      <c r="D2" s="978"/>
      <c r="E2" s="978"/>
      <c r="F2" s="978"/>
      <c r="G2" s="978"/>
      <c r="H2" s="978"/>
      <c r="I2" s="978"/>
      <c r="J2" s="978"/>
      <c r="K2" s="978"/>
      <c r="L2" s="978"/>
      <c r="M2" s="978"/>
      <c r="N2" s="978"/>
      <c r="O2" s="978"/>
    </row>
    <row r="3" spans="1:15" ht="15.6">
      <c r="A3" s="978" t="s">
        <v>763</v>
      </c>
      <c r="B3" s="978"/>
      <c r="C3" s="978"/>
      <c r="D3" s="978"/>
      <c r="E3" s="978"/>
      <c r="F3" s="978"/>
      <c r="G3" s="978"/>
      <c r="H3" s="978"/>
      <c r="I3" s="978"/>
      <c r="J3" s="978"/>
      <c r="K3" s="978"/>
      <c r="L3" s="978"/>
      <c r="M3" s="978"/>
      <c r="N3" s="978"/>
      <c r="O3" s="978"/>
    </row>
    <row r="4" spans="1:15" ht="15.6">
      <c r="A4" s="978">
        <v>0</v>
      </c>
      <c r="B4" s="978"/>
      <c r="C4" s="978"/>
      <c r="D4" s="978"/>
      <c r="E4" s="978"/>
      <c r="F4" s="978"/>
      <c r="G4" s="978"/>
      <c r="H4" s="978"/>
      <c r="I4" s="978"/>
      <c r="J4" s="978"/>
      <c r="K4" s="978"/>
      <c r="L4" s="978"/>
      <c r="M4" s="978"/>
      <c r="N4" s="978"/>
      <c r="O4" s="978"/>
    </row>
    <row r="5" spans="1:15" ht="19.5" customHeight="1">
      <c r="A5" s="99" t="s">
        <v>997</v>
      </c>
      <c r="B5" s="99" t="s">
        <v>5</v>
      </c>
      <c r="C5" s="99" t="s">
        <v>592</v>
      </c>
      <c r="D5" s="99" t="s">
        <v>998</v>
      </c>
      <c r="E5" s="99" t="s">
        <v>594</v>
      </c>
      <c r="F5" s="99" t="s">
        <v>999</v>
      </c>
      <c r="G5" s="99" t="s">
        <v>595</v>
      </c>
      <c r="H5" s="99" t="s">
        <v>596</v>
      </c>
      <c r="I5" s="99" t="s">
        <v>756</v>
      </c>
      <c r="J5" s="99" t="s">
        <v>687</v>
      </c>
      <c r="K5" s="99" t="s">
        <v>261</v>
      </c>
      <c r="L5" s="99" t="s">
        <v>697</v>
      </c>
      <c r="M5" s="99" t="s">
        <v>261</v>
      </c>
      <c r="N5" s="99" t="s">
        <v>757</v>
      </c>
      <c r="O5" s="99" t="s">
        <v>261</v>
      </c>
    </row>
    <row r="6" spans="1:15">
      <c r="A6" s="83"/>
      <c r="B6" s="84">
        <v>1</v>
      </c>
      <c r="C6" s="83" t="s">
        <v>979</v>
      </c>
      <c r="D6" s="83" t="s">
        <v>1007</v>
      </c>
      <c r="E6" s="84" t="s">
        <v>895</v>
      </c>
      <c r="F6" s="208"/>
      <c r="G6" s="208"/>
      <c r="H6" s="208">
        <v>1</v>
      </c>
      <c r="I6" s="208">
        <f>SUM(I7:I15)</f>
        <v>298.11699287530973</v>
      </c>
      <c r="J6" s="377">
        <v>0</v>
      </c>
      <c r="K6" s="377">
        <f>I6*J6</f>
        <v>0</v>
      </c>
      <c r="L6" s="377">
        <v>228618</v>
      </c>
      <c r="M6" s="377">
        <f>I6*L6</f>
        <v>68154910.677167565</v>
      </c>
      <c r="N6" s="377">
        <f>L6-J6</f>
        <v>228618</v>
      </c>
      <c r="O6" s="377">
        <f>I6*N6</f>
        <v>68154910.677167565</v>
      </c>
    </row>
    <row r="7" spans="1:15">
      <c r="A7" s="368"/>
      <c r="B7" s="369"/>
      <c r="C7" s="368" t="s">
        <v>637</v>
      </c>
      <c r="D7" s="368" t="s">
        <v>929</v>
      </c>
      <c r="E7" s="369" t="s">
        <v>926</v>
      </c>
      <c r="F7" s="370">
        <v>5.3663400000000001</v>
      </c>
      <c r="G7" s="370">
        <v>1</v>
      </c>
      <c r="H7" s="370"/>
      <c r="I7" s="370">
        <f>F7*G7*H6</f>
        <v>5.3663400000000001</v>
      </c>
      <c r="J7" s="378"/>
      <c r="K7" s="378"/>
      <c r="L7" s="378"/>
      <c r="M7" s="378"/>
      <c r="N7" s="378"/>
      <c r="O7" s="378"/>
    </row>
    <row r="8" spans="1:15">
      <c r="A8" s="368"/>
      <c r="B8" s="369"/>
      <c r="C8" s="368" t="s">
        <v>633</v>
      </c>
      <c r="D8" s="368" t="s">
        <v>930</v>
      </c>
      <c r="E8" s="369" t="s">
        <v>926</v>
      </c>
      <c r="F8" s="370">
        <v>26.891404000000001</v>
      </c>
      <c r="G8" s="370">
        <v>1</v>
      </c>
      <c r="H8" s="370"/>
      <c r="I8" s="370">
        <f>F8*G8*H6</f>
        <v>26.891404000000001</v>
      </c>
      <c r="J8" s="378"/>
      <c r="K8" s="378"/>
      <c r="L8" s="378"/>
      <c r="M8" s="378"/>
      <c r="N8" s="378"/>
      <c r="O8" s="378"/>
    </row>
    <row r="9" spans="1:15">
      <c r="A9" s="368"/>
      <c r="B9" s="369"/>
      <c r="C9" s="368" t="s">
        <v>624</v>
      </c>
      <c r="D9" s="368" t="s">
        <v>931</v>
      </c>
      <c r="E9" s="369" t="s">
        <v>926</v>
      </c>
      <c r="F9" s="370">
        <v>81.239199999999997</v>
      </c>
      <c r="G9" s="370">
        <v>1</v>
      </c>
      <c r="H9" s="370"/>
      <c r="I9" s="370">
        <f>F9*G9*H6</f>
        <v>81.239199999999997</v>
      </c>
      <c r="J9" s="378"/>
      <c r="K9" s="378"/>
      <c r="L9" s="378"/>
      <c r="M9" s="378"/>
      <c r="N9" s="378"/>
      <c r="O9" s="378"/>
    </row>
    <row r="10" spans="1:15">
      <c r="A10" s="368"/>
      <c r="B10" s="369"/>
      <c r="C10" s="368" t="s">
        <v>676</v>
      </c>
      <c r="D10" s="368" t="s">
        <v>932</v>
      </c>
      <c r="E10" s="369" t="s">
        <v>926</v>
      </c>
      <c r="F10" s="370">
        <v>1.410318</v>
      </c>
      <c r="G10" s="370">
        <v>1</v>
      </c>
      <c r="H10" s="370"/>
      <c r="I10" s="370">
        <f>F10*G10*H6</f>
        <v>1.410318</v>
      </c>
      <c r="J10" s="378"/>
      <c r="K10" s="378"/>
      <c r="L10" s="378"/>
      <c r="M10" s="378"/>
      <c r="N10" s="378"/>
      <c r="O10" s="378"/>
    </row>
    <row r="11" spans="1:15">
      <c r="A11" s="368"/>
      <c r="B11" s="369"/>
      <c r="C11" s="368" t="s">
        <v>625</v>
      </c>
      <c r="D11" s="368" t="s">
        <v>933</v>
      </c>
      <c r="E11" s="369" t="s">
        <v>926</v>
      </c>
      <c r="F11" s="370">
        <v>83.788690000000003</v>
      </c>
      <c r="G11" s="370">
        <v>1</v>
      </c>
      <c r="H11" s="370"/>
      <c r="I11" s="370">
        <f>F11*G11*H6</f>
        <v>83.788690000000003</v>
      </c>
      <c r="J11" s="378"/>
      <c r="K11" s="378"/>
      <c r="L11" s="378"/>
      <c r="M11" s="378"/>
      <c r="N11" s="378"/>
      <c r="O11" s="378"/>
    </row>
    <row r="12" spans="1:15">
      <c r="A12" s="368"/>
      <c r="B12" s="369"/>
      <c r="C12" s="368" t="s">
        <v>606</v>
      </c>
      <c r="D12" s="368" t="s">
        <v>943</v>
      </c>
      <c r="E12" s="369" t="s">
        <v>926</v>
      </c>
      <c r="F12" s="370">
        <v>6.6687608753097303</v>
      </c>
      <c r="G12" s="370">
        <v>1</v>
      </c>
      <c r="H12" s="370"/>
      <c r="I12" s="370">
        <f>F12*G12*H6</f>
        <v>6.6687608753097303</v>
      </c>
      <c r="J12" s="378"/>
      <c r="K12" s="378"/>
      <c r="L12" s="378"/>
      <c r="M12" s="378"/>
      <c r="N12" s="378"/>
      <c r="O12" s="378"/>
    </row>
    <row r="13" spans="1:15">
      <c r="A13" s="368"/>
      <c r="B13" s="369"/>
      <c r="C13" s="368" t="s">
        <v>623</v>
      </c>
      <c r="D13" s="368" t="s">
        <v>945</v>
      </c>
      <c r="E13" s="369" t="s">
        <v>926</v>
      </c>
      <c r="F13" s="370">
        <v>89.856700000000004</v>
      </c>
      <c r="G13" s="370">
        <v>1</v>
      </c>
      <c r="H13" s="370"/>
      <c r="I13" s="370">
        <f>F13*G13*H6</f>
        <v>89.856700000000004</v>
      </c>
      <c r="J13" s="378"/>
      <c r="K13" s="378"/>
      <c r="L13" s="378"/>
      <c r="M13" s="378"/>
      <c r="N13" s="378"/>
      <c r="O13" s="378"/>
    </row>
    <row r="14" spans="1:15">
      <c r="A14" s="368"/>
      <c r="B14" s="369"/>
      <c r="C14" s="368" t="s">
        <v>657</v>
      </c>
      <c r="D14" s="368" t="s">
        <v>946</v>
      </c>
      <c r="E14" s="369" t="s">
        <v>926</v>
      </c>
      <c r="F14" s="370">
        <v>2.8955799999999998</v>
      </c>
      <c r="G14" s="370">
        <v>1</v>
      </c>
      <c r="H14" s="370"/>
      <c r="I14" s="370">
        <f>F14*G14*H6</f>
        <v>2.8955799999999998</v>
      </c>
      <c r="J14" s="378"/>
      <c r="K14" s="378"/>
      <c r="L14" s="378"/>
      <c r="M14" s="378"/>
      <c r="N14" s="378"/>
      <c r="O14" s="378"/>
    </row>
    <row r="15" spans="1:15">
      <c r="A15" s="368"/>
      <c r="B15" s="369"/>
      <c r="C15" s="368" t="s">
        <v>641</v>
      </c>
      <c r="D15" s="368" t="s">
        <v>958</v>
      </c>
      <c r="E15" s="369" t="s">
        <v>926</v>
      </c>
      <c r="F15" s="370">
        <v>0</v>
      </c>
      <c r="G15" s="370">
        <v>1</v>
      </c>
      <c r="H15" s="370"/>
      <c r="I15" s="370">
        <f>F15*G15*H6</f>
        <v>0</v>
      </c>
      <c r="J15" s="378"/>
      <c r="K15" s="378"/>
      <c r="L15" s="378"/>
      <c r="M15" s="378"/>
      <c r="N15" s="378"/>
      <c r="O15" s="378"/>
    </row>
    <row r="16" spans="1:15">
      <c r="A16" s="91"/>
      <c r="B16" s="92">
        <v>2</v>
      </c>
      <c r="C16" s="91" t="s">
        <v>973</v>
      </c>
      <c r="D16" s="91" t="s">
        <v>1008</v>
      </c>
      <c r="E16" s="92" t="s">
        <v>895</v>
      </c>
      <c r="F16" s="212"/>
      <c r="G16" s="212"/>
      <c r="H16" s="212">
        <v>1</v>
      </c>
      <c r="I16" s="212">
        <f>SUM(I17:I35)</f>
        <v>129.82298224929204</v>
      </c>
      <c r="J16" s="379">
        <v>0</v>
      </c>
      <c r="K16" s="379">
        <f>I16*J16</f>
        <v>0</v>
      </c>
      <c r="L16" s="379">
        <v>271382</v>
      </c>
      <c r="M16" s="379">
        <f>I16*L16</f>
        <v>35231620.568777375</v>
      </c>
      <c r="N16" s="379">
        <f>L16-J16</f>
        <v>271382</v>
      </c>
      <c r="O16" s="379">
        <f>I16*N16</f>
        <v>35231620.568777375</v>
      </c>
    </row>
    <row r="17" spans="1:15">
      <c r="A17" s="368"/>
      <c r="B17" s="369"/>
      <c r="C17" s="368" t="s">
        <v>665</v>
      </c>
      <c r="D17" s="368" t="s">
        <v>927</v>
      </c>
      <c r="E17" s="369" t="s">
        <v>926</v>
      </c>
      <c r="F17" s="370">
        <v>2.7410000000000001</v>
      </c>
      <c r="G17" s="370">
        <v>1</v>
      </c>
      <c r="H17" s="370"/>
      <c r="I17" s="370">
        <f>F17*G17*H16</f>
        <v>2.7410000000000001</v>
      </c>
      <c r="J17" s="378"/>
      <c r="K17" s="378"/>
      <c r="L17" s="378"/>
      <c r="M17" s="378"/>
      <c r="N17" s="378"/>
      <c r="O17" s="378"/>
    </row>
    <row r="18" spans="1:15">
      <c r="A18" s="368"/>
      <c r="B18" s="369"/>
      <c r="C18" s="368" t="s">
        <v>660</v>
      </c>
      <c r="D18" s="368" t="s">
        <v>928</v>
      </c>
      <c r="E18" s="369" t="s">
        <v>926</v>
      </c>
      <c r="F18" s="370">
        <v>0.30149999999999999</v>
      </c>
      <c r="G18" s="370">
        <v>1</v>
      </c>
      <c r="H18" s="370"/>
      <c r="I18" s="370">
        <f>F18*G18*H16</f>
        <v>0.30149999999999999</v>
      </c>
      <c r="J18" s="378"/>
      <c r="K18" s="378"/>
      <c r="L18" s="378"/>
      <c r="M18" s="378"/>
      <c r="N18" s="378"/>
      <c r="O18" s="378"/>
    </row>
    <row r="19" spans="1:15">
      <c r="A19" s="368"/>
      <c r="B19" s="369"/>
      <c r="C19" s="368" t="s">
        <v>675</v>
      </c>
      <c r="D19" s="368" t="s">
        <v>934</v>
      </c>
      <c r="E19" s="369" t="s">
        <v>926</v>
      </c>
      <c r="F19" s="370">
        <v>0.4028023</v>
      </c>
      <c r="G19" s="370">
        <v>1</v>
      </c>
      <c r="H19" s="370"/>
      <c r="I19" s="370">
        <f>F19*G19*H16</f>
        <v>0.4028023</v>
      </c>
      <c r="J19" s="378"/>
      <c r="K19" s="378"/>
      <c r="L19" s="378"/>
      <c r="M19" s="378"/>
      <c r="N19" s="378"/>
      <c r="O19" s="378"/>
    </row>
    <row r="20" spans="1:15">
      <c r="A20" s="368"/>
      <c r="B20" s="369"/>
      <c r="C20" s="368" t="s">
        <v>599</v>
      </c>
      <c r="D20" s="368" t="s">
        <v>935</v>
      </c>
      <c r="E20" s="369" t="s">
        <v>926</v>
      </c>
      <c r="F20" s="370">
        <v>7.4720200999999999</v>
      </c>
      <c r="G20" s="370">
        <v>1</v>
      </c>
      <c r="H20" s="370"/>
      <c r="I20" s="370">
        <f>F20*G20*H16</f>
        <v>7.4720200999999999</v>
      </c>
      <c r="J20" s="378"/>
      <c r="K20" s="378"/>
      <c r="L20" s="378"/>
      <c r="M20" s="378"/>
      <c r="N20" s="378"/>
      <c r="O20" s="378"/>
    </row>
    <row r="21" spans="1:15">
      <c r="A21" s="368"/>
      <c r="B21" s="369"/>
      <c r="C21" s="368" t="s">
        <v>602</v>
      </c>
      <c r="D21" s="368" t="s">
        <v>936</v>
      </c>
      <c r="E21" s="369" t="s">
        <v>926</v>
      </c>
      <c r="F21" s="370">
        <v>1.1381604999999999</v>
      </c>
      <c r="G21" s="370">
        <v>1</v>
      </c>
      <c r="H21" s="370"/>
      <c r="I21" s="370">
        <f>F21*G21*H16</f>
        <v>1.1381604999999999</v>
      </c>
      <c r="J21" s="378"/>
      <c r="K21" s="378"/>
      <c r="L21" s="378"/>
      <c r="M21" s="378"/>
      <c r="N21" s="378"/>
      <c r="O21" s="378"/>
    </row>
    <row r="22" spans="1:15">
      <c r="A22" s="368"/>
      <c r="B22" s="369"/>
      <c r="C22" s="368" t="s">
        <v>630</v>
      </c>
      <c r="D22" s="368" t="s">
        <v>937</v>
      </c>
      <c r="E22" s="369" t="s">
        <v>926</v>
      </c>
      <c r="F22" s="370">
        <v>3.217158</v>
      </c>
      <c r="G22" s="370">
        <v>1</v>
      </c>
      <c r="H22" s="370"/>
      <c r="I22" s="370">
        <f>F22*G22*H16</f>
        <v>3.217158</v>
      </c>
      <c r="J22" s="378"/>
      <c r="K22" s="378"/>
      <c r="L22" s="378"/>
      <c r="M22" s="378"/>
      <c r="N22" s="378"/>
      <c r="O22" s="378"/>
    </row>
    <row r="23" spans="1:15">
      <c r="A23" s="368"/>
      <c r="B23" s="369"/>
      <c r="C23" s="368" t="s">
        <v>609</v>
      </c>
      <c r="D23" s="368" t="s">
        <v>938</v>
      </c>
      <c r="E23" s="369" t="s">
        <v>926</v>
      </c>
      <c r="F23" s="370">
        <v>15.215276483716799</v>
      </c>
      <c r="G23" s="370">
        <v>1</v>
      </c>
      <c r="H23" s="370"/>
      <c r="I23" s="370">
        <f>F23*G23*H16</f>
        <v>15.215276483716799</v>
      </c>
      <c r="J23" s="378"/>
      <c r="K23" s="378"/>
      <c r="L23" s="378"/>
      <c r="M23" s="378"/>
      <c r="N23" s="378"/>
      <c r="O23" s="378"/>
    </row>
    <row r="24" spans="1:15">
      <c r="A24" s="368"/>
      <c r="B24" s="369"/>
      <c r="C24" s="368" t="s">
        <v>607</v>
      </c>
      <c r="D24" s="368" t="s">
        <v>939</v>
      </c>
      <c r="E24" s="369" t="s">
        <v>926</v>
      </c>
      <c r="F24" s="370">
        <v>10.161921333805299</v>
      </c>
      <c r="G24" s="370">
        <v>1</v>
      </c>
      <c r="H24" s="370"/>
      <c r="I24" s="370">
        <f>F24*G24*H16</f>
        <v>10.161921333805299</v>
      </c>
      <c r="J24" s="378"/>
      <c r="K24" s="378"/>
      <c r="L24" s="378"/>
      <c r="M24" s="378"/>
      <c r="N24" s="378"/>
      <c r="O24" s="378"/>
    </row>
    <row r="25" spans="1:15">
      <c r="A25" s="368"/>
      <c r="B25" s="369"/>
      <c r="C25" s="368" t="s">
        <v>674</v>
      </c>
      <c r="D25" s="368" t="s">
        <v>940</v>
      </c>
      <c r="E25" s="369" t="s">
        <v>926</v>
      </c>
      <c r="F25" s="370">
        <v>0.7893</v>
      </c>
      <c r="G25" s="370">
        <v>1</v>
      </c>
      <c r="H25" s="370"/>
      <c r="I25" s="370">
        <f>F25*G25*H16</f>
        <v>0.7893</v>
      </c>
      <c r="J25" s="378"/>
      <c r="K25" s="378"/>
      <c r="L25" s="378"/>
      <c r="M25" s="378"/>
      <c r="N25" s="378"/>
      <c r="O25" s="378"/>
    </row>
    <row r="26" spans="1:15">
      <c r="A26" s="368"/>
      <c r="B26" s="369"/>
      <c r="C26" s="368" t="s">
        <v>634</v>
      </c>
      <c r="D26" s="368" t="s">
        <v>941</v>
      </c>
      <c r="E26" s="369" t="s">
        <v>926</v>
      </c>
      <c r="F26" s="370">
        <v>14.329356600000001</v>
      </c>
      <c r="G26" s="370">
        <v>1</v>
      </c>
      <c r="H26" s="370"/>
      <c r="I26" s="370">
        <f>F26*G26*H16</f>
        <v>14.329356600000001</v>
      </c>
      <c r="J26" s="378"/>
      <c r="K26" s="378"/>
      <c r="L26" s="378"/>
      <c r="M26" s="378"/>
      <c r="N26" s="378"/>
      <c r="O26" s="378"/>
    </row>
    <row r="27" spans="1:15">
      <c r="A27" s="368"/>
      <c r="B27" s="369"/>
      <c r="C27" s="368" t="s">
        <v>600</v>
      </c>
      <c r="D27" s="368" t="s">
        <v>947</v>
      </c>
      <c r="E27" s="369" t="s">
        <v>926</v>
      </c>
      <c r="F27" s="370">
        <v>3.56350162292035</v>
      </c>
      <c r="G27" s="370">
        <v>1</v>
      </c>
      <c r="H27" s="370"/>
      <c r="I27" s="370">
        <f>F27*G27*H16</f>
        <v>3.56350162292035</v>
      </c>
      <c r="J27" s="378"/>
      <c r="K27" s="378"/>
      <c r="L27" s="378"/>
      <c r="M27" s="378"/>
      <c r="N27" s="378"/>
      <c r="O27" s="378"/>
    </row>
    <row r="28" spans="1:15">
      <c r="A28" s="368"/>
      <c r="B28" s="369"/>
      <c r="C28" s="368" t="s">
        <v>603</v>
      </c>
      <c r="D28" s="368" t="s">
        <v>948</v>
      </c>
      <c r="E28" s="369" t="s">
        <v>926</v>
      </c>
      <c r="F28" s="370">
        <v>0</v>
      </c>
      <c r="G28" s="370">
        <v>1</v>
      </c>
      <c r="H28" s="370"/>
      <c r="I28" s="370">
        <f>F28*G28*H16</f>
        <v>0</v>
      </c>
      <c r="J28" s="378"/>
      <c r="K28" s="378"/>
      <c r="L28" s="378"/>
      <c r="M28" s="378"/>
      <c r="N28" s="378"/>
      <c r="O28" s="378"/>
    </row>
    <row r="29" spans="1:15">
      <c r="A29" s="368"/>
      <c r="B29" s="369"/>
      <c r="C29" s="368" t="s">
        <v>640</v>
      </c>
      <c r="D29" s="368" t="s">
        <v>951</v>
      </c>
      <c r="E29" s="369" t="s">
        <v>926</v>
      </c>
      <c r="F29" s="370">
        <v>6.3154728000000002</v>
      </c>
      <c r="G29" s="370">
        <v>1</v>
      </c>
      <c r="H29" s="370"/>
      <c r="I29" s="370">
        <f>F29*G29*H16</f>
        <v>6.3154728000000002</v>
      </c>
      <c r="J29" s="378"/>
      <c r="K29" s="378"/>
      <c r="L29" s="378"/>
      <c r="M29" s="378"/>
      <c r="N29" s="378"/>
      <c r="O29" s="378"/>
    </row>
    <row r="30" spans="1:15">
      <c r="A30" s="368"/>
      <c r="B30" s="369"/>
      <c r="C30" s="368" t="s">
        <v>643</v>
      </c>
      <c r="D30" s="368" t="s">
        <v>952</v>
      </c>
      <c r="E30" s="369" t="s">
        <v>926</v>
      </c>
      <c r="F30" s="370">
        <v>9.0833651999999994</v>
      </c>
      <c r="G30" s="370">
        <v>1</v>
      </c>
      <c r="H30" s="370"/>
      <c r="I30" s="370">
        <f>F30*G30*H16</f>
        <v>9.0833651999999994</v>
      </c>
      <c r="J30" s="378"/>
      <c r="K30" s="378"/>
      <c r="L30" s="378"/>
      <c r="M30" s="378"/>
      <c r="N30" s="378"/>
      <c r="O30" s="378"/>
    </row>
    <row r="31" spans="1:15">
      <c r="A31" s="368"/>
      <c r="B31" s="369"/>
      <c r="C31" s="368" t="s">
        <v>608</v>
      </c>
      <c r="D31" s="368" t="s">
        <v>953</v>
      </c>
      <c r="E31" s="369" t="s">
        <v>926</v>
      </c>
      <c r="F31" s="370">
        <v>13.050023300176999</v>
      </c>
      <c r="G31" s="370">
        <v>1</v>
      </c>
      <c r="H31" s="370"/>
      <c r="I31" s="370">
        <f>F31*G31*H16</f>
        <v>13.050023300176999</v>
      </c>
      <c r="J31" s="378"/>
      <c r="K31" s="378"/>
      <c r="L31" s="378"/>
      <c r="M31" s="378"/>
      <c r="N31" s="378"/>
      <c r="O31" s="378"/>
    </row>
    <row r="32" spans="1:15">
      <c r="A32" s="368"/>
      <c r="B32" s="369"/>
      <c r="C32" s="368" t="s">
        <v>651</v>
      </c>
      <c r="D32" s="368" t="s">
        <v>954</v>
      </c>
      <c r="E32" s="369" t="s">
        <v>926</v>
      </c>
      <c r="F32" s="370">
        <v>27.9387942</v>
      </c>
      <c r="G32" s="370">
        <v>1</v>
      </c>
      <c r="H32" s="370"/>
      <c r="I32" s="370">
        <f>F32*G32*H16</f>
        <v>27.9387942</v>
      </c>
      <c r="J32" s="378"/>
      <c r="K32" s="378"/>
      <c r="L32" s="378"/>
      <c r="M32" s="378"/>
      <c r="N32" s="378"/>
      <c r="O32" s="378"/>
    </row>
    <row r="33" spans="1:15">
      <c r="A33" s="368"/>
      <c r="B33" s="369"/>
      <c r="C33" s="368" t="s">
        <v>638</v>
      </c>
      <c r="D33" s="368" t="s">
        <v>956</v>
      </c>
      <c r="E33" s="369" t="s">
        <v>926</v>
      </c>
      <c r="F33" s="370">
        <v>3.57864906</v>
      </c>
      <c r="G33" s="370">
        <v>1</v>
      </c>
      <c r="H33" s="370"/>
      <c r="I33" s="370">
        <f>F33*G33*H16</f>
        <v>3.57864906</v>
      </c>
      <c r="J33" s="378"/>
      <c r="K33" s="378"/>
      <c r="L33" s="378"/>
      <c r="M33" s="378"/>
      <c r="N33" s="378"/>
      <c r="O33" s="378"/>
    </row>
    <row r="34" spans="1:15">
      <c r="A34" s="368"/>
      <c r="B34" s="369"/>
      <c r="C34" s="368" t="s">
        <v>613</v>
      </c>
      <c r="D34" s="368" t="s">
        <v>957</v>
      </c>
      <c r="E34" s="369" t="s">
        <v>926</v>
      </c>
      <c r="F34" s="370">
        <v>1.53877654867257</v>
      </c>
      <c r="G34" s="370">
        <v>1</v>
      </c>
      <c r="H34" s="370"/>
      <c r="I34" s="370">
        <f>F34*G34*H16</f>
        <v>1.53877654867257</v>
      </c>
      <c r="J34" s="378"/>
      <c r="K34" s="378"/>
      <c r="L34" s="378"/>
      <c r="M34" s="378"/>
      <c r="N34" s="378"/>
      <c r="O34" s="378"/>
    </row>
    <row r="35" spans="1:15">
      <c r="A35" s="368"/>
      <c r="B35" s="369"/>
      <c r="C35" s="368" t="s">
        <v>644</v>
      </c>
      <c r="D35" s="368" t="s">
        <v>959</v>
      </c>
      <c r="E35" s="369" t="s">
        <v>926</v>
      </c>
      <c r="F35" s="370">
        <v>8.9859042000000002</v>
      </c>
      <c r="G35" s="370">
        <v>1</v>
      </c>
      <c r="H35" s="370"/>
      <c r="I35" s="370">
        <f>F35*G35*H16</f>
        <v>8.9859042000000002</v>
      </c>
      <c r="J35" s="378"/>
      <c r="K35" s="378"/>
      <c r="L35" s="378"/>
      <c r="M35" s="378"/>
      <c r="N35" s="378"/>
      <c r="O35" s="378"/>
    </row>
    <row r="36" spans="1:15">
      <c r="A36" s="91"/>
      <c r="B36" s="92">
        <v>3</v>
      </c>
      <c r="C36" s="91" t="s">
        <v>990</v>
      </c>
      <c r="D36" s="91" t="s">
        <v>1009</v>
      </c>
      <c r="E36" s="92" t="s">
        <v>895</v>
      </c>
      <c r="F36" s="212"/>
      <c r="G36" s="212"/>
      <c r="H36" s="212">
        <v>1</v>
      </c>
      <c r="I36" s="212">
        <f>SUM(I37:I39)</f>
        <v>9.8459894753097306</v>
      </c>
      <c r="J36" s="379">
        <v>0</v>
      </c>
      <c r="K36" s="379">
        <f>I36*J36</f>
        <v>0</v>
      </c>
      <c r="L36" s="379">
        <v>319079</v>
      </c>
      <c r="M36" s="379">
        <f>I36*L36</f>
        <v>3141648.4757923535</v>
      </c>
      <c r="N36" s="379">
        <f>L36-J36</f>
        <v>319079</v>
      </c>
      <c r="O36" s="379">
        <f>I36*N36</f>
        <v>3141648.4757923535</v>
      </c>
    </row>
    <row r="37" spans="1:15">
      <c r="A37" s="368"/>
      <c r="B37" s="369"/>
      <c r="C37" s="368" t="s">
        <v>606</v>
      </c>
      <c r="D37" s="368" t="s">
        <v>943</v>
      </c>
      <c r="E37" s="369" t="s">
        <v>926</v>
      </c>
      <c r="F37" s="370">
        <v>6.6687608753097303</v>
      </c>
      <c r="G37" s="370">
        <v>1</v>
      </c>
      <c r="H37" s="370"/>
      <c r="I37" s="370">
        <f>F37*G37*H36</f>
        <v>6.6687608753097303</v>
      </c>
      <c r="J37" s="378"/>
      <c r="K37" s="378"/>
      <c r="L37" s="378"/>
      <c r="M37" s="378"/>
      <c r="N37" s="378"/>
      <c r="O37" s="378"/>
    </row>
    <row r="38" spans="1:15">
      <c r="A38" s="368"/>
      <c r="B38" s="369"/>
      <c r="C38" s="368" t="s">
        <v>645</v>
      </c>
      <c r="D38" s="368" t="s">
        <v>944</v>
      </c>
      <c r="E38" s="369" t="s">
        <v>926</v>
      </c>
      <c r="F38" s="370">
        <v>3.1772285999999998</v>
      </c>
      <c r="G38" s="370">
        <v>1</v>
      </c>
      <c r="H38" s="370"/>
      <c r="I38" s="370">
        <f>F38*G38*H36</f>
        <v>3.1772285999999998</v>
      </c>
      <c r="J38" s="378"/>
      <c r="K38" s="378"/>
      <c r="L38" s="378"/>
      <c r="M38" s="378"/>
      <c r="N38" s="378"/>
      <c r="O38" s="378"/>
    </row>
    <row r="39" spans="1:15">
      <c r="A39" s="368"/>
      <c r="B39" s="369"/>
      <c r="C39" s="368" t="s">
        <v>641</v>
      </c>
      <c r="D39" s="368" t="s">
        <v>958</v>
      </c>
      <c r="E39" s="369" t="s">
        <v>926</v>
      </c>
      <c r="F39" s="370">
        <v>0</v>
      </c>
      <c r="G39" s="370">
        <v>1</v>
      </c>
      <c r="H39" s="370"/>
      <c r="I39" s="370">
        <f>F39*G39*H36</f>
        <v>0</v>
      </c>
      <c r="J39" s="378"/>
      <c r="K39" s="378"/>
      <c r="L39" s="378"/>
      <c r="M39" s="378"/>
      <c r="N39" s="378"/>
      <c r="O39" s="378"/>
    </row>
    <row r="40" spans="1:15">
      <c r="A40" s="91"/>
      <c r="B40" s="92">
        <v>4</v>
      </c>
      <c r="C40" s="91" t="s">
        <v>975</v>
      </c>
      <c r="D40" s="91" t="s">
        <v>1010</v>
      </c>
      <c r="E40" s="92" t="s">
        <v>895</v>
      </c>
      <c r="F40" s="212"/>
      <c r="G40" s="212"/>
      <c r="H40" s="212">
        <v>1</v>
      </c>
      <c r="I40" s="212">
        <f>SUM(I41:I42)</f>
        <v>3.0425</v>
      </c>
      <c r="J40" s="379">
        <v>0</v>
      </c>
      <c r="K40" s="379">
        <f>I40*J40</f>
        <v>0</v>
      </c>
      <c r="L40" s="379">
        <v>378289</v>
      </c>
      <c r="M40" s="379">
        <f>I40*L40</f>
        <v>1150944.2825</v>
      </c>
      <c r="N40" s="379">
        <f>L40-J40</f>
        <v>378289</v>
      </c>
      <c r="O40" s="379">
        <f>I40*N40</f>
        <v>1150944.2825</v>
      </c>
    </row>
    <row r="41" spans="1:15">
      <c r="A41" s="368"/>
      <c r="B41" s="369"/>
      <c r="C41" s="368" t="s">
        <v>665</v>
      </c>
      <c r="D41" s="368" t="s">
        <v>927</v>
      </c>
      <c r="E41" s="369" t="s">
        <v>926</v>
      </c>
      <c r="F41" s="370">
        <v>2.7410000000000001</v>
      </c>
      <c r="G41" s="370">
        <v>1</v>
      </c>
      <c r="H41" s="370"/>
      <c r="I41" s="370">
        <f>F41*G41*H40</f>
        <v>2.7410000000000001</v>
      </c>
      <c r="J41" s="378"/>
      <c r="K41" s="378"/>
      <c r="L41" s="378"/>
      <c r="M41" s="378"/>
      <c r="N41" s="378"/>
      <c r="O41" s="378"/>
    </row>
    <row r="42" spans="1:15">
      <c r="A42" s="368"/>
      <c r="B42" s="369"/>
      <c r="C42" s="368" t="s">
        <v>660</v>
      </c>
      <c r="D42" s="368" t="s">
        <v>928</v>
      </c>
      <c r="E42" s="369" t="s">
        <v>926</v>
      </c>
      <c r="F42" s="370">
        <v>0.30149999999999999</v>
      </c>
      <c r="G42" s="370">
        <v>1</v>
      </c>
      <c r="H42" s="370"/>
      <c r="I42" s="370">
        <f>F42*G42*H40</f>
        <v>0.30149999999999999</v>
      </c>
      <c r="J42" s="378"/>
      <c r="K42" s="378"/>
      <c r="L42" s="378"/>
      <c r="M42" s="378"/>
      <c r="N42" s="378"/>
      <c r="O42" s="378"/>
    </row>
    <row r="43" spans="1:15">
      <c r="A43" s="91"/>
      <c r="B43" s="92">
        <v>5</v>
      </c>
      <c r="C43" s="91" t="s">
        <v>994</v>
      </c>
      <c r="D43" s="91" t="s">
        <v>1011</v>
      </c>
      <c r="E43" s="92" t="s">
        <v>895</v>
      </c>
      <c r="F43" s="212"/>
      <c r="G43" s="212"/>
      <c r="H43" s="212">
        <v>1</v>
      </c>
      <c r="I43" s="212">
        <f>SUM(I44:I44)</f>
        <v>6.3154728000000002</v>
      </c>
      <c r="J43" s="379">
        <v>0</v>
      </c>
      <c r="K43" s="379">
        <f>I43*J43</f>
        <v>0</v>
      </c>
      <c r="L43" s="379">
        <v>445724</v>
      </c>
      <c r="M43" s="379">
        <f>I43*L43</f>
        <v>2814957.7983072</v>
      </c>
      <c r="N43" s="379">
        <f>L43-J43</f>
        <v>445724</v>
      </c>
      <c r="O43" s="379">
        <f>I43*N43</f>
        <v>2814957.7983072</v>
      </c>
    </row>
    <row r="44" spans="1:15">
      <c r="A44" s="368"/>
      <c r="B44" s="369"/>
      <c r="C44" s="368" t="s">
        <v>640</v>
      </c>
      <c r="D44" s="368" t="s">
        <v>951</v>
      </c>
      <c r="E44" s="369" t="s">
        <v>926</v>
      </c>
      <c r="F44" s="370">
        <v>6.3154728000000002</v>
      </c>
      <c r="G44" s="370">
        <v>1</v>
      </c>
      <c r="H44" s="370"/>
      <c r="I44" s="370">
        <f>F44*G44*H43</f>
        <v>6.3154728000000002</v>
      </c>
      <c r="J44" s="378"/>
      <c r="K44" s="378"/>
      <c r="L44" s="378"/>
      <c r="M44" s="378"/>
      <c r="N44" s="378"/>
      <c r="O44" s="378"/>
    </row>
    <row r="45" spans="1:15">
      <c r="A45" s="91"/>
      <c r="B45" s="92">
        <v>6</v>
      </c>
      <c r="C45" s="91" t="s">
        <v>986</v>
      </c>
      <c r="D45" s="91" t="s">
        <v>1012</v>
      </c>
      <c r="E45" s="92" t="s">
        <v>895</v>
      </c>
      <c r="F45" s="212"/>
      <c r="G45" s="212"/>
      <c r="H45" s="212">
        <v>1</v>
      </c>
      <c r="I45" s="212">
        <f>SUM(I46:I46)</f>
        <v>21.008240600000001</v>
      </c>
      <c r="J45" s="379">
        <v>0</v>
      </c>
      <c r="K45" s="379">
        <f>I45*J45</f>
        <v>0</v>
      </c>
      <c r="L45" s="379">
        <v>211864</v>
      </c>
      <c r="M45" s="379">
        <f>I45*L45</f>
        <v>4450889.8864783999</v>
      </c>
      <c r="N45" s="379">
        <f>L45-J45</f>
        <v>211864</v>
      </c>
      <c r="O45" s="379">
        <f>I45*N45</f>
        <v>4450889.8864783999</v>
      </c>
    </row>
    <row r="46" spans="1:15">
      <c r="A46" s="368"/>
      <c r="B46" s="369"/>
      <c r="C46" s="368" t="s">
        <v>647</v>
      </c>
      <c r="D46" s="368" t="s">
        <v>942</v>
      </c>
      <c r="E46" s="369" t="s">
        <v>926</v>
      </c>
      <c r="F46" s="370">
        <v>21.008240600000001</v>
      </c>
      <c r="G46" s="370">
        <v>1</v>
      </c>
      <c r="H46" s="370"/>
      <c r="I46" s="370">
        <f>F46*G46*H45</f>
        <v>21.008240600000001</v>
      </c>
      <c r="J46" s="378"/>
      <c r="K46" s="378"/>
      <c r="L46" s="378"/>
      <c r="M46" s="378"/>
      <c r="N46" s="378"/>
      <c r="O46" s="378"/>
    </row>
    <row r="47" spans="1:15">
      <c r="A47" s="91"/>
      <c r="B47" s="92">
        <v>7</v>
      </c>
      <c r="C47" s="91" t="s">
        <v>992</v>
      </c>
      <c r="D47" s="91" t="s">
        <v>1013</v>
      </c>
      <c r="E47" s="92" t="s">
        <v>895</v>
      </c>
      <c r="F47" s="212"/>
      <c r="G47" s="212"/>
      <c r="H47" s="212">
        <v>1</v>
      </c>
      <c r="I47" s="212">
        <f>SUM(I48:I49)</f>
        <v>24.492312800000001</v>
      </c>
      <c r="J47" s="379">
        <v>0</v>
      </c>
      <c r="K47" s="379">
        <f>I47*J47</f>
        <v>0</v>
      </c>
      <c r="L47" s="379">
        <v>250000</v>
      </c>
      <c r="M47" s="379">
        <f>I47*L47</f>
        <v>6123078.2000000002</v>
      </c>
      <c r="N47" s="379">
        <f>L47-J47</f>
        <v>250000</v>
      </c>
      <c r="O47" s="379">
        <f>I47*N47</f>
        <v>6123078.2000000002</v>
      </c>
    </row>
    <row r="48" spans="1:15">
      <c r="A48" s="368"/>
      <c r="B48" s="369"/>
      <c r="C48" s="368" t="s">
        <v>683</v>
      </c>
      <c r="D48" s="368" t="s">
        <v>840</v>
      </c>
      <c r="E48" s="369" t="s">
        <v>926</v>
      </c>
      <c r="F48" s="370">
        <v>10.5229157</v>
      </c>
      <c r="G48" s="370">
        <v>1</v>
      </c>
      <c r="H48" s="370"/>
      <c r="I48" s="370">
        <f>F48*G48*H47</f>
        <v>10.5229157</v>
      </c>
      <c r="J48" s="378"/>
      <c r="K48" s="378"/>
      <c r="L48" s="378"/>
      <c r="M48" s="378"/>
      <c r="N48" s="378"/>
      <c r="O48" s="378"/>
    </row>
    <row r="49" spans="1:15">
      <c r="A49" s="368"/>
      <c r="B49" s="369"/>
      <c r="C49" s="368" t="s">
        <v>652</v>
      </c>
      <c r="D49" s="368" t="s">
        <v>949</v>
      </c>
      <c r="E49" s="369" t="s">
        <v>926</v>
      </c>
      <c r="F49" s="370">
        <v>13.9693971</v>
      </c>
      <c r="G49" s="370">
        <v>1</v>
      </c>
      <c r="H49" s="370"/>
      <c r="I49" s="370">
        <f>F49*G49*H47</f>
        <v>13.9693971</v>
      </c>
      <c r="J49" s="378"/>
      <c r="K49" s="378"/>
      <c r="L49" s="378"/>
      <c r="M49" s="378"/>
      <c r="N49" s="378"/>
      <c r="O49" s="378"/>
    </row>
    <row r="50" spans="1:15">
      <c r="A50" s="91"/>
      <c r="B50" s="92">
        <v>8</v>
      </c>
      <c r="C50" s="91" t="s">
        <v>988</v>
      </c>
      <c r="D50" s="91" t="s">
        <v>1014</v>
      </c>
      <c r="E50" s="92" t="s">
        <v>895</v>
      </c>
      <c r="F50" s="212"/>
      <c r="G50" s="212"/>
      <c r="H50" s="212">
        <v>1</v>
      </c>
      <c r="I50" s="212">
        <f>SUM(I51:I53)</f>
        <v>39.996071875309731</v>
      </c>
      <c r="J50" s="379">
        <v>0</v>
      </c>
      <c r="K50" s="379">
        <f>I50*J50</f>
        <v>0</v>
      </c>
      <c r="L50" s="379">
        <v>296610</v>
      </c>
      <c r="M50" s="379">
        <f>I50*L50</f>
        <v>11863234.87893562</v>
      </c>
      <c r="N50" s="379">
        <f>L50-J50</f>
        <v>296610</v>
      </c>
      <c r="O50" s="379">
        <f>I50*N50</f>
        <v>11863234.87893562</v>
      </c>
    </row>
    <row r="51" spans="1:15">
      <c r="A51" s="368"/>
      <c r="B51" s="369"/>
      <c r="C51" s="368" t="s">
        <v>647</v>
      </c>
      <c r="D51" s="368" t="s">
        <v>942</v>
      </c>
      <c r="E51" s="369" t="s">
        <v>926</v>
      </c>
      <c r="F51" s="370">
        <v>21.008240600000001</v>
      </c>
      <c r="G51" s="370">
        <v>1</v>
      </c>
      <c r="H51" s="370"/>
      <c r="I51" s="370">
        <f>F51*G51*H50</f>
        <v>21.008240600000001</v>
      </c>
      <c r="J51" s="378"/>
      <c r="K51" s="378"/>
      <c r="L51" s="378"/>
      <c r="M51" s="378"/>
      <c r="N51" s="378"/>
      <c r="O51" s="378"/>
    </row>
    <row r="52" spans="1:15">
      <c r="A52" s="368"/>
      <c r="B52" s="369"/>
      <c r="C52" s="368" t="s">
        <v>610</v>
      </c>
      <c r="D52" s="368" t="s">
        <v>950</v>
      </c>
      <c r="E52" s="369" t="s">
        <v>926</v>
      </c>
      <c r="F52" s="370">
        <v>6.6687608753097303</v>
      </c>
      <c r="G52" s="370">
        <v>1</v>
      </c>
      <c r="H52" s="370"/>
      <c r="I52" s="370">
        <f>F52*G52*H50</f>
        <v>6.6687608753097303</v>
      </c>
      <c r="J52" s="378"/>
      <c r="K52" s="378"/>
      <c r="L52" s="378"/>
      <c r="M52" s="378"/>
      <c r="N52" s="378"/>
      <c r="O52" s="378"/>
    </row>
    <row r="53" spans="1:15">
      <c r="A53" s="371"/>
      <c r="B53" s="372"/>
      <c r="C53" s="371" t="s">
        <v>642</v>
      </c>
      <c r="D53" s="371" t="s">
        <v>955</v>
      </c>
      <c r="E53" s="372" t="s">
        <v>926</v>
      </c>
      <c r="F53" s="373">
        <v>12.319070399999999</v>
      </c>
      <c r="G53" s="373">
        <v>1</v>
      </c>
      <c r="H53" s="373"/>
      <c r="I53" s="373">
        <f>F53*G53*H50</f>
        <v>12.319070399999999</v>
      </c>
      <c r="J53" s="380"/>
      <c r="K53" s="380"/>
      <c r="L53" s="380"/>
      <c r="M53" s="380"/>
      <c r="N53" s="380"/>
      <c r="O53" s="380"/>
    </row>
    <row r="54" spans="1:15">
      <c r="A54" s="374"/>
      <c r="B54" s="375"/>
      <c r="C54" s="374"/>
      <c r="D54" s="374" t="s">
        <v>588</v>
      </c>
      <c r="E54" s="375"/>
      <c r="F54" s="376"/>
      <c r="G54" s="376"/>
      <c r="H54" s="376"/>
      <c r="I54" s="376">
        <v>0</v>
      </c>
      <c r="J54" s="381"/>
      <c r="K54" s="381">
        <f>SUM(K6:K53)</f>
        <v>0</v>
      </c>
      <c r="L54" s="381"/>
      <c r="M54" s="381">
        <f>SUM(M6:M53)</f>
        <v>132931284.76795851</v>
      </c>
      <c r="N54" s="381"/>
      <c r="O54" s="381">
        <f>SUM(O6:O53)</f>
        <v>132931284.76795851</v>
      </c>
    </row>
  </sheetData>
  <mergeCells count="4">
    <mergeCell ref="A1:O1"/>
    <mergeCell ref="A2:O2"/>
    <mergeCell ref="A3:O3"/>
    <mergeCell ref="A4:O4"/>
  </mergeCells>
  <pageMargins left="0.75" right="0.75" top="0.79" bottom="0.79" header="0.3" footer="0.3"/>
  <pageSetup paperSize="9" scale="90" orientation="landscape" useFirstPageNumber="1"/>
  <headerFooter>
    <oddFooter>&amp;CTrang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L136"/>
  <sheetViews>
    <sheetView showZeros="0" topLeftCell="B1" workbookViewId="0">
      <selection activeCell="H7" sqref="H7"/>
    </sheetView>
  </sheetViews>
  <sheetFormatPr defaultColWidth="9.21875" defaultRowHeight="13.8"/>
  <cols>
    <col min="1" max="1" width="9.21875" style="146" hidden="1" customWidth="1"/>
    <col min="2" max="2" width="4.44140625" style="146" customWidth="1"/>
    <col min="3" max="3" width="17.44140625" style="146" customWidth="1"/>
    <col min="4" max="4" width="56" style="146" customWidth="1"/>
    <col min="5" max="5" width="10.77734375" style="146" customWidth="1"/>
    <col min="6" max="6" width="11.44140625" style="146" customWidth="1"/>
    <col min="7" max="7" width="11" style="146" customWidth="1"/>
    <col min="8" max="8" width="16.44140625" style="146" customWidth="1"/>
    <col min="9" max="9" width="13.77734375" style="146" customWidth="1"/>
    <col min="10" max="16384" width="9.21875" style="146"/>
  </cols>
  <sheetData>
    <row r="1" spans="1:12" ht="17.399999999999999">
      <c r="A1" s="979" t="s">
        <v>1015</v>
      </c>
      <c r="B1" s="979"/>
      <c r="C1" s="979"/>
      <c r="D1" s="980"/>
      <c r="E1" s="979"/>
      <c r="F1" s="981"/>
      <c r="G1" s="982"/>
      <c r="H1" s="982"/>
      <c r="I1" s="360"/>
      <c r="J1" s="360"/>
      <c r="K1" s="360"/>
      <c r="L1" s="360"/>
    </row>
    <row r="2" spans="1:12">
      <c r="A2" s="983" t="str">
        <f>'4.THKPHM'!A2:F2</f>
        <v>CÔNG TRÌNH: NÂNG CẤP, CẢI TẠO TUYẾN ĐƯỜNG HUYỆN ĐH.93_x000D_
ĐOẠN TỪ ĐƯỜNG ĐH.91 ĐẾN UBND XÃ THIỆN TÂN</v>
      </c>
      <c r="B2" s="983"/>
      <c r="C2" s="983"/>
      <c r="D2" s="984"/>
      <c r="E2" s="983"/>
      <c r="F2" s="985"/>
      <c r="G2" s="986"/>
      <c r="H2" s="986"/>
      <c r="I2" s="360"/>
      <c r="J2" s="360"/>
      <c r="K2" s="360"/>
      <c r="L2" s="360"/>
    </row>
    <row r="3" spans="1:12">
      <c r="A3" s="983" t="s">
        <v>763</v>
      </c>
      <c r="B3" s="983"/>
      <c r="C3" s="983"/>
      <c r="D3" s="984"/>
      <c r="E3" s="983"/>
      <c r="F3" s="985"/>
      <c r="G3" s="986"/>
      <c r="H3" s="986"/>
      <c r="I3" s="360"/>
      <c r="J3" s="360"/>
      <c r="K3" s="360"/>
      <c r="L3" s="360"/>
    </row>
    <row r="4" spans="1:12" hidden="1">
      <c r="A4" s="983"/>
      <c r="B4" s="983"/>
      <c r="C4" s="983"/>
      <c r="D4" s="984"/>
      <c r="E4" s="983"/>
      <c r="F4" s="985"/>
      <c r="G4" s="986"/>
      <c r="H4" s="986"/>
      <c r="I4" s="360"/>
      <c r="J4" s="360"/>
      <c r="K4" s="360"/>
      <c r="L4" s="360"/>
    </row>
    <row r="5" spans="1:12">
      <c r="A5" s="346" t="s">
        <v>997</v>
      </c>
      <c r="B5" s="346" t="s">
        <v>5</v>
      </c>
      <c r="C5" s="346" t="s">
        <v>591</v>
      </c>
      <c r="D5" s="347" t="s">
        <v>321</v>
      </c>
      <c r="E5" s="346" t="s">
        <v>594</v>
      </c>
      <c r="F5" s="348" t="s">
        <v>325</v>
      </c>
      <c r="G5" s="349" t="s">
        <v>326</v>
      </c>
      <c r="H5" s="349" t="s">
        <v>261</v>
      </c>
      <c r="I5" s="360"/>
      <c r="J5" s="360"/>
      <c r="K5" s="360"/>
      <c r="L5" s="360"/>
    </row>
    <row r="6" spans="1:12">
      <c r="A6" s="350"/>
      <c r="B6" s="351"/>
      <c r="C6" s="350"/>
      <c r="D6" s="352" t="s">
        <v>338</v>
      </c>
      <c r="E6" s="351"/>
      <c r="F6" s="353"/>
      <c r="G6" s="354"/>
      <c r="H6" s="354">
        <v>4100000000</v>
      </c>
      <c r="I6" s="360"/>
      <c r="J6" s="360"/>
      <c r="K6" s="360"/>
      <c r="L6" s="360"/>
    </row>
    <row r="7" spans="1:12">
      <c r="A7" s="350"/>
      <c r="B7" s="351">
        <v>0</v>
      </c>
      <c r="C7" s="350" t="s">
        <v>339</v>
      </c>
      <c r="D7" s="352" t="s">
        <v>340</v>
      </c>
      <c r="E7" s="351"/>
      <c r="F7" s="353">
        <v>0</v>
      </c>
      <c r="G7" s="354">
        <v>0</v>
      </c>
      <c r="H7" s="354">
        <v>0</v>
      </c>
      <c r="I7" s="360"/>
      <c r="J7" s="360"/>
      <c r="K7" s="360"/>
      <c r="L7" s="360"/>
    </row>
    <row r="8" spans="1:12">
      <c r="A8" s="350"/>
      <c r="B8" s="351">
        <v>0</v>
      </c>
      <c r="C8" s="350" t="s">
        <v>339</v>
      </c>
      <c r="D8" s="352" t="s">
        <v>341</v>
      </c>
      <c r="E8" s="351"/>
      <c r="F8" s="353">
        <v>0</v>
      </c>
      <c r="G8" s="354">
        <v>0</v>
      </c>
      <c r="H8" s="354">
        <v>0</v>
      </c>
      <c r="I8" s="360"/>
      <c r="J8" s="360"/>
      <c r="K8" s="360"/>
      <c r="L8" s="360"/>
    </row>
    <row r="9" spans="1:12">
      <c r="A9" s="246"/>
      <c r="B9" s="265">
        <v>1</v>
      </c>
      <c r="C9" s="246" t="str">
        <f>'5.Tiên lượng'!C12</f>
        <v>AB.31132</v>
      </c>
      <c r="D9" s="266" t="str">
        <f>'5.Tiên lượng'!D12</f>
        <v>Đào nền đường bằng máy đào 1,25m3 - Cấp đất II</v>
      </c>
      <c r="E9" s="265" t="str">
        <f>'5.Tiên lượng'!E12</f>
        <v>100m3</v>
      </c>
      <c r="F9" s="355">
        <f>+'[5]KL tong'!$O$8/100</f>
        <v>1.6027335963877498</v>
      </c>
      <c r="G9" s="283">
        <f>'6.Chiết tính'!J23</f>
        <v>2268009.0857081842</v>
      </c>
      <c r="H9" s="283">
        <f t="shared" ref="H9:H19" si="0">F9*G9</f>
        <v>3635014.3585771704</v>
      </c>
      <c r="I9" s="360"/>
      <c r="J9" s="360"/>
      <c r="K9" s="360"/>
      <c r="L9" s="360"/>
    </row>
    <row r="10" spans="1:12">
      <c r="A10" s="246"/>
      <c r="B10" s="265">
        <v>2</v>
      </c>
      <c r="C10" s="246" t="str">
        <f>'5.Tiên lượng'!C14</f>
        <v>AB.31133</v>
      </c>
      <c r="D10" s="266" t="str">
        <f>'5.Tiên lượng'!D14</f>
        <v>Đào nền đường bằng máy đào 1,25m3 - Cấp đất III</v>
      </c>
      <c r="E10" s="265" t="str">
        <f>'5.Tiên lượng'!E14</f>
        <v>100m3</v>
      </c>
      <c r="F10" s="355">
        <f>+'[5]KL tong'!$O$9/100</f>
        <v>4.00683399096937</v>
      </c>
      <c r="G10" s="283">
        <f>'6.Chiết tính'!J39</f>
        <v>2688464.085348784</v>
      </c>
      <c r="H10" s="283">
        <f t="shared" si="0"/>
        <v>10772229.280675884</v>
      </c>
      <c r="I10" s="360"/>
      <c r="J10" s="360"/>
      <c r="K10" s="360"/>
      <c r="L10" s="360"/>
    </row>
    <row r="11" spans="1:12">
      <c r="A11" s="246"/>
      <c r="B11" s="265">
        <v>3</v>
      </c>
      <c r="C11" s="246" t="str">
        <f>'5.Tiên lượng'!C16</f>
        <v>AB.31134</v>
      </c>
      <c r="D11" s="266" t="str">
        <f>'5.Tiên lượng'!D16</f>
        <v>Đào nền đường bằng máy đào 1,25m3 - Cấp đất IV</v>
      </c>
      <c r="E11" s="265" t="str">
        <f>'5.Tiên lượng'!E16</f>
        <v>100m3</v>
      </c>
      <c r="F11" s="355">
        <f>+'[5]KL tong'!$O$10/100</f>
        <v>6.4109343855509904</v>
      </c>
      <c r="G11" s="283">
        <f>'6.Chiết tính'!J55</f>
        <v>3460005.6574319052</v>
      </c>
      <c r="H11" s="283">
        <f t="shared" si="0"/>
        <v>22181869.243431162</v>
      </c>
      <c r="I11" s="360"/>
      <c r="J11" s="360"/>
      <c r="K11" s="360"/>
      <c r="L11" s="360"/>
    </row>
    <row r="12" spans="1:12">
      <c r="A12" s="246"/>
      <c r="B12" s="265">
        <v>4</v>
      </c>
      <c r="C12" s="246" t="str">
        <f>'5.Tiên lượng'!C18</f>
        <v>MD.QĐ792</v>
      </c>
      <c r="D12" s="266" t="str">
        <f>'5.Tiên lượng'!D18</f>
        <v>Đào nền đường đá cấp IV bằng máy đào 1,6m3</v>
      </c>
      <c r="E12" s="265" t="str">
        <f>'5.Tiên lượng'!E18</f>
        <v>m3</v>
      </c>
      <c r="F12" s="356">
        <f>'5.Tiên lượng'!M18</f>
        <v>88.07</v>
      </c>
      <c r="G12" s="283">
        <f>'6.Chiết tính'!J71</f>
        <v>75766.568193302868</v>
      </c>
      <c r="H12" s="283">
        <f t="shared" si="0"/>
        <v>6672761.6607841831</v>
      </c>
      <c r="I12" s="360"/>
      <c r="J12" s="360"/>
      <c r="K12" s="360"/>
      <c r="L12" s="360"/>
    </row>
    <row r="13" spans="1:12">
      <c r="A13" s="246"/>
      <c r="B13" s="265">
        <v>5</v>
      </c>
      <c r="C13" s="246" t="str">
        <f>'5.Tiên lượng'!C19</f>
        <v>AB.31134VD</v>
      </c>
      <c r="D13" s="266" t="str">
        <f>'5.Tiên lượng'!D19</f>
        <v>Đào đường cũ cấp phối bằng máy đào 1,25m3</v>
      </c>
      <c r="E13" s="265" t="str">
        <f>'5.Tiên lượng'!E19</f>
        <v>m3</v>
      </c>
      <c r="F13" s="357">
        <f>'5.Tiên lượng'!M19</f>
        <v>0</v>
      </c>
      <c r="G13" s="283">
        <f>'6.Chiết tính'!J87</f>
        <v>34600.056574319053</v>
      </c>
      <c r="H13" s="283">
        <f t="shared" si="0"/>
        <v>0</v>
      </c>
      <c r="I13" s="360"/>
      <c r="J13" s="360"/>
      <c r="K13" s="360"/>
      <c r="L13" s="360"/>
    </row>
    <row r="14" spans="1:12">
      <c r="A14" s="246"/>
      <c r="B14" s="265">
        <v>6</v>
      </c>
      <c r="C14" s="246" t="str">
        <f>'5.Tiên lượng'!C21</f>
        <v>AB.31132(VD)</v>
      </c>
      <c r="D14" s="266" t="str">
        <f>'5.Tiên lượng'!D21</f>
        <v>Đào rãnh bằng máy đào 1,25m3 - Cấp đất II</v>
      </c>
      <c r="E14" s="265" t="str">
        <f>'5.Tiên lượng'!E21</f>
        <v>100m3</v>
      </c>
      <c r="F14" s="355">
        <f>'5.Tiên lượng'!M21</f>
        <v>7.2900000000000006E-2</v>
      </c>
      <c r="G14" s="283">
        <f>'6.Chiết tính'!J103</f>
        <v>2186041.5810053027</v>
      </c>
      <c r="H14" s="283">
        <f t="shared" si="0"/>
        <v>159362.43125528659</v>
      </c>
      <c r="I14" s="360"/>
      <c r="J14" s="360"/>
      <c r="K14" s="360"/>
      <c r="L14" s="360"/>
    </row>
    <row r="15" spans="1:12">
      <c r="A15" s="246"/>
      <c r="B15" s="265">
        <v>7</v>
      </c>
      <c r="C15" s="246" t="str">
        <f>'5.Tiên lượng'!C23</f>
        <v>AB.31133(VD)</v>
      </c>
      <c r="D15" s="266" t="str">
        <f>'5.Tiên lượng'!D23</f>
        <v>Đào rãnh bằng máy đào 1,25m3 - Cấp đất III</v>
      </c>
      <c r="E15" s="265" t="str">
        <f>'5.Tiên lượng'!E23</f>
        <v>100m3</v>
      </c>
      <c r="F15" s="355">
        <f>+'[5]KL tong'!$O$14/100</f>
        <v>3.2054671927754903</v>
      </c>
      <c r="G15" s="283">
        <f>'6.Chiết tính'!J119</f>
        <v>2594786.9371169196</v>
      </c>
      <c r="H15" s="283">
        <f t="shared" si="0"/>
        <v>8317504.3991706846</v>
      </c>
      <c r="I15" s="360"/>
      <c r="J15" s="360"/>
      <c r="K15" s="360"/>
      <c r="L15" s="360"/>
    </row>
    <row r="16" spans="1:12">
      <c r="A16" s="246"/>
      <c r="B16" s="265">
        <v>8</v>
      </c>
      <c r="C16" s="246" t="str">
        <f>'5.Tiên lượng'!C25</f>
        <v>AB.31134(VD)</v>
      </c>
      <c r="D16" s="266" t="str">
        <f>'5.Tiên lượng'!D25</f>
        <v>Đào rãnh bằng máy đào 1,25m3 - Cấp đất IV</v>
      </c>
      <c r="E16" s="265" t="str">
        <f>'5.Tiên lượng'!E25</f>
        <v>100m3</v>
      </c>
      <c r="F16" s="355">
        <f>+'[5]KL tong'!$O$15/100</f>
        <v>2.4041003945816199</v>
      </c>
      <c r="G16" s="283">
        <f>'6.Chiết tính'!J135</f>
        <v>3324173.792495701</v>
      </c>
      <c r="H16" s="283">
        <f t="shared" si="0"/>
        <v>7991647.5261967946</v>
      </c>
      <c r="I16" s="360"/>
      <c r="J16" s="360"/>
      <c r="K16" s="360"/>
      <c r="L16" s="360"/>
    </row>
    <row r="17" spans="1:12">
      <c r="A17" s="246"/>
      <c r="B17" s="265">
        <v>9</v>
      </c>
      <c r="C17" s="246" t="str">
        <f>'5.Tiên lượng'!C27</f>
        <v>MD.QĐ792</v>
      </c>
      <c r="D17" s="266" t="str">
        <f>'5.Tiên lượng'!D27</f>
        <v>Đào rãnh đá cấp IV bằng máy đào 1,6m3</v>
      </c>
      <c r="E17" s="265" t="str">
        <f>'5.Tiên lượng'!E27</f>
        <v>m3</v>
      </c>
      <c r="F17" s="355">
        <f>'5.Tiên lượng'!M27</f>
        <v>13.28</v>
      </c>
      <c r="G17" s="283">
        <f>'6.Chiết tính'!J150</f>
        <v>74946.893146274044</v>
      </c>
      <c r="H17" s="283">
        <f t="shared" si="0"/>
        <v>995294.74098251923</v>
      </c>
      <c r="I17" s="360"/>
      <c r="J17" s="360"/>
      <c r="K17" s="360"/>
      <c r="L17" s="360"/>
    </row>
    <row r="18" spans="1:12">
      <c r="A18" s="246"/>
      <c r="B18" s="265">
        <v>10</v>
      </c>
      <c r="C18" s="246" t="str">
        <f>'5.Tiên lượng'!C29</f>
        <v>AB.31132(VD)</v>
      </c>
      <c r="D18" s="266" t="str">
        <f>'5.Tiên lượng'!D29</f>
        <v>Đào cấp bằng máy đào 1,25m3 - Cấp đất II</v>
      </c>
      <c r="E18" s="265" t="str">
        <f>'5.Tiên lượng'!E29</f>
        <v>100m3</v>
      </c>
      <c r="F18" s="355">
        <f>'5.Tiên lượng'!M29</f>
        <v>0.86290000000000011</v>
      </c>
      <c r="G18" s="283">
        <f>'6.Chiết tính'!J166</f>
        <v>2186041.5810053027</v>
      </c>
      <c r="H18" s="283">
        <f t="shared" si="0"/>
        <v>1886335.280249476</v>
      </c>
      <c r="I18" s="360"/>
      <c r="J18" s="360"/>
      <c r="K18" s="360"/>
      <c r="L18" s="360"/>
    </row>
    <row r="19" spans="1:12">
      <c r="A19" s="246"/>
      <c r="B19" s="265">
        <v>11</v>
      </c>
      <c r="C19" s="246" t="str">
        <f>'5.Tiên lượng'!C31</f>
        <v>AB.31132</v>
      </c>
      <c r="D19" s="266" t="str">
        <f>'5.Tiên lượng'!D31</f>
        <v>Đào hữu cơ bằng máy đào 1,25m3 - Cấp đất II</v>
      </c>
      <c r="E19" s="265" t="str">
        <f>'5.Tiên lượng'!E31</f>
        <v>100m3</v>
      </c>
      <c r="F19" s="355">
        <f>'5.Tiên lượng'!M31</f>
        <v>3.8552999999999997</v>
      </c>
      <c r="G19" s="283">
        <f>'6.Chiết tính'!J182</f>
        <v>2268009.0857081842</v>
      </c>
      <c r="H19" s="283">
        <f t="shared" si="0"/>
        <v>8743855.4281307627</v>
      </c>
      <c r="I19" s="360"/>
      <c r="J19" s="360"/>
      <c r="K19" s="360"/>
      <c r="L19" s="360"/>
    </row>
    <row r="20" spans="1:12">
      <c r="A20" s="350"/>
      <c r="B20" s="351">
        <v>0</v>
      </c>
      <c r="C20" s="350" t="s">
        <v>339</v>
      </c>
      <c r="D20" s="352" t="s">
        <v>376</v>
      </c>
      <c r="E20" s="351"/>
      <c r="F20" s="353">
        <v>0</v>
      </c>
      <c r="G20" s="354">
        <v>0</v>
      </c>
      <c r="H20" s="354">
        <v>0</v>
      </c>
      <c r="I20" s="360"/>
      <c r="J20" s="360"/>
      <c r="K20" s="360"/>
      <c r="L20" s="360"/>
    </row>
    <row r="21" spans="1:12">
      <c r="A21" s="246"/>
      <c r="B21" s="265">
        <v>12</v>
      </c>
      <c r="C21" s="246" t="str">
        <f>'5.Tiên lượng'!C34</f>
        <v>AB.67110</v>
      </c>
      <c r="D21" s="266" t="str">
        <f>'5.Tiên lượng'!D34</f>
        <v>Đắp đá hỗn hợp công trình bằng máy ủi 180CV</v>
      </c>
      <c r="E21" s="265" t="str">
        <f>'5.Tiên lượng'!E34</f>
        <v>100m3</v>
      </c>
      <c r="F21" s="357">
        <f>'5.Tiên lượng'!M34</f>
        <v>0</v>
      </c>
      <c r="G21" s="283">
        <f>'6.Chiết tính'!J198</f>
        <v>5548811.2381228032</v>
      </c>
      <c r="H21" s="283">
        <f t="shared" ref="H21:H23" si="1">F21*G21</f>
        <v>0</v>
      </c>
      <c r="I21" s="360"/>
      <c r="J21" s="360"/>
      <c r="K21" s="360"/>
      <c r="L21" s="360"/>
    </row>
    <row r="22" spans="1:12">
      <c r="A22" s="246"/>
      <c r="B22" s="265">
        <v>13</v>
      </c>
      <c r="C22" s="246" t="str">
        <f>'5.Tiên lượng'!C36</f>
        <v>AD.11212</v>
      </c>
      <c r="D22" s="266" t="str">
        <f>'5.Tiên lượng'!D36</f>
        <v>Thi công đắp cấp phối đá dăm loại 2</v>
      </c>
      <c r="E22" s="265" t="str">
        <f>'5.Tiên lượng'!E36</f>
        <v>100m3</v>
      </c>
      <c r="F22" s="355">
        <f>'5.Tiên lượng'!M36*0.7</f>
        <v>6.4636160176991142</v>
      </c>
      <c r="G22" s="283">
        <f>'6.Chiết tính'!J219</f>
        <v>45519325.595883742</v>
      </c>
      <c r="H22" s="283">
        <f t="shared" si="1"/>
        <v>294219442.03641546</v>
      </c>
      <c r="I22" s="360"/>
      <c r="J22" s="360"/>
      <c r="K22" s="360"/>
      <c r="L22" s="360"/>
    </row>
    <row r="23" spans="1:12" ht="27.6">
      <c r="A23" s="246"/>
      <c r="B23" s="265">
        <v>14</v>
      </c>
      <c r="C23" s="246" t="str">
        <f>'5.Tiên lượng'!C38</f>
        <v>AB.64123</v>
      </c>
      <c r="D23" s="266" t="str">
        <f>'5.Tiên lượng'!D38</f>
        <v>Đắp nền đường bằng máy lu bánh thép 16T, máy ủi 110CV, độ chặt Y/C K = 0,95</v>
      </c>
      <c r="E23" s="265" t="str">
        <f>'5.Tiên lượng'!E38</f>
        <v>100m3</v>
      </c>
      <c r="F23" s="355">
        <f>'5.Tiên lượng'!M38</f>
        <v>4.593362831858407</v>
      </c>
      <c r="G23" s="283">
        <f>'6.Chiết tính'!J236</f>
        <v>1424488.6117183566</v>
      </c>
      <c r="H23" s="283">
        <f t="shared" si="1"/>
        <v>6543193.0434726812</v>
      </c>
      <c r="I23" s="360"/>
      <c r="J23" s="360"/>
      <c r="K23" s="360"/>
      <c r="L23" s="360"/>
    </row>
    <row r="24" spans="1:12">
      <c r="A24" s="350"/>
      <c r="B24" s="351">
        <v>0</v>
      </c>
      <c r="C24" s="350" t="s">
        <v>339</v>
      </c>
      <c r="D24" s="352" t="s">
        <v>387</v>
      </c>
      <c r="E24" s="351"/>
      <c r="F24" s="353">
        <v>0</v>
      </c>
      <c r="G24" s="354">
        <v>0</v>
      </c>
      <c r="H24" s="354">
        <v>0</v>
      </c>
      <c r="I24" s="360"/>
      <c r="J24" s="360"/>
      <c r="K24" s="360"/>
      <c r="L24" s="360"/>
    </row>
    <row r="25" spans="1:12">
      <c r="A25" s="350"/>
      <c r="B25" s="351">
        <v>0</v>
      </c>
      <c r="C25" s="350" t="s">
        <v>339</v>
      </c>
      <c r="D25" s="352" t="s">
        <v>388</v>
      </c>
      <c r="E25" s="351"/>
      <c r="F25" s="353">
        <v>0</v>
      </c>
      <c r="G25" s="354">
        <v>0</v>
      </c>
      <c r="H25" s="354">
        <v>0</v>
      </c>
      <c r="I25" s="360"/>
      <c r="J25" s="360"/>
      <c r="K25" s="360"/>
      <c r="L25" s="360"/>
    </row>
    <row r="26" spans="1:12">
      <c r="A26" s="246"/>
      <c r="B26" s="265">
        <v>15</v>
      </c>
      <c r="C26" s="246" t="str">
        <f>'5.Tiên lượng'!C42</f>
        <v>AB.31134VD</v>
      </c>
      <c r="D26" s="266" t="str">
        <f>'5.Tiên lượng'!D42</f>
        <v>Đào khuôn đường cũ cấp phối bằng máy đào 1,25m3</v>
      </c>
      <c r="E26" s="265" t="str">
        <f>'5.Tiên lượng'!E42</f>
        <v>m3</v>
      </c>
      <c r="F26" s="358">
        <f>+'[5]KL tong'!$O$28</f>
        <v>360.61505918724299</v>
      </c>
      <c r="G26" s="283">
        <f>'6.Chiết tính'!J254</f>
        <v>34600.056574319053</v>
      </c>
      <c r="H26" s="283">
        <f t="shared" ref="H26:H27" si="2">F26*G26</f>
        <v>12477301.449430021</v>
      </c>
      <c r="I26" s="360"/>
      <c r="J26" s="360"/>
      <c r="K26" s="360"/>
      <c r="L26" s="360"/>
    </row>
    <row r="27" spans="1:12">
      <c r="A27" s="246"/>
      <c r="B27" s="265">
        <v>16</v>
      </c>
      <c r="C27" s="246" t="str">
        <f>'5.Tiên lượng'!C43</f>
        <v>AB.31133</v>
      </c>
      <c r="D27" s="266" t="str">
        <f>'5.Tiên lượng'!D43</f>
        <v>Đào nền đường bằng máy đào 1,25m3 - Cấp đất III</v>
      </c>
      <c r="E27" s="265" t="str">
        <f>'5.Tiên lượng'!E43</f>
        <v>100m3</v>
      </c>
      <c r="F27" s="358">
        <f>+'[5]KL tong'!$O$29/100</f>
        <v>4.8082007891632399</v>
      </c>
      <c r="G27" s="283">
        <f>'6.Chiết tính'!J270</f>
        <v>2688464.085348784</v>
      </c>
      <c r="H27" s="283">
        <f t="shared" si="2"/>
        <v>12926675.136811052</v>
      </c>
      <c r="I27" s="360"/>
      <c r="J27" s="360"/>
      <c r="K27" s="360"/>
      <c r="L27" s="360"/>
    </row>
    <row r="28" spans="1:12">
      <c r="A28" s="350"/>
      <c r="B28" s="351">
        <v>0</v>
      </c>
      <c r="C28" s="350" t="s">
        <v>339</v>
      </c>
      <c r="D28" s="352" t="s">
        <v>391</v>
      </c>
      <c r="E28" s="351"/>
      <c r="F28" s="353">
        <v>0</v>
      </c>
      <c r="G28" s="354">
        <v>0</v>
      </c>
      <c r="H28" s="354">
        <v>0</v>
      </c>
      <c r="I28" s="360"/>
      <c r="J28" s="360"/>
      <c r="K28" s="360"/>
      <c r="L28" s="360"/>
    </row>
    <row r="29" spans="1:12" ht="31.5" customHeight="1">
      <c r="A29" s="246"/>
      <c r="B29" s="265">
        <v>17</v>
      </c>
      <c r="C29" s="246" t="str">
        <f>'5.Tiên lượng'!C46</f>
        <v>AF.15433</v>
      </c>
      <c r="D29" s="266" t="str">
        <f>'5.Tiên lượng'!D46</f>
        <v>Bê tông sản xuất bằng máy trộn và đổ bằng thủ công, bê tông mặt đường dày mặt đường ≤25cm, bê tông M250, đá 2x4, PCB40</v>
      </c>
      <c r="E29" s="265" t="str">
        <f>'5.Tiên lượng'!E46</f>
        <v>m3</v>
      </c>
      <c r="F29" s="355">
        <f>+('[5]KL tong'!$O$36+'[5]KL tong'!$O$37)*0.2</f>
        <v>1773</v>
      </c>
      <c r="G29" s="283">
        <f>'6.Chiết tính'!J296</f>
        <v>2021696.9202948564</v>
      </c>
      <c r="H29" s="283">
        <f t="shared" ref="H29:H33" si="3">F29*G29</f>
        <v>3584468639.6827803</v>
      </c>
      <c r="I29" s="360"/>
      <c r="J29" s="360"/>
      <c r="K29" s="360"/>
      <c r="L29" s="360"/>
    </row>
    <row r="30" spans="1:12">
      <c r="A30" s="246"/>
      <c r="B30" s="265">
        <v>18</v>
      </c>
      <c r="C30" s="246" t="str">
        <f>'5.Tiên lượng'!C49</f>
        <v>AL.16201</v>
      </c>
      <c r="D30" s="266" t="str">
        <f>'5.Tiên lượng'!D49</f>
        <v>Ni lông chống thấm</v>
      </c>
      <c r="E30" s="265" t="str">
        <f>'5.Tiên lượng'!E49</f>
        <v>100m2</v>
      </c>
      <c r="F30" s="355">
        <f>+'[5]KL tong'!$O$38/100</f>
        <v>88.65</v>
      </c>
      <c r="G30" s="283">
        <f>'6.Chiết tính'!J312</f>
        <v>335898.66816</v>
      </c>
      <c r="H30" s="283">
        <f t="shared" si="3"/>
        <v>29777416.932384003</v>
      </c>
      <c r="I30" s="360"/>
      <c r="J30" s="360"/>
      <c r="K30" s="360"/>
      <c r="L30" s="360"/>
    </row>
    <row r="31" spans="1:12">
      <c r="A31" s="246"/>
      <c r="B31" s="265">
        <v>19</v>
      </c>
      <c r="C31" s="246" t="str">
        <f>'5.Tiên lượng'!C51</f>
        <v>AD.11212</v>
      </c>
      <c r="D31" s="266" t="str">
        <f>'5.Tiên lượng'!D51</f>
        <v xml:space="preserve">Thi công móng cấp phối đá dăm lớp dưới </v>
      </c>
      <c r="E31" s="265" t="str">
        <f>'5.Tiên lượng'!E51</f>
        <v>100m3</v>
      </c>
      <c r="F31" s="355">
        <f>+'[5]KL tong'!$O$39*0.12/100</f>
        <v>2.5991267884310281</v>
      </c>
      <c r="G31" s="283">
        <f>'6.Chiết tính'!J333</f>
        <v>45519325.595883742</v>
      </c>
      <c r="H31" s="283">
        <f t="shared" si="3"/>
        <v>118310498.54757561</v>
      </c>
      <c r="I31" s="360"/>
      <c r="J31" s="360"/>
      <c r="K31" s="360"/>
      <c r="L31" s="360"/>
    </row>
    <row r="32" spans="1:12">
      <c r="A32" s="246"/>
      <c r="B32" s="265">
        <v>20</v>
      </c>
      <c r="C32" s="246" t="str">
        <f>'5.Tiên lượng'!C53</f>
        <v>AD.11212</v>
      </c>
      <c r="D32" s="266" t="str">
        <f>'5.Tiên lượng'!D53</f>
        <v xml:space="preserve">Thi công móng cấp phối đá dăm lớp dưới </v>
      </c>
      <c r="E32" s="265" t="str">
        <f>'5.Tiên lượng'!E53</f>
        <v>100m3</v>
      </c>
      <c r="F32" s="355">
        <f>+'[5]KL tong'!$O$40/100</f>
        <v>2.4041003945816199</v>
      </c>
      <c r="G32" s="283">
        <f>'6.Chiết tính'!J354</f>
        <v>45519325.595883742</v>
      </c>
      <c r="H32" s="283">
        <f t="shared" si="3"/>
        <v>109433028.62615333</v>
      </c>
      <c r="I32" s="360"/>
      <c r="J32" s="360"/>
      <c r="K32" s="360"/>
      <c r="L32" s="360"/>
    </row>
    <row r="33" spans="1:12">
      <c r="A33" s="246"/>
      <c r="B33" s="265">
        <v>21</v>
      </c>
      <c r="C33" s="246" t="str">
        <f>'5.Tiên lượng'!C56</f>
        <v>AF.82411</v>
      </c>
      <c r="D33" s="266" t="str">
        <f>'5.Tiên lượng'!D56</f>
        <v>Ván khuôn thép mặt đường bê tông</v>
      </c>
      <c r="E33" s="265" t="str">
        <f>'5.Tiên lượng'!E56</f>
        <v>100m2</v>
      </c>
      <c r="F33" s="358">
        <f>+'[5]KL tong'!$O$41/100</f>
        <v>7.2506706260423899</v>
      </c>
      <c r="G33" s="283">
        <f>'6.Chiết tính'!J373</f>
        <v>5370066.1138137272</v>
      </c>
      <c r="H33" s="283">
        <f t="shared" si="3"/>
        <v>38936580.631334804</v>
      </c>
      <c r="I33" s="360"/>
      <c r="J33" s="360"/>
      <c r="K33" s="360"/>
      <c r="L33" s="360"/>
    </row>
    <row r="34" spans="1:12">
      <c r="A34" s="350"/>
      <c r="B34" s="351">
        <v>0</v>
      </c>
      <c r="C34" s="350" t="s">
        <v>339</v>
      </c>
      <c r="D34" s="352" t="s">
        <v>406</v>
      </c>
      <c r="E34" s="351"/>
      <c r="F34" s="353">
        <v>0</v>
      </c>
      <c r="G34" s="354">
        <v>0</v>
      </c>
      <c r="H34" s="354">
        <v>0</v>
      </c>
      <c r="I34" s="360"/>
      <c r="J34" s="360"/>
      <c r="K34" s="360"/>
      <c r="L34" s="360"/>
    </row>
    <row r="35" spans="1:12" ht="27.6">
      <c r="A35" s="246"/>
      <c r="B35" s="265">
        <v>22</v>
      </c>
      <c r="C35" s="246" t="str">
        <f>'5.Tiên lượng'!C59</f>
        <v>AF.15433</v>
      </c>
      <c r="D35" s="266" t="str">
        <f>'5.Tiên lượng'!D59</f>
        <v>Bê tông sản xuất bằng máy trộn và đổ bằng thủ công, bê tông mặt đường dày mặt đường ≤25cm, bê tông M250, đá 2x4, PCB40</v>
      </c>
      <c r="E35" s="265" t="str">
        <f>'5.Tiên lượng'!E59</f>
        <v>m3</v>
      </c>
      <c r="F35" s="357"/>
      <c r="G35" s="283">
        <f>'6.Chiết tính'!J399</f>
        <v>2021696.9202948564</v>
      </c>
      <c r="H35" s="283">
        <f t="shared" ref="H35:H42" si="4">F35*G35</f>
        <v>0</v>
      </c>
      <c r="I35" s="360"/>
      <c r="J35" s="360"/>
      <c r="K35" s="360"/>
      <c r="L35" s="360"/>
    </row>
    <row r="36" spans="1:12">
      <c r="A36" s="246"/>
      <c r="B36" s="265">
        <v>23</v>
      </c>
      <c r="C36" s="246" t="str">
        <f>'5.Tiên lượng'!C61</f>
        <v>AL.16201</v>
      </c>
      <c r="D36" s="266" t="str">
        <f>'5.Tiên lượng'!D61</f>
        <v>Rải giấy dầu lớp cách ly</v>
      </c>
      <c r="E36" s="265" t="str">
        <f>'5.Tiên lượng'!E61</f>
        <v>100m2</v>
      </c>
      <c r="F36" s="357"/>
      <c r="G36" s="283">
        <f>'6.Chiết tính'!J415</f>
        <v>335898.66816</v>
      </c>
      <c r="H36" s="283">
        <f t="shared" si="4"/>
        <v>0</v>
      </c>
      <c r="I36" s="360"/>
      <c r="J36" s="360"/>
      <c r="K36" s="360"/>
      <c r="L36" s="360"/>
    </row>
    <row r="37" spans="1:12">
      <c r="A37" s="246"/>
      <c r="B37" s="265">
        <v>24</v>
      </c>
      <c r="C37" s="246" t="str">
        <f>'5.Tiên lượng'!C63</f>
        <v>AD.11212</v>
      </c>
      <c r="D37" s="266" t="str">
        <f>'5.Tiên lượng'!D63</f>
        <v xml:space="preserve">Thi công móng cấp phối đá dăm lớp dưới </v>
      </c>
      <c r="E37" s="265" t="str">
        <f>'5.Tiên lượng'!E63</f>
        <v>100m3</v>
      </c>
      <c r="F37" s="357"/>
      <c r="G37" s="283">
        <f>'6.Chiết tính'!J436</f>
        <v>45519325.595883742</v>
      </c>
      <c r="H37" s="283">
        <f t="shared" si="4"/>
        <v>0</v>
      </c>
      <c r="I37" s="360"/>
      <c r="J37" s="360"/>
      <c r="K37" s="360"/>
      <c r="L37" s="360"/>
    </row>
    <row r="38" spans="1:12">
      <c r="A38" s="246"/>
      <c r="B38" s="265">
        <v>25</v>
      </c>
      <c r="C38" s="246" t="str">
        <f>'5.Tiên lượng'!C65</f>
        <v>AF.82411</v>
      </c>
      <c r="D38" s="266" t="str">
        <f>'5.Tiên lượng'!D65</f>
        <v>Ván khuôn thép mặt đường bê tông</v>
      </c>
      <c r="E38" s="265" t="str">
        <f>'5.Tiên lượng'!E65</f>
        <v>100m2</v>
      </c>
      <c r="F38" s="357"/>
      <c r="G38" s="283">
        <f>'6.Chiết tính'!J455</f>
        <v>5370066.1138137272</v>
      </c>
      <c r="H38" s="283">
        <f t="shared" si="4"/>
        <v>0</v>
      </c>
      <c r="I38" s="360"/>
      <c r="J38" s="360"/>
      <c r="K38" s="360"/>
      <c r="L38" s="360"/>
    </row>
    <row r="39" spans="1:12">
      <c r="A39" s="246"/>
      <c r="B39" s="265">
        <v>26</v>
      </c>
      <c r="C39" s="246" t="str">
        <f>'5.Tiên lượng'!C67</f>
        <v>AL.24111</v>
      </c>
      <c r="D39" s="266" t="str">
        <f>'5.Tiên lượng'!D67</f>
        <v>Thi công khe co không có thanh TL</v>
      </c>
      <c r="E39" s="265" t="str">
        <f>'5.Tiên lượng'!E67</f>
        <v>m</v>
      </c>
      <c r="F39" s="356">
        <f>+'[5]KL tong'!$O$50</f>
        <v>2055.5689450026398</v>
      </c>
      <c r="G39" s="283">
        <f>'6.Chiết tính'!J476</f>
        <v>44624.816051557631</v>
      </c>
      <c r="H39" s="283">
        <f t="shared" si="4"/>
        <v>91729386.052037179</v>
      </c>
      <c r="I39" s="360"/>
      <c r="J39" s="360"/>
      <c r="K39" s="360"/>
      <c r="L39" s="360"/>
    </row>
    <row r="40" spans="1:12">
      <c r="A40" s="246"/>
      <c r="B40" s="265">
        <v>27</v>
      </c>
      <c r="C40" s="246" t="str">
        <f>'5.Tiên lượng'!C68</f>
        <v>AL.24112(VD)</v>
      </c>
      <c r="D40" s="266" t="str">
        <f>'5.Tiên lượng'!D68</f>
        <v>Thi công khe giãn</v>
      </c>
      <c r="E40" s="265" t="str">
        <f>'5.Tiên lượng'!E68</f>
        <v>m</v>
      </c>
      <c r="F40" s="356">
        <f>+'[5]KL tong'!$O$54</f>
        <v>180.154268193467</v>
      </c>
      <c r="G40" s="283">
        <f>'6.Chiết tính'!J500</f>
        <v>115488.889385202</v>
      </c>
      <c r="H40" s="283">
        <f t="shared" si="4"/>
        <v>20805816.351667326</v>
      </c>
      <c r="I40" s="360"/>
      <c r="J40" s="360"/>
      <c r="K40" s="360"/>
      <c r="L40" s="360"/>
    </row>
    <row r="41" spans="1:12">
      <c r="A41" s="246"/>
      <c r="B41" s="265">
        <v>28</v>
      </c>
      <c r="C41" s="246" t="str">
        <f>'5.Tiên lượng'!C69</f>
        <v>AL.24113(VD)</v>
      </c>
      <c r="D41" s="266" t="str">
        <f>'5.Tiên lượng'!D69</f>
        <v>Thi công  khe dọc</v>
      </c>
      <c r="E41" s="265" t="str">
        <f>'5.Tiên lượng'!E69</f>
        <v>m</v>
      </c>
      <c r="F41" s="356">
        <f>+'[5]KL tong'!$O$57</f>
        <v>1970</v>
      </c>
      <c r="G41" s="283">
        <f>'6.Chiết tính'!J520</f>
        <v>35222.24074371763</v>
      </c>
      <c r="H41" s="283">
        <f t="shared" si="4"/>
        <v>69387814.265123725</v>
      </c>
      <c r="I41" s="360"/>
      <c r="J41" s="360"/>
      <c r="K41" s="360"/>
      <c r="L41" s="360"/>
    </row>
    <row r="42" spans="1:12">
      <c r="A42" s="246"/>
      <c r="B42" s="265">
        <v>29</v>
      </c>
      <c r="C42" s="246" t="str">
        <f>'5.Tiên lượng'!C70</f>
        <v>AL.24310</v>
      </c>
      <c r="D42" s="266" t="str">
        <f>'5.Tiên lượng'!D70</f>
        <v>Cắt khe</v>
      </c>
      <c r="E42" s="265" t="str">
        <f>'5.Tiên lượng'!E70</f>
        <v>100m</v>
      </c>
      <c r="F42" s="356">
        <f>+(F39+F40+F41)/100</f>
        <v>42.057232131961065</v>
      </c>
      <c r="G42" s="283">
        <f>'6.Chiết tính'!J538</f>
        <v>537800.10638755234</v>
      </c>
      <c r="H42" s="283">
        <f t="shared" si="4"/>
        <v>22618383.914934646</v>
      </c>
      <c r="I42" s="360"/>
      <c r="J42" s="360"/>
      <c r="K42" s="360"/>
      <c r="L42" s="360"/>
    </row>
    <row r="43" spans="1:12">
      <c r="A43" s="350"/>
      <c r="B43" s="351"/>
      <c r="C43" s="350"/>
      <c r="D43" s="352" t="s">
        <v>423</v>
      </c>
      <c r="E43" s="351"/>
      <c r="F43" s="353"/>
      <c r="G43" s="354"/>
      <c r="H43" s="354">
        <f>SUM(H44:H98)</f>
        <v>10410612547.62447</v>
      </c>
      <c r="I43" s="360"/>
      <c r="J43" s="360"/>
      <c r="K43" s="360"/>
      <c r="L43" s="360"/>
    </row>
    <row r="44" spans="1:12">
      <c r="A44" s="350"/>
      <c r="B44" s="351">
        <v>0</v>
      </c>
      <c r="C44" s="350" t="s">
        <v>339</v>
      </c>
      <c r="D44" s="352" t="s">
        <v>340</v>
      </c>
      <c r="E44" s="351"/>
      <c r="F44" s="353">
        <v>0</v>
      </c>
      <c r="G44" s="354">
        <v>0</v>
      </c>
      <c r="H44" s="354">
        <v>0</v>
      </c>
      <c r="I44" s="360"/>
      <c r="J44" s="360"/>
      <c r="K44" s="360"/>
      <c r="L44" s="360"/>
    </row>
    <row r="45" spans="1:12">
      <c r="A45" s="350"/>
      <c r="B45" s="351">
        <v>0</v>
      </c>
      <c r="C45" s="350" t="s">
        <v>339</v>
      </c>
      <c r="D45" s="352" t="s">
        <v>341</v>
      </c>
      <c r="E45" s="351"/>
      <c r="F45" s="353">
        <v>0</v>
      </c>
      <c r="G45" s="354">
        <v>0</v>
      </c>
      <c r="H45" s="354">
        <v>0</v>
      </c>
      <c r="I45" s="360"/>
      <c r="J45" s="360"/>
      <c r="K45" s="360"/>
      <c r="L45" s="360"/>
    </row>
    <row r="46" spans="1:12">
      <c r="A46" s="246"/>
      <c r="B46" s="265">
        <v>30</v>
      </c>
      <c r="C46" s="246" t="str">
        <f>'5.Tiên lượng'!C76</f>
        <v>AB.31132</v>
      </c>
      <c r="D46" s="266" t="str">
        <f>'5.Tiên lượng'!D76</f>
        <v>Đào nền đường bằng máy đào 1,25m3 - Cấp đất II</v>
      </c>
      <c r="E46" s="265" t="str">
        <f>'5.Tiên lượng'!E76</f>
        <v>100m3</v>
      </c>
      <c r="F46" s="359">
        <f>+'[6]KL tong'!$V$8/100</f>
        <v>3.6799083800000001</v>
      </c>
      <c r="G46" s="283">
        <f>'6.Chiết tính'!J556</f>
        <v>2268009.0857081842</v>
      </c>
      <c r="H46" s="283">
        <f t="shared" ref="H46:H54" si="5">F46*G46</f>
        <v>8346065.6404136857</v>
      </c>
      <c r="I46" s="360"/>
      <c r="J46" s="360"/>
      <c r="K46" s="360"/>
      <c r="L46" s="360"/>
    </row>
    <row r="47" spans="1:12">
      <c r="A47" s="246"/>
      <c r="B47" s="265">
        <v>31</v>
      </c>
      <c r="C47" s="246" t="str">
        <f>'5.Tiên lượng'!C78</f>
        <v>AB.31133</v>
      </c>
      <c r="D47" s="266" t="str">
        <f>'5.Tiên lượng'!D78</f>
        <v>Đào nền đường bằng máy đào 1,25m3 - Cấp đất III</v>
      </c>
      <c r="E47" s="265" t="str">
        <f>'5.Tiên lượng'!E78</f>
        <v>100m3</v>
      </c>
      <c r="F47" s="359">
        <f>+'[6]KL tong'!$V$9/100</f>
        <v>47.81</v>
      </c>
      <c r="G47" s="283">
        <f>'6.Chiết tính'!J572</f>
        <v>2688464.085348784</v>
      </c>
      <c r="H47" s="283">
        <f t="shared" si="5"/>
        <v>128535467.92052537</v>
      </c>
      <c r="I47" s="360"/>
      <c r="J47" s="360"/>
      <c r="K47" s="360"/>
      <c r="L47" s="360"/>
    </row>
    <row r="48" spans="1:12">
      <c r="A48" s="246"/>
      <c r="B48" s="265">
        <v>32</v>
      </c>
      <c r="C48" s="246" t="str">
        <f>'5.Tiên lượng'!C80</f>
        <v>AB.31134</v>
      </c>
      <c r="D48" s="266" t="str">
        <f>'5.Tiên lượng'!D80</f>
        <v>Đào nền đường bằng máy đào 1,25m3 - Cấp đất IV</v>
      </c>
      <c r="E48" s="265" t="str">
        <f>'5.Tiên lượng'!E80</f>
        <v>100m3</v>
      </c>
      <c r="F48" s="359">
        <v>10</v>
      </c>
      <c r="G48" s="283">
        <f>'6.Chiết tính'!J588</f>
        <v>3460005.6574319052</v>
      </c>
      <c r="H48" s="283">
        <f t="shared" si="5"/>
        <v>34600056.57431905</v>
      </c>
      <c r="I48" s="360"/>
      <c r="J48" s="360"/>
      <c r="K48" s="360"/>
      <c r="L48" s="360"/>
    </row>
    <row r="49" spans="1:12">
      <c r="A49" s="246"/>
      <c r="B49" s="265">
        <v>33</v>
      </c>
      <c r="C49" s="246" t="str">
        <f>'5.Tiên lượng'!C82</f>
        <v>AB.31134VD</v>
      </c>
      <c r="D49" s="266" t="str">
        <f>'5.Tiên lượng'!D82</f>
        <v>Đào đường cũ cấp phối bằng máy đào 1,25m3</v>
      </c>
      <c r="E49" s="265" t="str">
        <f>'5.Tiên lượng'!E82</f>
        <v>m3</v>
      </c>
      <c r="F49" s="359">
        <f>+'[6]KL tong'!$V$12</f>
        <v>204.9</v>
      </c>
      <c r="G49" s="283">
        <f>'6.Chiết tính'!J604</f>
        <v>34600.056574319053</v>
      </c>
      <c r="H49" s="283">
        <f t="shared" si="5"/>
        <v>7089551.5920779742</v>
      </c>
      <c r="I49" s="360"/>
      <c r="J49" s="360"/>
      <c r="K49" s="360"/>
      <c r="L49" s="360"/>
    </row>
    <row r="50" spans="1:12">
      <c r="A50" s="246"/>
      <c r="B50" s="265">
        <v>34</v>
      </c>
      <c r="C50" s="246" t="str">
        <f>'5.Tiên lượng'!C85</f>
        <v>AB.31132(VD)</v>
      </c>
      <c r="D50" s="266" t="str">
        <f>'5.Tiên lượng'!D85</f>
        <v>Đào rãnh bằng máy đào 1,25m3 - Cấp đất II</v>
      </c>
      <c r="E50" s="265" t="str">
        <f>'5.Tiên lượng'!E85</f>
        <v>100m3</v>
      </c>
      <c r="F50" s="359">
        <f>+'[6]KL tong'!$V$17/100</f>
        <v>2.8060201249999999</v>
      </c>
      <c r="G50" s="283">
        <f>'6.Chiết tính'!J620</f>
        <v>2186041.5810053027</v>
      </c>
      <c r="H50" s="283">
        <f t="shared" si="5"/>
        <v>6134076.6703876965</v>
      </c>
      <c r="I50" s="360"/>
      <c r="J50" s="360"/>
      <c r="K50" s="360"/>
      <c r="L50" s="360"/>
    </row>
    <row r="51" spans="1:12">
      <c r="A51" s="246"/>
      <c r="B51" s="265">
        <v>35</v>
      </c>
      <c r="C51" s="246" t="str">
        <f>'5.Tiên lượng'!C87</f>
        <v>AB.31133(VD)</v>
      </c>
      <c r="D51" s="266" t="str">
        <f>'5.Tiên lượng'!D87</f>
        <v>Đào rãnh bằng máy đào 1,25m3 - Cấp đất III</v>
      </c>
      <c r="E51" s="265" t="str">
        <f>'5.Tiên lượng'!E87</f>
        <v>100m3</v>
      </c>
      <c r="F51" s="359">
        <f>+'[6]KL tong'!$V$18/100</f>
        <v>2.7734137049999998</v>
      </c>
      <c r="G51" s="283">
        <f>'6.Chiết tính'!J636</f>
        <v>2594786.9371169196</v>
      </c>
      <c r="H51" s="283">
        <f t="shared" si="5"/>
        <v>7196417.6529550375</v>
      </c>
      <c r="I51" s="360"/>
      <c r="J51" s="360"/>
      <c r="K51" s="360"/>
      <c r="L51" s="360"/>
    </row>
    <row r="52" spans="1:12">
      <c r="A52" s="246"/>
      <c r="B52" s="265">
        <v>36</v>
      </c>
      <c r="C52" s="246" t="str">
        <f>'5.Tiên lượng'!C89</f>
        <v>AB.31134(VD)</v>
      </c>
      <c r="D52" s="266" t="str">
        <f>'5.Tiên lượng'!D89</f>
        <v>Đào rãnh bằng máy đào 1,25m3 - Cấp đất IV</v>
      </c>
      <c r="E52" s="265" t="str">
        <f>'5.Tiên lượng'!E89</f>
        <v>100m3</v>
      </c>
      <c r="F52" s="359">
        <f>'5.Tiên lượng'!M89</f>
        <v>6.1699999999999998E-2</v>
      </c>
      <c r="G52" s="283">
        <f>'6.Chiết tính'!J652</f>
        <v>3324173.792495701</v>
      </c>
      <c r="H52" s="283">
        <f t="shared" si="5"/>
        <v>205101.52299698474</v>
      </c>
      <c r="I52" s="360"/>
      <c r="J52" s="360"/>
      <c r="K52" s="360"/>
      <c r="L52" s="360"/>
    </row>
    <row r="53" spans="1:12">
      <c r="A53" s="246"/>
      <c r="B53" s="265">
        <v>37</v>
      </c>
      <c r="C53" s="246" t="str">
        <f>'5.Tiên lượng'!C92</f>
        <v>AB.31132(VD)</v>
      </c>
      <c r="D53" s="266" t="str">
        <f>'5.Tiên lượng'!D92</f>
        <v>Đào cấp bằng máy đào 1,25m3 - Cấp đất II</v>
      </c>
      <c r="E53" s="265" t="str">
        <f>'5.Tiên lượng'!E92</f>
        <v>100m3</v>
      </c>
      <c r="F53" s="359">
        <f>+'[6]KL tong'!$V$17/100</f>
        <v>2.8060201249999999</v>
      </c>
      <c r="G53" s="283">
        <f>'6.Chiết tính'!J668</f>
        <v>2186041.5810053027</v>
      </c>
      <c r="H53" s="283">
        <f t="shared" si="5"/>
        <v>6134076.6703876965</v>
      </c>
      <c r="I53" s="360"/>
      <c r="J53" s="360"/>
      <c r="K53" s="360"/>
      <c r="L53" s="360"/>
    </row>
    <row r="54" spans="1:12">
      <c r="A54" s="246"/>
      <c r="B54" s="265">
        <v>38</v>
      </c>
      <c r="C54" s="246" t="str">
        <f>'5.Tiên lượng'!C94</f>
        <v>AB.31132</v>
      </c>
      <c r="D54" s="266" t="str">
        <f>'5.Tiên lượng'!D94</f>
        <v>Đào hữu cơ bằng máy đào 1,25m3 - Cấp đất II</v>
      </c>
      <c r="E54" s="265" t="str">
        <f>'5.Tiên lượng'!E94</f>
        <v>100m3</v>
      </c>
      <c r="F54" s="359">
        <f>+'[6]KL tong'!$V$18/100</f>
        <v>2.7734137049999998</v>
      </c>
      <c r="G54" s="283">
        <f>'6.Chiết tính'!J684</f>
        <v>2268009.0857081842</v>
      </c>
      <c r="H54" s="283">
        <f t="shared" si="5"/>
        <v>6290127.4813675974</v>
      </c>
      <c r="I54" s="360"/>
      <c r="J54" s="360"/>
      <c r="K54" s="360"/>
      <c r="L54" s="360"/>
    </row>
    <row r="55" spans="1:12">
      <c r="A55" s="350"/>
      <c r="B55" s="351">
        <v>0</v>
      </c>
      <c r="C55" s="350" t="s">
        <v>339</v>
      </c>
      <c r="D55" s="352" t="s">
        <v>376</v>
      </c>
      <c r="E55" s="351"/>
      <c r="F55" s="353">
        <v>0</v>
      </c>
      <c r="G55" s="354">
        <v>0</v>
      </c>
      <c r="H55" s="354">
        <v>0</v>
      </c>
      <c r="I55" s="360"/>
      <c r="J55" s="360"/>
      <c r="K55" s="360"/>
      <c r="L55" s="360"/>
    </row>
    <row r="56" spans="1:12">
      <c r="A56" s="246"/>
      <c r="B56" s="265">
        <v>39</v>
      </c>
      <c r="C56" s="246" t="str">
        <f>'5.Tiên lượng'!C97</f>
        <v>AB.67110</v>
      </c>
      <c r="D56" s="266" t="str">
        <f>'5.Tiên lượng'!D97</f>
        <v>Đắp đá hỗn hợp công trình bằng máy ủi 180CV</v>
      </c>
      <c r="E56" s="265" t="str">
        <f>'5.Tiên lượng'!E97</f>
        <v>100m3</v>
      </c>
      <c r="F56" s="357">
        <f>'5.Tiên lượng'!M97</f>
        <v>0</v>
      </c>
      <c r="G56" s="283">
        <f>'6.Chiết tính'!J700</f>
        <v>5548811.2381228032</v>
      </c>
      <c r="H56" s="283">
        <f t="shared" ref="H56:H58" si="6">F56*G56</f>
        <v>0</v>
      </c>
      <c r="I56" s="360"/>
      <c r="J56" s="360"/>
      <c r="K56" s="360"/>
      <c r="L56" s="360"/>
    </row>
    <row r="57" spans="1:12">
      <c r="A57" s="246"/>
      <c r="B57" s="265">
        <v>40</v>
      </c>
      <c r="C57" s="246" t="str">
        <f>'5.Tiên lượng'!C99</f>
        <v>AD.11212</v>
      </c>
      <c r="D57" s="266" t="str">
        <f>'5.Tiên lượng'!D99</f>
        <v xml:space="preserve">Thi công móng cấp phối đá dăm lớp dưới </v>
      </c>
      <c r="E57" s="265" t="str">
        <f>'5.Tiên lượng'!E99</f>
        <v>100m3</v>
      </c>
      <c r="F57" s="359">
        <f>+'[6]KL tong'!$V$20*1.13*0.15/100</f>
        <v>5.1708967191974988</v>
      </c>
      <c r="G57" s="283">
        <f>'6.Chiết tính'!J721</f>
        <v>45519325.595883742</v>
      </c>
      <c r="H57" s="283">
        <f t="shared" si="6"/>
        <v>235375731.38383797</v>
      </c>
      <c r="I57" s="360"/>
      <c r="J57" s="360"/>
      <c r="K57" s="360"/>
      <c r="L57" s="360"/>
    </row>
    <row r="58" spans="1:12" ht="27.6">
      <c r="A58" s="246"/>
      <c r="B58" s="265">
        <v>41</v>
      </c>
      <c r="C58" s="246" t="str">
        <f>'5.Tiên lượng'!C101</f>
        <v>AB.64113</v>
      </c>
      <c r="D58" s="266" t="str">
        <f>'5.Tiên lượng'!D101</f>
        <v>Đắp nền đường bằng máy lu bánh thép 9T, máy ủi 110CV, độ chặt Y/C K = 0,95</v>
      </c>
      <c r="E58" s="265" t="str">
        <f>'5.Tiên lượng'!E101</f>
        <v>100m3</v>
      </c>
      <c r="F58" s="359">
        <f>+'[6]KL tong'!$V$20*0.85/100</f>
        <v>25.930750509249997</v>
      </c>
      <c r="G58" s="283">
        <f>'6.Chiết tính'!J738</f>
        <v>1538724.1206458865</v>
      </c>
      <c r="H58" s="283">
        <f t="shared" si="6"/>
        <v>39900271.275033578</v>
      </c>
      <c r="I58" s="360"/>
      <c r="J58" s="360"/>
      <c r="K58" s="360"/>
      <c r="L58" s="360"/>
    </row>
    <row r="59" spans="1:12">
      <c r="A59" s="350"/>
      <c r="B59" s="351">
        <v>0</v>
      </c>
      <c r="C59" s="350" t="s">
        <v>339</v>
      </c>
      <c r="D59" s="352" t="s">
        <v>387</v>
      </c>
      <c r="E59" s="351"/>
      <c r="F59" s="353">
        <v>0</v>
      </c>
      <c r="G59" s="354">
        <v>0</v>
      </c>
      <c r="H59" s="354">
        <v>0</v>
      </c>
      <c r="I59" s="360"/>
      <c r="J59" s="360"/>
      <c r="K59" s="360"/>
      <c r="L59" s="360"/>
    </row>
    <row r="60" spans="1:12">
      <c r="A60" s="350"/>
      <c r="B60" s="351">
        <v>0</v>
      </c>
      <c r="C60" s="350" t="s">
        <v>339</v>
      </c>
      <c r="D60" s="352" t="s">
        <v>438</v>
      </c>
      <c r="E60" s="351"/>
      <c r="F60" s="353">
        <v>0</v>
      </c>
      <c r="G60" s="354">
        <v>0</v>
      </c>
      <c r="H60" s="354">
        <v>0</v>
      </c>
      <c r="I60" s="360"/>
      <c r="J60" s="360"/>
      <c r="K60" s="360"/>
      <c r="L60" s="360"/>
    </row>
    <row r="61" spans="1:12" ht="27.6">
      <c r="A61" s="246"/>
      <c r="B61" s="265">
        <v>42</v>
      </c>
      <c r="C61" s="246" t="str">
        <f>'5.Tiên lượng'!C105</f>
        <v>AD.11212(VD)</v>
      </c>
      <c r="D61" s="266" t="str">
        <f>'5.Tiên lượng'!D105</f>
        <v>Bù vật liệu (trên mặt đường cũ lồi lõm) bằng cấp phối đá dăm loại 2 (không lu)</v>
      </c>
      <c r="E61" s="265" t="str">
        <f>'5.Tiên lượng'!E105</f>
        <v>100m3</v>
      </c>
      <c r="F61" s="359">
        <f>+'[6]KL tong'!$V$23/100</f>
        <v>26.676716450000001</v>
      </c>
      <c r="G61" s="283">
        <f>'6.Chiết tính'!J761</f>
        <v>43439631.166095808</v>
      </c>
      <c r="H61" s="283">
        <f t="shared" ref="H61:H66" si="7">F61*G61</f>
        <v>1158826723.3105206</v>
      </c>
      <c r="I61" s="360"/>
      <c r="J61" s="360"/>
      <c r="K61" s="360"/>
      <c r="L61" s="360"/>
    </row>
    <row r="62" spans="1:12">
      <c r="A62" s="246"/>
      <c r="B62" s="265">
        <v>43</v>
      </c>
      <c r="C62" s="246" t="str">
        <f>'5.Tiên lượng'!C107</f>
        <v>AB.31133</v>
      </c>
      <c r="D62" s="266" t="str">
        <f>'5.Tiên lượng'!D107</f>
        <v>Đào đất phần cạp mở rộng bằng máy đào 1,25m3 - Cấp đất III</v>
      </c>
      <c r="E62" s="265" t="str">
        <f>'5.Tiên lượng'!E107</f>
        <v>100m3</v>
      </c>
      <c r="F62" s="359">
        <f>+'[6]KL tong'!$V$25/100</f>
        <v>6.56804218</v>
      </c>
      <c r="G62" s="283">
        <f>'6.Chiết tính'!J777</f>
        <v>2688464.085348784</v>
      </c>
      <c r="H62" s="283">
        <f t="shared" si="7"/>
        <v>17657945.511985932</v>
      </c>
      <c r="I62" s="360"/>
      <c r="J62" s="360"/>
      <c r="K62" s="360"/>
      <c r="L62" s="360"/>
    </row>
    <row r="63" spans="1:12" ht="27.6">
      <c r="A63" s="246"/>
      <c r="B63" s="265">
        <v>44</v>
      </c>
      <c r="C63" s="246" t="str">
        <f>'5.Tiên lượng'!C109</f>
        <v>AD.11212</v>
      </c>
      <c r="D63" s="266" t="str">
        <f>'5.Tiên lượng'!D109</f>
        <v>Bù trả vật liệu phần cạp mở rộng bằng cấp phối đá dăm loại 2 dày 18cm (không lu)</v>
      </c>
      <c r="E63" s="265" t="str">
        <f>'5.Tiên lượng'!E109</f>
        <v>100m3</v>
      </c>
      <c r="F63" s="359">
        <f>+'[6]KL tong'!$V$27/100</f>
        <v>13.352360954400002</v>
      </c>
      <c r="G63" s="283">
        <f>'6.Chiết tính'!J798</f>
        <v>43434802.5000154</v>
      </c>
      <c r="H63" s="283">
        <f t="shared" si="7"/>
        <v>579957160.96328115</v>
      </c>
      <c r="I63" s="360"/>
      <c r="J63" s="360"/>
      <c r="K63" s="360"/>
      <c r="L63" s="360"/>
    </row>
    <row r="64" spans="1:12" ht="41.4">
      <c r="A64" s="246"/>
      <c r="B64" s="265">
        <v>45</v>
      </c>
      <c r="C64" s="246" t="str">
        <f>'5.Tiên lượng'!C111</f>
        <v>LS.11110(ĐM.1322)</v>
      </c>
      <c r="D64" s="266" t="str">
        <f>'5.Tiên lượng'!D111</f>
        <v>Cào bóc tái sinh nguội tại chỗ bằng máy cào bóc tái sinh WR2400 trên mặt đường láng nhựa, chiều dày 18cm (4% xi măng rải thủ công)</v>
      </c>
      <c r="E64" s="265" t="str">
        <f>'5.Tiên lượng'!E111</f>
        <v>100m3</v>
      </c>
      <c r="F64" s="359">
        <f>+'[6]KL tong'!$V$30/100</f>
        <v>55.6604703</v>
      </c>
      <c r="G64" s="283">
        <f>'6.Chiết tính'!J826</f>
        <v>47766092.724215478</v>
      </c>
      <c r="H64" s="283">
        <f t="shared" si="7"/>
        <v>2658683185.4232416</v>
      </c>
      <c r="I64" s="360"/>
      <c r="J64" s="360"/>
      <c r="K64" s="360"/>
      <c r="L64" s="360"/>
    </row>
    <row r="65" spans="1:12" ht="27.6">
      <c r="A65" s="246"/>
      <c r="B65" s="265">
        <v>46</v>
      </c>
      <c r="C65" s="246" t="str">
        <f>'5.Tiên lượng'!C113</f>
        <v>AD.24223</v>
      </c>
      <c r="D65" s="266" t="str">
        <f>'5.Tiên lượng'!D113</f>
        <v>Tưới lớp dính bám mặt đường, nhũ tương CSS1, lượng nhũ tương 1kg/m2</v>
      </c>
      <c r="E65" s="265" t="str">
        <f>'5.Tiên lượng'!E113</f>
        <v>100m2</v>
      </c>
      <c r="F65" s="359">
        <f>+'[6]KL tong'!$V$31/100</f>
        <v>309.22483499999998</v>
      </c>
      <c r="G65" s="283">
        <f>'6.Chiết tính'!J844</f>
        <v>2223602.9637722257</v>
      </c>
      <c r="H65" s="283">
        <f t="shared" si="7"/>
        <v>687593259.57797742</v>
      </c>
      <c r="I65" s="360"/>
      <c r="J65" s="360"/>
      <c r="K65" s="360"/>
      <c r="L65" s="360"/>
    </row>
    <row r="66" spans="1:12" ht="27.6">
      <c r="A66" s="246"/>
      <c r="B66" s="265">
        <v>47</v>
      </c>
      <c r="C66" s="246" t="str">
        <f>'5.Tiên lượng'!C115</f>
        <v>AD.24132</v>
      </c>
      <c r="D66" s="266" t="str">
        <f>'5.Tiên lượng'!D115</f>
        <v>Thi công mặt đường láng nhũ tương 03 lớp - Tiêu chuẩn nhựa 4,5kg/m2</v>
      </c>
      <c r="E66" s="265" t="str">
        <f>'5.Tiên lượng'!E115</f>
        <v>100m2</v>
      </c>
      <c r="F66" s="359">
        <f>+'[6]KL tong'!$V$32/100</f>
        <v>309.22483499999998</v>
      </c>
      <c r="G66" s="283">
        <f>'6.Chiết tính'!J865</f>
        <v>12306400.086340882</v>
      </c>
      <c r="H66" s="283">
        <f t="shared" si="7"/>
        <v>3805444536.1427445</v>
      </c>
      <c r="I66" s="360"/>
      <c r="J66" s="360"/>
      <c r="K66" s="360"/>
      <c r="L66" s="360"/>
    </row>
    <row r="67" spans="1:12">
      <c r="A67" s="350"/>
      <c r="B67" s="351">
        <v>0</v>
      </c>
      <c r="C67" s="350" t="s">
        <v>339</v>
      </c>
      <c r="D67" s="352" t="s">
        <v>454</v>
      </c>
      <c r="E67" s="351"/>
      <c r="F67" s="353">
        <v>0</v>
      </c>
      <c r="G67" s="354">
        <v>0</v>
      </c>
      <c r="H67" s="354">
        <v>0</v>
      </c>
      <c r="I67" s="360"/>
      <c r="J67" s="360"/>
      <c r="K67" s="360"/>
      <c r="L67" s="360"/>
    </row>
    <row r="68" spans="1:12" ht="41.4">
      <c r="A68" s="246"/>
      <c r="B68" s="265">
        <v>48</v>
      </c>
      <c r="C68" s="246" t="str">
        <f>'5.Tiên lượng'!C118</f>
        <v>LS.11110(ĐM.1322)</v>
      </c>
      <c r="D68" s="266" t="str">
        <f>'5.Tiên lượng'!D118</f>
        <v>Cào bóc tái sinh nguội tại chỗ bằng máy cào bóc tái sinh WR2400 trên mặt đường láng nhựa, chiều dày 18cm (4% xi măng rải thủ công)</v>
      </c>
      <c r="E68" s="265" t="str">
        <f>'5.Tiên lượng'!E118</f>
        <v>100m3</v>
      </c>
      <c r="F68" s="359">
        <f>'5.Tiên lượng'!M118</f>
        <v>0.2389</v>
      </c>
      <c r="G68" s="283">
        <f>'6.Chiết tính'!J894</f>
        <v>47766092.724215478</v>
      </c>
      <c r="H68" s="283">
        <f t="shared" ref="H68:H70" si="8">F68*G68</f>
        <v>11411319.551815078</v>
      </c>
      <c r="I68" s="360"/>
      <c r="J68" s="360"/>
      <c r="K68" s="360"/>
      <c r="L68" s="360"/>
    </row>
    <row r="69" spans="1:12" ht="27.6">
      <c r="A69" s="246"/>
      <c r="B69" s="265">
        <v>49</v>
      </c>
      <c r="C69" s="246" t="str">
        <f>'5.Tiên lượng'!C120</f>
        <v>AD.24223</v>
      </c>
      <c r="D69" s="266" t="str">
        <f>'5.Tiên lượng'!D120</f>
        <v>Tưới lớp dính bám mặt đường, nhũ tương CSS1, lượng nhũ tương 1kg/m2</v>
      </c>
      <c r="E69" s="265" t="str">
        <f>'5.Tiên lượng'!E120</f>
        <v>100m2</v>
      </c>
      <c r="F69" s="359">
        <f>'5.Tiên lượng'!M120</f>
        <v>1.3271999999999999</v>
      </c>
      <c r="G69" s="283">
        <f>'6.Chiết tính'!J912</f>
        <v>2223602.9637722257</v>
      </c>
      <c r="H69" s="283">
        <f t="shared" si="8"/>
        <v>2951165.8535184977</v>
      </c>
      <c r="I69" s="360"/>
      <c r="J69" s="360"/>
      <c r="K69" s="360"/>
      <c r="L69" s="360"/>
    </row>
    <row r="70" spans="1:12" ht="27.6">
      <c r="A70" s="246"/>
      <c r="B70" s="265">
        <v>50</v>
      </c>
      <c r="C70" s="246" t="str">
        <f>'5.Tiên lượng'!C122</f>
        <v>AD.24132</v>
      </c>
      <c r="D70" s="266" t="str">
        <f>'5.Tiên lượng'!D122</f>
        <v>Thi công mặt đường láng nhũ tương 03 lớp - Tiêu chuẩn nhựa 4,5kg/m2</v>
      </c>
      <c r="E70" s="265" t="str">
        <f>'5.Tiên lượng'!E122</f>
        <v>100m2</v>
      </c>
      <c r="F70" s="359">
        <f>'5.Tiên lượng'!M122</f>
        <v>1.3271999999999999</v>
      </c>
      <c r="G70" s="283">
        <f>'6.Chiết tính'!J933</f>
        <v>12306400.086340882</v>
      </c>
      <c r="H70" s="283">
        <f t="shared" si="8"/>
        <v>16333054.194591617</v>
      </c>
      <c r="I70" s="360"/>
      <c r="J70" s="360"/>
      <c r="K70" s="360"/>
      <c r="L70" s="360"/>
    </row>
    <row r="71" spans="1:12">
      <c r="A71" s="350"/>
      <c r="B71" s="351">
        <v>0</v>
      </c>
      <c r="C71" s="350" t="s">
        <v>339</v>
      </c>
      <c r="D71" s="352" t="s">
        <v>457</v>
      </c>
      <c r="E71" s="351"/>
      <c r="F71" s="353">
        <v>0</v>
      </c>
      <c r="G71" s="354">
        <v>0</v>
      </c>
      <c r="H71" s="354">
        <v>0</v>
      </c>
      <c r="I71" s="360"/>
      <c r="J71" s="360"/>
      <c r="K71" s="360"/>
      <c r="L71" s="360"/>
    </row>
    <row r="72" spans="1:12">
      <c r="A72" s="350"/>
      <c r="B72" s="351">
        <v>0</v>
      </c>
      <c r="C72" s="350" t="s">
        <v>339</v>
      </c>
      <c r="D72" s="352" t="s">
        <v>458</v>
      </c>
      <c r="E72" s="351"/>
      <c r="F72" s="353">
        <v>0</v>
      </c>
      <c r="G72" s="354">
        <v>0</v>
      </c>
      <c r="H72" s="354">
        <v>0</v>
      </c>
      <c r="I72" s="360"/>
      <c r="J72" s="360"/>
      <c r="K72" s="360"/>
      <c r="L72" s="360"/>
    </row>
    <row r="73" spans="1:12">
      <c r="A73" s="246"/>
      <c r="B73" s="265">
        <v>51</v>
      </c>
      <c r="C73" s="246" t="str">
        <f>'5.Tiên lượng'!C127</f>
        <v>AK.98110(VD)</v>
      </c>
      <c r="D73" s="266" t="str">
        <f>'5.Tiên lượng'!D127</f>
        <v>Đá dăm đệm rãnh, đá (1x2)cm, dày 10cm</v>
      </c>
      <c r="E73" s="265" t="str">
        <f>'5.Tiên lượng'!E127</f>
        <v>m3</v>
      </c>
      <c r="F73" s="361">
        <f>+'[6]KL tong'!$V$41</f>
        <v>47</v>
      </c>
      <c r="G73" s="283">
        <f>'6.Chiết tính'!J951</f>
        <v>957171.65673770616</v>
      </c>
      <c r="H73" s="283">
        <f t="shared" ref="H73:H83" si="9">F73*G73</f>
        <v>44987067.866672188</v>
      </c>
      <c r="I73" s="360"/>
      <c r="J73" s="360"/>
      <c r="K73" s="360"/>
      <c r="L73" s="360"/>
    </row>
    <row r="74" spans="1:12">
      <c r="A74" s="246"/>
      <c r="B74" s="265">
        <v>52</v>
      </c>
      <c r="C74" s="246" t="str">
        <f>'5.Tiên lượng'!C128</f>
        <v>AF.11231</v>
      </c>
      <c r="D74" s="266" t="str">
        <f>'5.Tiên lượng'!D128</f>
        <v>BTXM móng rãnh, M150, đá 2x4, PCB40</v>
      </c>
      <c r="E74" s="265" t="str">
        <f>'5.Tiên lượng'!E128</f>
        <v>m3</v>
      </c>
      <c r="F74" s="361">
        <f>+'[6]KL tong'!$V$42</f>
        <v>47</v>
      </c>
      <c r="G74" s="283">
        <f>'6.Chiết tính'!J972</f>
        <v>1789501.4158042176</v>
      </c>
      <c r="H74" s="283">
        <f t="shared" si="9"/>
        <v>84106566.542798221</v>
      </c>
      <c r="I74" s="360"/>
      <c r="J74" s="360"/>
      <c r="K74" s="360"/>
      <c r="L74" s="360"/>
    </row>
    <row r="75" spans="1:12" ht="27.6">
      <c r="A75" s="246"/>
      <c r="B75" s="265">
        <v>53</v>
      </c>
      <c r="C75" s="246" t="str">
        <f>'5.Tiên lượng'!C129</f>
        <v>AE.26313</v>
      </c>
      <c r="D75" s="266" t="str">
        <f>'5.Tiên lượng'!D129</f>
        <v>Xây rãnh thoát nước bằng gạch KN 6,5x10,5x22cm, vữa XM M75, PCB40</v>
      </c>
      <c r="E75" s="265" t="str">
        <f>'5.Tiên lượng'!E129</f>
        <v>m3</v>
      </c>
      <c r="F75" s="361">
        <f>+'[6]KL tong'!$V$43</f>
        <v>66</v>
      </c>
      <c r="G75" s="283">
        <f>'6.Chiết tính'!J992</f>
        <v>3116769.9581218893</v>
      </c>
      <c r="H75" s="283">
        <f t="shared" si="9"/>
        <v>205706817.2360447</v>
      </c>
      <c r="I75" s="360"/>
      <c r="J75" s="360"/>
      <c r="K75" s="360"/>
      <c r="L75" s="360"/>
    </row>
    <row r="76" spans="1:12">
      <c r="A76" s="246"/>
      <c r="B76" s="265">
        <v>54</v>
      </c>
      <c r="C76" s="246" t="str">
        <f>'5.Tiên lượng'!C130</f>
        <v>AK.21113</v>
      </c>
      <c r="D76" s="266" t="str">
        <f>'5.Tiên lượng'!D130</f>
        <v>Trát tường ngoài dày 1cm, vữa XM M75, PCB40</v>
      </c>
      <c r="E76" s="265" t="str">
        <f>'5.Tiên lượng'!E130</f>
        <v>m2</v>
      </c>
      <c r="F76" s="359">
        <f>+'[6]KL tong'!$V$44</f>
        <v>300</v>
      </c>
      <c r="G76" s="283">
        <f>'6.Chiết tính'!J1011</f>
        <v>91303.717017968578</v>
      </c>
      <c r="H76" s="283">
        <f t="shared" si="9"/>
        <v>27391115.105390575</v>
      </c>
      <c r="I76" s="360"/>
      <c r="J76" s="360"/>
      <c r="K76" s="360"/>
      <c r="L76" s="360"/>
    </row>
    <row r="77" spans="1:12" ht="27.6">
      <c r="A77" s="246"/>
      <c r="B77" s="265">
        <v>55</v>
      </c>
      <c r="C77" s="246" t="str">
        <f>'5.Tiên lượng'!C132</f>
        <v>AF.14212</v>
      </c>
      <c r="D77" s="266" t="str">
        <f>'5.Tiên lượng'!D132</f>
        <v>Bê tông mũ mố, mũ trụ trên cạn SX bằng máy trộn, đổ bằng thủ công, bê tông M200, đá 1x2, PCB40</v>
      </c>
      <c r="E77" s="265" t="str">
        <f>'5.Tiên lượng'!E132</f>
        <v>m3</v>
      </c>
      <c r="F77" s="359">
        <f>+'[6]KL tong'!$V$46</f>
        <v>37.4</v>
      </c>
      <c r="G77" s="283">
        <f>'6.Chiết tính'!J1034</f>
        <v>2551804.4621140463</v>
      </c>
      <c r="H77" s="283">
        <f t="shared" si="9"/>
        <v>95437486.883065328</v>
      </c>
      <c r="I77" s="360"/>
      <c r="J77" s="360"/>
      <c r="K77" s="360"/>
      <c r="L77" s="360"/>
    </row>
    <row r="78" spans="1:12">
      <c r="A78" s="246"/>
      <c r="B78" s="265">
        <v>56</v>
      </c>
      <c r="C78" s="246" t="str">
        <f>'5.Tiên lượng'!C133</f>
        <v>AF.61110</v>
      </c>
      <c r="D78" s="266" t="str">
        <f>'5.Tiên lượng'!D133</f>
        <v>Lắp dựng cốt thép móng, ĐK ≤10mm</v>
      </c>
      <c r="E78" s="265" t="str">
        <f>'5.Tiên lượng'!E133</f>
        <v>tấn</v>
      </c>
      <c r="F78" s="359">
        <f>+'[6]KL tong'!$V$47/1000</f>
        <v>1.55</v>
      </c>
      <c r="G78" s="283">
        <f>'6.Chiết tính'!J1051</f>
        <v>27050625.806872122</v>
      </c>
      <c r="H78" s="283">
        <f t="shared" si="9"/>
        <v>41928470.000651792</v>
      </c>
      <c r="I78" s="360"/>
      <c r="J78" s="360"/>
      <c r="K78" s="360"/>
      <c r="L78" s="360"/>
    </row>
    <row r="79" spans="1:12">
      <c r="A79" s="246"/>
      <c r="B79" s="265">
        <v>57</v>
      </c>
      <c r="C79" s="246" t="str">
        <f>'5.Tiên lượng'!C135</f>
        <v>AF.82511</v>
      </c>
      <c r="D79" s="266" t="str">
        <f>'5.Tiên lượng'!D135</f>
        <v>Ván khuôn thép mũ  mố</v>
      </c>
      <c r="E79" s="265" t="str">
        <f>'5.Tiên lượng'!E135</f>
        <v>100m2</v>
      </c>
      <c r="F79" s="359">
        <f>+'[6]KL tong'!$E$48/100</f>
        <v>5.9</v>
      </c>
      <c r="G79" s="283">
        <f>'6.Chiết tính'!J1071</f>
        <v>7171231.0739318607</v>
      </c>
      <c r="H79" s="283">
        <f t="shared" si="9"/>
        <v>42310263.33619798</v>
      </c>
      <c r="I79" s="360"/>
      <c r="J79" s="360"/>
      <c r="K79" s="360"/>
      <c r="L79" s="360"/>
    </row>
    <row r="80" spans="1:12" ht="41.4">
      <c r="A80" s="246"/>
      <c r="B80" s="265">
        <v>58</v>
      </c>
      <c r="C80" s="246" t="str">
        <f>'5.Tiên lượng'!C138</f>
        <v>AG.11413</v>
      </c>
      <c r="D80" s="266" t="str">
        <f>'5.Tiên lượng'!D138</f>
        <v>Bê tông tấm đan, mái hắt, lanh tô, bê tông M250, đá 1x2, PCB40 - Đổ bê tông đúc sẵn bằng thủ công (vữa bê tông sản xuất bằng máy trộn)</v>
      </c>
      <c r="E80" s="265" t="str">
        <f>'5.Tiên lượng'!E138</f>
        <v>m3</v>
      </c>
      <c r="F80" s="359">
        <f>+'[6]KL tong'!$V$56</f>
        <v>42</v>
      </c>
      <c r="G80" s="283">
        <f>'6.Chiết tính'!J1091</f>
        <v>2160840.0048695421</v>
      </c>
      <c r="H80" s="283">
        <f t="shared" si="9"/>
        <v>90755280.204520762</v>
      </c>
      <c r="I80" s="360"/>
      <c r="J80" s="360"/>
      <c r="K80" s="360"/>
      <c r="L80" s="360"/>
    </row>
    <row r="81" spans="1:12" ht="27.6">
      <c r="A81" s="246"/>
      <c r="B81" s="265">
        <v>59</v>
      </c>
      <c r="C81" s="246" t="str">
        <f>'5.Tiên lượng'!C139</f>
        <v>AG.41610</v>
      </c>
      <c r="D81" s="266" t="str">
        <f>'5.Tiên lượng'!D139</f>
        <v>Lắp đặt cấu kiện bê tông đúc sẵn trọng lượng từ 50kg đến 200kg bằng cần cẩu</v>
      </c>
      <c r="E81" s="265" t="str">
        <f>'5.Tiên lượng'!E139</f>
        <v>1cấu kiện</v>
      </c>
      <c r="F81" s="359">
        <f>+'[6]KL tong'!$V$55</f>
        <v>500</v>
      </c>
      <c r="G81" s="283">
        <f>'6.Chiết tính'!J1106</f>
        <v>40657.448852591995</v>
      </c>
      <c r="H81" s="283">
        <f t="shared" si="9"/>
        <v>20328724.426295996</v>
      </c>
      <c r="I81" s="360"/>
      <c r="J81" s="360"/>
      <c r="K81" s="360"/>
      <c r="L81" s="360"/>
    </row>
    <row r="82" spans="1:12">
      <c r="A82" s="246"/>
      <c r="B82" s="265">
        <v>60</v>
      </c>
      <c r="C82" s="246" t="str">
        <f>'5.Tiên lượng'!C141</f>
        <v>AG.13231</v>
      </c>
      <c r="D82" s="266" t="str">
        <f>'5.Tiên lượng'!D141</f>
        <v>Cốt thép tấm đậy</v>
      </c>
      <c r="E82" s="265" t="str">
        <f>'5.Tiên lượng'!E141</f>
        <v>tấn</v>
      </c>
      <c r="F82" s="359">
        <f>+('[6]KL tong'!$V$57+'[6]KL tong'!$V$58)/1000</f>
        <v>10.82</v>
      </c>
      <c r="G82" s="283">
        <f>'6.Chiết tính'!J1123</f>
        <v>29301812.934146743</v>
      </c>
      <c r="H82" s="283">
        <f t="shared" si="9"/>
        <v>317045615.94746774</v>
      </c>
      <c r="I82" s="360"/>
      <c r="J82" s="360"/>
      <c r="K82" s="360"/>
      <c r="L82" s="360"/>
    </row>
    <row r="83" spans="1:12">
      <c r="A83" s="246"/>
      <c r="B83" s="265">
        <v>61</v>
      </c>
      <c r="C83" s="246" t="str">
        <f>'5.Tiên lượng'!C143</f>
        <v>AG.32511</v>
      </c>
      <c r="D83" s="266" t="str">
        <f>'5.Tiên lượng'!D143</f>
        <v>Ván khuôn thép tấm đậy</v>
      </c>
      <c r="E83" s="265" t="str">
        <f>'5.Tiên lượng'!E143</f>
        <v>100m2</v>
      </c>
      <c r="F83" s="359">
        <f>+'[6]KL tong'!$V$59/100</f>
        <v>2.2400000000000002</v>
      </c>
      <c r="G83" s="283">
        <f>'6.Chiết tính'!J1143</f>
        <v>9799038.0184733067</v>
      </c>
      <c r="H83" s="283">
        <f t="shared" si="9"/>
        <v>21949845.161380209</v>
      </c>
      <c r="I83" s="360"/>
      <c r="J83" s="360"/>
      <c r="K83" s="360"/>
      <c r="L83" s="360"/>
    </row>
    <row r="84" spans="1:12">
      <c r="A84" s="350"/>
      <c r="B84" s="351">
        <v>0</v>
      </c>
      <c r="C84" s="350" t="s">
        <v>339</v>
      </c>
      <c r="D84" s="352" t="s">
        <v>492</v>
      </c>
      <c r="E84" s="351"/>
      <c r="F84" s="353">
        <v>0</v>
      </c>
      <c r="G84" s="354">
        <v>0</v>
      </c>
      <c r="H84" s="354">
        <v>0</v>
      </c>
      <c r="I84" s="360"/>
      <c r="J84" s="360"/>
      <c r="K84" s="360"/>
      <c r="L84" s="360"/>
    </row>
    <row r="85" spans="1:12" ht="27.6">
      <c r="A85" s="246"/>
      <c r="B85" s="265">
        <v>62</v>
      </c>
      <c r="C85" s="246" t="str">
        <f>'5.Tiên lượng'!C146</f>
        <v>BB.11112</v>
      </c>
      <c r="D85" s="266" t="str">
        <f>'5.Tiên lượng'!D146</f>
        <v xml:space="preserve">Lắp đặt ống bê tông bằng thủ công, đoạn ống dài 1m - Đường kính 300mm </v>
      </c>
      <c r="E85" s="265" t="str">
        <f>'5.Tiên lượng'!E146</f>
        <v>1 đoạn ống</v>
      </c>
      <c r="F85" s="357"/>
      <c r="G85" s="283">
        <f>'6.Chiết tính'!J1160</f>
        <v>530345.51533608441</v>
      </c>
      <c r="H85" s="283">
        <f t="shared" ref="H85:H88" si="10">F85*G85</f>
        <v>0</v>
      </c>
      <c r="I85" s="360"/>
      <c r="J85" s="360"/>
      <c r="K85" s="360"/>
      <c r="L85" s="360"/>
    </row>
    <row r="86" spans="1:12" ht="27.6">
      <c r="A86" s="246"/>
      <c r="B86" s="265">
        <v>63</v>
      </c>
      <c r="C86" s="246" t="str">
        <f>'5.Tiên lượng'!C147</f>
        <v>BB.11122</v>
      </c>
      <c r="D86" s="266" t="str">
        <f>'5.Tiên lượng'!D147</f>
        <v xml:space="preserve">Lắp đặt ống bê tông bằng thủ công, đoạn ống dài 2m - Đường kính 300mm </v>
      </c>
      <c r="E86" s="265" t="str">
        <f>'5.Tiên lượng'!E147</f>
        <v>1 đoạn ống</v>
      </c>
      <c r="F86" s="357"/>
      <c r="G86" s="283">
        <f>'6.Chiết tính'!J1176</f>
        <v>1001605.6130721689</v>
      </c>
      <c r="H86" s="283">
        <f t="shared" si="10"/>
        <v>0</v>
      </c>
      <c r="I86" s="360"/>
      <c r="J86" s="360"/>
      <c r="K86" s="360"/>
      <c r="L86" s="360"/>
    </row>
    <row r="87" spans="1:12">
      <c r="A87" s="246"/>
      <c r="B87" s="265">
        <v>64</v>
      </c>
      <c r="C87" s="246" t="str">
        <f>'5.Tiên lượng'!C148</f>
        <v>BB.13502</v>
      </c>
      <c r="D87" s="266" t="str">
        <f>'5.Tiên lượng'!D148</f>
        <v xml:space="preserve">Nối ống bê tông bằng phương pháp xảm - Đường kính 300mm </v>
      </c>
      <c r="E87" s="265" t="str">
        <f>'5.Tiên lượng'!E148</f>
        <v>mối nối</v>
      </c>
      <c r="F87" s="357"/>
      <c r="G87" s="283">
        <f>'6.Chiết tính'!J1193</f>
        <v>33625.87176399376</v>
      </c>
      <c r="H87" s="283">
        <f t="shared" si="10"/>
        <v>0</v>
      </c>
      <c r="I87" s="360"/>
      <c r="J87" s="360"/>
      <c r="K87" s="360"/>
      <c r="L87" s="360"/>
    </row>
    <row r="88" spans="1:12" ht="27.6">
      <c r="A88" s="246"/>
      <c r="B88" s="265">
        <v>65</v>
      </c>
      <c r="C88" s="246" t="str">
        <f>'5.Tiên lượng'!C149</f>
        <v>AB.64113</v>
      </c>
      <c r="D88" s="266" t="str">
        <f>'5.Tiên lượng'!D149</f>
        <v>Đắp nền đường bằng máy lu bánh thép 9T, máy ủi 110CV, độ chặt Y/C K = 0,95</v>
      </c>
      <c r="E88" s="265" t="str">
        <f>'5.Tiên lượng'!E149</f>
        <v>100m3</v>
      </c>
      <c r="F88" s="357"/>
      <c r="G88" s="283">
        <f>'6.Chiết tính'!J1210</f>
        <v>1538724.1206458865</v>
      </c>
      <c r="H88" s="283">
        <f t="shared" si="10"/>
        <v>0</v>
      </c>
      <c r="I88" s="360"/>
      <c r="J88" s="360"/>
      <c r="K88" s="360"/>
      <c r="L88" s="360"/>
    </row>
    <row r="89" spans="1:12">
      <c r="A89" s="350"/>
      <c r="B89" s="351">
        <v>0</v>
      </c>
      <c r="C89" s="350" t="s">
        <v>339</v>
      </c>
      <c r="D89" s="352" t="s">
        <v>503</v>
      </c>
      <c r="E89" s="351"/>
      <c r="F89" s="353">
        <v>0</v>
      </c>
      <c r="G89" s="354">
        <v>0</v>
      </c>
      <c r="H89" s="354">
        <v>0</v>
      </c>
      <c r="I89" s="360"/>
      <c r="J89" s="360"/>
      <c r="K89" s="360"/>
      <c r="L89" s="360"/>
    </row>
    <row r="90" spans="1:12">
      <c r="A90" s="246"/>
      <c r="B90" s="265">
        <v>66</v>
      </c>
      <c r="C90" s="246" t="str">
        <f>'5.Tiên lượng'!C152</f>
        <v>AF.13211</v>
      </c>
      <c r="D90" s="266" t="str">
        <f>'5.Tiên lượng'!D152</f>
        <v>BTXM rãnh dọc, M150, đá 1x2, PCB40</v>
      </c>
      <c r="E90" s="265" t="str">
        <f>'5.Tiên lượng'!E152</f>
        <v>m3</v>
      </c>
      <c r="F90" s="357"/>
      <c r="G90" s="283">
        <f>'6.Chiết tính'!J1232</f>
        <v>2017018.0217496702</v>
      </c>
      <c r="H90" s="283">
        <f t="shared" ref="H90:H93" si="11">F90*G90</f>
        <v>0</v>
      </c>
      <c r="I90" s="360"/>
      <c r="J90" s="360"/>
      <c r="K90" s="360"/>
      <c r="L90" s="360"/>
    </row>
    <row r="91" spans="1:12">
      <c r="A91" s="246"/>
      <c r="B91" s="265">
        <v>67</v>
      </c>
      <c r="C91" s="246" t="str">
        <f>'5.Tiên lượng'!C154</f>
        <v>AL.16201</v>
      </c>
      <c r="D91" s="266" t="str">
        <f>'5.Tiên lượng'!D154</f>
        <v>Ni lông chống thấm</v>
      </c>
      <c r="E91" s="265" t="str">
        <f>'5.Tiên lượng'!E154</f>
        <v>100m2</v>
      </c>
      <c r="F91" s="357"/>
      <c r="G91" s="283">
        <f>'6.Chiết tính'!J1248</f>
        <v>335898.66816</v>
      </c>
      <c r="H91" s="283">
        <f t="shared" si="11"/>
        <v>0</v>
      </c>
      <c r="I91" s="360"/>
      <c r="J91" s="360"/>
      <c r="K91" s="360"/>
      <c r="L91" s="360"/>
    </row>
    <row r="92" spans="1:12">
      <c r="A92" s="246"/>
      <c r="B92" s="265">
        <v>68</v>
      </c>
      <c r="C92" s="246" t="str">
        <f>'5.Tiên lượng'!C156</f>
        <v>AK.98110</v>
      </c>
      <c r="D92" s="266" t="str">
        <f>'5.Tiên lượng'!D156</f>
        <v>Cấp phối đá dăm đệm móng, dày 5cm</v>
      </c>
      <c r="E92" s="265" t="str">
        <f>'5.Tiên lượng'!E156</f>
        <v>m3</v>
      </c>
      <c r="F92" s="357"/>
      <c r="G92" s="283">
        <f>'6.Chiết tính'!J1264</f>
        <v>1084234.8454592994</v>
      </c>
      <c r="H92" s="283">
        <f t="shared" si="11"/>
        <v>0</v>
      </c>
      <c r="I92" s="360"/>
      <c r="J92" s="360"/>
      <c r="K92" s="360"/>
      <c r="L92" s="360"/>
    </row>
    <row r="93" spans="1:12">
      <c r="A93" s="246"/>
      <c r="B93" s="265">
        <v>69</v>
      </c>
      <c r="C93" s="246" t="str">
        <f>'5.Tiên lượng'!C158</f>
        <v>AF.82511</v>
      </c>
      <c r="D93" s="266" t="str">
        <f>'5.Tiên lượng'!D158</f>
        <v>Ván khuôn thép rãnh</v>
      </c>
      <c r="E93" s="265" t="str">
        <f>'5.Tiên lượng'!E158</f>
        <v>100m2</v>
      </c>
      <c r="F93" s="357"/>
      <c r="G93" s="283">
        <f>'6.Chiết tính'!J1284</f>
        <v>7171231.0739318607</v>
      </c>
      <c r="H93" s="283">
        <f t="shared" si="11"/>
        <v>0</v>
      </c>
      <c r="I93" s="360"/>
      <c r="J93" s="360"/>
      <c r="K93" s="360"/>
      <c r="L93" s="360"/>
    </row>
    <row r="94" spans="1:12">
      <c r="A94" s="350"/>
      <c r="B94" s="351">
        <v>0</v>
      </c>
      <c r="C94" s="350" t="s">
        <v>339</v>
      </c>
      <c r="D94" s="352" t="s">
        <v>513</v>
      </c>
      <c r="E94" s="351"/>
      <c r="F94" s="353">
        <v>0</v>
      </c>
      <c r="G94" s="354">
        <v>0</v>
      </c>
      <c r="H94" s="354">
        <v>0</v>
      </c>
      <c r="I94" s="360"/>
      <c r="J94" s="360"/>
      <c r="K94" s="360"/>
      <c r="L94" s="360"/>
    </row>
    <row r="95" spans="1:12" ht="27.6">
      <c r="A95" s="246"/>
      <c r="B95" s="265">
        <v>70</v>
      </c>
      <c r="C95" s="246" t="str">
        <f>'5.Tiên lượng'!C161</f>
        <v>AB.25123</v>
      </c>
      <c r="D95" s="266" t="str">
        <f>'5.Tiên lượng'!D161</f>
        <v>Đào móng bằng máy đào 1,25m3, chiều rộng móng ≤6m - Cấp đất III</v>
      </c>
      <c r="E95" s="265" t="str">
        <f>'5.Tiên lượng'!E161</f>
        <v>100m3</v>
      </c>
      <c r="F95" s="357"/>
      <c r="G95" s="283">
        <f>'6.Chiết tính'!J1300</f>
        <v>2742803.9124860293</v>
      </c>
      <c r="H95" s="283">
        <f t="shared" ref="H95:H96" si="12">F95*G95</f>
        <v>0</v>
      </c>
      <c r="I95" s="360"/>
      <c r="J95" s="360"/>
      <c r="K95" s="360"/>
      <c r="L95" s="360"/>
    </row>
    <row r="96" spans="1:12" ht="27.6">
      <c r="A96" s="246"/>
      <c r="B96" s="265">
        <v>71</v>
      </c>
      <c r="C96" s="246" t="str">
        <f>'5.Tiên lượng'!C163</f>
        <v>AE.11114</v>
      </c>
      <c r="D96" s="266" t="str">
        <f>'5.Tiên lượng'!D163</f>
        <v>Khối xây bó nền bằng đá hộc - Chiều dày ≤60cm, vữa XM M100, PCB40</v>
      </c>
      <c r="E96" s="265" t="str">
        <f>'5.Tiên lượng'!E163</f>
        <v>m3</v>
      </c>
      <c r="F96" s="357"/>
      <c r="G96" s="283">
        <f>'6.Chiết tính'!J1320</f>
        <v>1852270.6737688095</v>
      </c>
      <c r="H96" s="283">
        <f t="shared" si="12"/>
        <v>0</v>
      </c>
      <c r="I96" s="360"/>
      <c r="J96" s="360"/>
      <c r="K96" s="360"/>
      <c r="L96" s="360"/>
    </row>
    <row r="97" spans="1:12">
      <c r="A97" s="350"/>
      <c r="B97" s="351">
        <v>0</v>
      </c>
      <c r="C97" s="350" t="s">
        <v>339</v>
      </c>
      <c r="D97" s="352" t="s">
        <v>519</v>
      </c>
      <c r="E97" s="351"/>
      <c r="F97" s="353"/>
      <c r="G97" s="354">
        <v>0</v>
      </c>
      <c r="H97" s="354">
        <v>0</v>
      </c>
      <c r="I97" s="360"/>
      <c r="J97" s="360"/>
      <c r="K97" s="360"/>
      <c r="L97" s="360"/>
    </row>
    <row r="98" spans="1:12">
      <c r="A98" s="246"/>
      <c r="B98" s="265">
        <v>72</v>
      </c>
      <c r="C98" s="246" t="str">
        <f>'5.Tiên lượng'!C165</f>
        <v>AA.22121</v>
      </c>
      <c r="D98" s="266" t="str">
        <f>'5.Tiên lượng'!D165</f>
        <v>Phá dỡ kết cấu gạch đá bằng búa căn khí nén 3m3/ph</v>
      </c>
      <c r="E98" s="265" t="str">
        <f>'5.Tiên lượng'!E165</f>
        <v>m3</v>
      </c>
      <c r="F98" s="357"/>
      <c r="G98" s="283">
        <f>'6.Chiết tính'!J1337</f>
        <v>174761.56949503999</v>
      </c>
      <c r="H98" s="283">
        <f>F98*G98</f>
        <v>0</v>
      </c>
      <c r="I98" s="360"/>
      <c r="J98" s="360"/>
      <c r="K98" s="360"/>
      <c r="L98" s="360"/>
    </row>
    <row r="99" spans="1:12">
      <c r="A99" s="350"/>
      <c r="B99" s="351"/>
      <c r="C99" s="350"/>
      <c r="D99" s="352" t="s">
        <v>523</v>
      </c>
      <c r="E99" s="351"/>
      <c r="F99" s="353"/>
      <c r="G99" s="354"/>
      <c r="H99" s="354">
        <f>70000000*13+I99</f>
        <v>1210000000</v>
      </c>
      <c r="I99" s="354">
        <v>300000000</v>
      </c>
      <c r="J99" s="360"/>
      <c r="K99" s="360"/>
      <c r="L99" s="360"/>
    </row>
    <row r="100" spans="1:12">
      <c r="A100" s="350"/>
      <c r="B100" s="351">
        <v>0</v>
      </c>
      <c r="C100" s="350" t="s">
        <v>339</v>
      </c>
      <c r="D100" s="352" t="s">
        <v>524</v>
      </c>
      <c r="E100" s="351"/>
      <c r="F100" s="353">
        <v>0</v>
      </c>
      <c r="G100" s="354">
        <v>0</v>
      </c>
      <c r="H100" s="354">
        <v>0</v>
      </c>
      <c r="I100" s="360"/>
      <c r="J100" s="360"/>
      <c r="K100" s="360"/>
      <c r="L100" s="360"/>
    </row>
    <row r="101" spans="1:12" ht="27.6">
      <c r="A101" s="246"/>
      <c r="B101" s="265">
        <v>73</v>
      </c>
      <c r="C101" s="246" t="str">
        <f>'5.Tiên lượng'!C169</f>
        <v>AB.25112</v>
      </c>
      <c r="D101" s="266" t="str">
        <f>'5.Tiên lượng'!D169</f>
        <v>Đào móng bằng máy đào 0,8m3, chiều rộng móng ≤6m - Cấp đất II</v>
      </c>
      <c r="E101" s="265" t="str">
        <f>'5.Tiên lượng'!E169</f>
        <v>100m3</v>
      </c>
      <c r="F101" s="357"/>
      <c r="G101" s="283">
        <f>'6.Chiết tính'!J1353</f>
        <v>2337162.8992389217</v>
      </c>
      <c r="H101" s="283">
        <f t="shared" ref="H101:H104" si="13">F101*G101</f>
        <v>0</v>
      </c>
      <c r="I101" s="360"/>
      <c r="J101" s="360"/>
      <c r="K101" s="360"/>
      <c r="L101" s="360"/>
    </row>
    <row r="102" spans="1:12" ht="27.6">
      <c r="A102" s="246"/>
      <c r="B102" s="265">
        <v>74</v>
      </c>
      <c r="C102" s="246" t="str">
        <f>'5.Tiên lượng'!C171</f>
        <v>AB.25113</v>
      </c>
      <c r="D102" s="266" t="str">
        <f>'5.Tiên lượng'!D171</f>
        <v>Đào móng bằng máy đào 0,8m3, chiều rộng móng ≤6m - Cấp đất III</v>
      </c>
      <c r="E102" s="265" t="str">
        <f>'5.Tiên lượng'!E171</f>
        <v>100m3</v>
      </c>
      <c r="F102" s="357"/>
      <c r="G102" s="283">
        <f>'6.Chiết tính'!J1368</f>
        <v>3019258.9037856967</v>
      </c>
      <c r="H102" s="283">
        <f t="shared" si="13"/>
        <v>0</v>
      </c>
      <c r="I102" s="360"/>
      <c r="J102" s="360"/>
      <c r="K102" s="360"/>
      <c r="L102" s="360"/>
    </row>
    <row r="103" spans="1:12" ht="27.6">
      <c r="A103" s="246"/>
      <c r="B103" s="265">
        <v>75</v>
      </c>
      <c r="C103" s="246" t="str">
        <f>'5.Tiên lượng'!C173</f>
        <v>AB.25114</v>
      </c>
      <c r="D103" s="266" t="str">
        <f>'5.Tiên lượng'!D173</f>
        <v>Đào móng bằng máy đào 0,8m3, chiều rộng móng ≤6m - Cấp đất IV</v>
      </c>
      <c r="E103" s="265" t="str">
        <f>'5.Tiên lượng'!E173</f>
        <v>100m3</v>
      </c>
      <c r="F103" s="357"/>
      <c r="G103" s="283">
        <f>'6.Chiết tính'!J1383</f>
        <v>3435410.5347455791</v>
      </c>
      <c r="H103" s="283">
        <f t="shared" si="13"/>
        <v>0</v>
      </c>
      <c r="I103" s="360"/>
      <c r="J103" s="360"/>
      <c r="K103" s="360"/>
      <c r="L103" s="360"/>
    </row>
    <row r="104" spans="1:12">
      <c r="A104" s="246"/>
      <c r="B104" s="265">
        <v>76</v>
      </c>
      <c r="C104" s="246" t="str">
        <f>'5.Tiên lượng'!C175</f>
        <v>AB.65130</v>
      </c>
      <c r="D104" s="266" t="str">
        <f>'5.Tiên lượng'!D175</f>
        <v>Đắp đất bằng đầm đất cầm tay 70kg, độ chặt Y/C K = 0,95</v>
      </c>
      <c r="E104" s="265" t="str">
        <f>'5.Tiên lượng'!E175</f>
        <v>100m3</v>
      </c>
      <c r="F104" s="357"/>
      <c r="G104" s="283">
        <f>'6.Chiết tính'!J1398</f>
        <v>4239768.0782873435</v>
      </c>
      <c r="H104" s="283">
        <f t="shared" si="13"/>
        <v>0</v>
      </c>
      <c r="I104" s="360"/>
      <c r="J104" s="360"/>
      <c r="K104" s="360"/>
      <c r="L104" s="360"/>
    </row>
    <row r="105" spans="1:12">
      <c r="A105" s="350"/>
      <c r="B105" s="351">
        <v>0</v>
      </c>
      <c r="C105" s="350" t="s">
        <v>339</v>
      </c>
      <c r="D105" s="352" t="s">
        <v>537</v>
      </c>
      <c r="E105" s="351"/>
      <c r="F105" s="353"/>
      <c r="G105" s="354">
        <v>0</v>
      </c>
      <c r="H105" s="354">
        <v>0</v>
      </c>
      <c r="I105" s="360"/>
      <c r="J105" s="360"/>
      <c r="K105" s="360"/>
      <c r="L105" s="360"/>
    </row>
    <row r="106" spans="1:12">
      <c r="A106" s="246"/>
      <c r="B106" s="265">
        <v>77</v>
      </c>
      <c r="C106" s="246" t="str">
        <f>'5.Tiên lượng'!C178</f>
        <v>AE.12314</v>
      </c>
      <c r="D106" s="266" t="str">
        <f>'5.Tiên lượng'!D178</f>
        <v>Xây cống, vữa XM M100, PCB40</v>
      </c>
      <c r="E106" s="265" t="str">
        <f>'5.Tiên lượng'!E178</f>
        <v>m3</v>
      </c>
      <c r="F106" s="357"/>
      <c r="G106" s="283">
        <f>'6.Chiết tính'!J1420</f>
        <v>2319054.5397722023</v>
      </c>
      <c r="H106" s="283">
        <f t="shared" ref="H106:H117" si="14">F106*G106</f>
        <v>0</v>
      </c>
      <c r="I106" s="360"/>
      <c r="J106" s="360"/>
      <c r="K106" s="360"/>
      <c r="L106" s="360"/>
    </row>
    <row r="107" spans="1:12">
      <c r="A107" s="246"/>
      <c r="B107" s="265">
        <v>78</v>
      </c>
      <c r="C107" s="246" t="str">
        <f>'5.Tiên lượng'!C179</f>
        <v>AK.98110</v>
      </c>
      <c r="D107" s="266" t="str">
        <f>'5.Tiên lượng'!D179</f>
        <v>Đá dăm đệm móng, đá (2x4)cm, dày 5cm</v>
      </c>
      <c r="E107" s="265" t="str">
        <f>'5.Tiên lượng'!E179</f>
        <v>m3</v>
      </c>
      <c r="F107" s="357"/>
      <c r="G107" s="283">
        <f>'6.Chiết tính'!J1436</f>
        <v>1084234.8454592994</v>
      </c>
      <c r="H107" s="283">
        <f t="shared" si="14"/>
        <v>0</v>
      </c>
      <c r="I107" s="360"/>
      <c r="J107" s="360"/>
      <c r="K107" s="360"/>
      <c r="L107" s="360"/>
    </row>
    <row r="108" spans="1:12" ht="27.6">
      <c r="A108" s="246"/>
      <c r="B108" s="265">
        <v>79</v>
      </c>
      <c r="C108" s="246" t="str">
        <f>'5.Tiên lượng'!C180</f>
        <v>BB.11211VD</v>
      </c>
      <c r="D108" s="266" t="str">
        <f>'5.Tiên lượng'!D180</f>
        <v>Lắp đặt ống bê tông bằng cần cẩu, đoạn ống dài 1m - Đường kính 400mm</v>
      </c>
      <c r="E108" s="265" t="str">
        <f>'5.Tiên lượng'!E180</f>
        <v>1 đoạn ống</v>
      </c>
      <c r="F108" s="357"/>
      <c r="G108" s="283">
        <f>'6.Chiết tính'!J1454</f>
        <v>688729.04656374955</v>
      </c>
      <c r="H108" s="283">
        <f t="shared" si="14"/>
        <v>0</v>
      </c>
      <c r="I108" s="360"/>
      <c r="J108" s="360"/>
      <c r="K108" s="360"/>
      <c r="L108" s="360"/>
    </row>
    <row r="109" spans="1:12" ht="27.6">
      <c r="A109" s="246"/>
      <c r="B109" s="265">
        <v>80</v>
      </c>
      <c r="C109" s="246" t="str">
        <f>'5.Tiên lượng'!C181</f>
        <v>BB.11221VD</v>
      </c>
      <c r="D109" s="266" t="str">
        <f>'5.Tiên lượng'!D181</f>
        <v>Lắp đặt ống bê tông bằng cần cẩu, đoạn ống dài 2m - Đường kính 400mm</v>
      </c>
      <c r="E109" s="265" t="str">
        <f>'5.Tiên lượng'!E181</f>
        <v>1 đoạn ống</v>
      </c>
      <c r="F109" s="357"/>
      <c r="G109" s="283">
        <f>'6.Chiết tính'!J1472</f>
        <v>1279158.4824463467</v>
      </c>
      <c r="H109" s="283">
        <f t="shared" si="14"/>
        <v>0</v>
      </c>
      <c r="I109" s="360"/>
      <c r="J109" s="360"/>
      <c r="K109" s="360"/>
      <c r="L109" s="360"/>
    </row>
    <row r="110" spans="1:12" ht="27.6">
      <c r="A110" s="246"/>
      <c r="B110" s="265">
        <v>81</v>
      </c>
      <c r="C110" s="246" t="str">
        <f>'5.Tiên lượng'!C182</f>
        <v>BB.11211</v>
      </c>
      <c r="D110" s="266" t="str">
        <f>'5.Tiên lượng'!D182</f>
        <v>Lắp đặt ống bê tông bằng cần cẩu, đoạn ống dài 1m - Đường kính 600mm</v>
      </c>
      <c r="E110" s="265" t="str">
        <f>'5.Tiên lượng'!E182</f>
        <v>1 đoạn ống</v>
      </c>
      <c r="F110" s="357"/>
      <c r="G110" s="283">
        <f>'6.Chiết tính'!J1490</f>
        <v>900151.21862849512</v>
      </c>
      <c r="H110" s="283">
        <f t="shared" si="14"/>
        <v>0</v>
      </c>
      <c r="I110" s="360"/>
      <c r="J110" s="360"/>
      <c r="K110" s="360"/>
      <c r="L110" s="360"/>
    </row>
    <row r="111" spans="1:12" ht="27.6">
      <c r="A111" s="246"/>
      <c r="B111" s="265">
        <v>82</v>
      </c>
      <c r="C111" s="246" t="str">
        <f>'5.Tiên lượng'!C183</f>
        <v>BB.11221</v>
      </c>
      <c r="D111" s="266" t="str">
        <f>'5.Tiên lượng'!D183</f>
        <v>Lắp đặt ống bê tông bằng cần cẩu, đoạn ống dài 2m - Đường kính 600mm</v>
      </c>
      <c r="E111" s="265" t="str">
        <f>'5.Tiên lượng'!E183</f>
        <v>1 đoạn ống</v>
      </c>
      <c r="F111" s="357"/>
      <c r="G111" s="283">
        <f>'6.Chiết tính'!J1508</f>
        <v>1699298.2312846296</v>
      </c>
      <c r="H111" s="283">
        <f t="shared" si="14"/>
        <v>0</v>
      </c>
      <c r="I111" s="360"/>
      <c r="J111" s="360"/>
      <c r="K111" s="360"/>
      <c r="L111" s="360"/>
    </row>
    <row r="112" spans="1:12" ht="27.6">
      <c r="A112" s="246"/>
      <c r="B112" s="265">
        <v>83</v>
      </c>
      <c r="C112" s="246" t="str">
        <f>'5.Tiên lượng'!C184</f>
        <v>BB.11222VD</v>
      </c>
      <c r="D112" s="266" t="str">
        <f>'5.Tiên lượng'!D184</f>
        <v>Lắp đặt ống bê tông bằng cần cẩu, đoạn ống dài 2m - Đường kính 800mm</v>
      </c>
      <c r="E112" s="265" t="str">
        <f>'5.Tiên lượng'!E184</f>
        <v>1 đoạn ống</v>
      </c>
      <c r="F112" s="357"/>
      <c r="G112" s="283">
        <f>'6.Chiết tính'!J1526</f>
        <v>2849756.7080540415</v>
      </c>
      <c r="H112" s="283">
        <f t="shared" si="14"/>
        <v>0</v>
      </c>
      <c r="I112" s="360"/>
      <c r="J112" s="360"/>
      <c r="K112" s="360"/>
      <c r="L112" s="360"/>
    </row>
    <row r="113" spans="1:12">
      <c r="A113" s="246"/>
      <c r="B113" s="265">
        <v>84</v>
      </c>
      <c r="C113" s="246" t="str">
        <f>'5.Tiên lượng'!C185</f>
        <v>BB.13503</v>
      </c>
      <c r="D113" s="266" t="str">
        <f>'5.Tiên lượng'!D185</f>
        <v>Nối ống bê tông bằng phương pháp xảm - Đường kính 400mm</v>
      </c>
      <c r="E113" s="265" t="str">
        <f>'5.Tiên lượng'!E185</f>
        <v>mối nối</v>
      </c>
      <c r="F113" s="357"/>
      <c r="G113" s="283">
        <f>'6.Chiết tính'!J1543</f>
        <v>43675.958085325008</v>
      </c>
      <c r="H113" s="283">
        <f t="shared" si="14"/>
        <v>0</v>
      </c>
      <c r="I113" s="360"/>
      <c r="J113" s="360"/>
      <c r="K113" s="360"/>
      <c r="L113" s="360"/>
    </row>
    <row r="114" spans="1:12">
      <c r="A114" s="246"/>
      <c r="B114" s="265">
        <v>85</v>
      </c>
      <c r="C114" s="246" t="str">
        <f>'5.Tiên lượng'!C186</f>
        <v>BB.13505</v>
      </c>
      <c r="D114" s="266" t="str">
        <f>'5.Tiên lượng'!D186</f>
        <v>Nối ống bê tông bằng phương pháp xảm - Đường kính 600mm</v>
      </c>
      <c r="E114" s="265" t="str">
        <f>'5.Tiên lượng'!E186</f>
        <v>mối nối</v>
      </c>
      <c r="F114" s="357"/>
      <c r="G114" s="283">
        <f>'6.Chiết tính'!J1560</f>
        <v>63776.130727987525</v>
      </c>
      <c r="H114" s="283">
        <f t="shared" si="14"/>
        <v>0</v>
      </c>
      <c r="I114" s="360"/>
      <c r="J114" s="360"/>
      <c r="K114" s="360"/>
      <c r="L114" s="360"/>
    </row>
    <row r="115" spans="1:12">
      <c r="A115" s="246"/>
      <c r="B115" s="265">
        <v>86</v>
      </c>
      <c r="C115" s="246" t="str">
        <f>'5.Tiên lượng'!C187</f>
        <v>BB.13507</v>
      </c>
      <c r="D115" s="266" t="str">
        <f>'5.Tiên lượng'!D187</f>
        <v>Nối ống bê tông bằng phương pháp xảm - Đường kính 800mm</v>
      </c>
      <c r="E115" s="265" t="str">
        <f>'5.Tiên lượng'!E187</f>
        <v>mối nối</v>
      </c>
      <c r="F115" s="357"/>
      <c r="G115" s="283">
        <f>'6.Chiết tính'!J1577</f>
        <v>87158.237375566838</v>
      </c>
      <c r="H115" s="283">
        <f t="shared" si="14"/>
        <v>0</v>
      </c>
      <c r="I115" s="360"/>
      <c r="J115" s="360"/>
      <c r="K115" s="360"/>
      <c r="L115" s="360"/>
    </row>
    <row r="116" spans="1:12" ht="27.6">
      <c r="A116" s="246"/>
      <c r="B116" s="265">
        <v>87</v>
      </c>
      <c r="C116" s="246" t="str">
        <f>'5.Tiên lượng'!C188</f>
        <v>BB.33011</v>
      </c>
      <c r="D116" s="266" t="str">
        <f>'5.Tiên lượng'!D188</f>
        <v>Khối xây gia cố bằng đá hộc - Chiều dày ≤60cm, vữa XM M100, PCB40</v>
      </c>
      <c r="E116" s="265" t="str">
        <f>'5.Tiên lượng'!E188</f>
        <v>100m</v>
      </c>
      <c r="F116" s="357"/>
      <c r="G116" s="283">
        <f>'6.Chiết tính'!J1594</f>
        <v>65961932.638888448</v>
      </c>
      <c r="H116" s="283">
        <f t="shared" si="14"/>
        <v>0</v>
      </c>
      <c r="I116" s="360"/>
      <c r="J116" s="360"/>
      <c r="K116" s="360"/>
      <c r="L116" s="360"/>
    </row>
    <row r="117" spans="1:12">
      <c r="A117" s="246"/>
      <c r="B117" s="265">
        <v>88</v>
      </c>
      <c r="C117" s="246" t="str">
        <f>'5.Tiên lượng'!C190</f>
        <v>TT</v>
      </c>
      <c r="D117" s="266" t="str">
        <f>'5.Tiên lượng'!D190</f>
        <v>Tấm gỗ chắn nước</v>
      </c>
      <c r="E117" s="265" t="str">
        <f>'5.Tiên lượng'!E190</f>
        <v>m3</v>
      </c>
      <c r="F117" s="357"/>
      <c r="G117" s="283">
        <f>'6.Chiết tính'!J1608</f>
        <v>3661115.0775649846</v>
      </c>
      <c r="H117" s="283">
        <f t="shared" si="14"/>
        <v>0</v>
      </c>
      <c r="I117" s="360"/>
      <c r="J117" s="360"/>
      <c r="K117" s="360"/>
      <c r="L117" s="360"/>
    </row>
    <row r="118" spans="1:12">
      <c r="A118" s="350"/>
      <c r="B118" s="351">
        <v>0</v>
      </c>
      <c r="C118" s="350" t="s">
        <v>339</v>
      </c>
      <c r="D118" s="352" t="s">
        <v>561</v>
      </c>
      <c r="E118" s="351"/>
      <c r="F118" s="353">
        <v>0</v>
      </c>
      <c r="G118" s="354">
        <v>0</v>
      </c>
      <c r="H118" s="354">
        <v>0</v>
      </c>
      <c r="I118" s="360"/>
      <c r="J118" s="360"/>
      <c r="K118" s="360"/>
      <c r="L118" s="360"/>
    </row>
    <row r="119" spans="1:12" ht="27.6">
      <c r="A119" s="246"/>
      <c r="B119" s="265">
        <v>89</v>
      </c>
      <c r="C119" s="246" t="str">
        <f>'5.Tiên lượng'!C192</f>
        <v>AF.12151</v>
      </c>
      <c r="D119" s="266" t="str">
        <f>'5.Tiên lượng'!D192</f>
        <v>BTXM đầu cống - Chiều dày ≤45cm, chiều cao ≤6m, M150, đá 2x4, PCB40</v>
      </c>
      <c r="E119" s="265" t="str">
        <f>'5.Tiên lượng'!E192</f>
        <v>m3</v>
      </c>
      <c r="F119" s="357"/>
      <c r="G119" s="283">
        <f>'6.Chiết tính'!J1630</f>
        <v>2349472.3884105361</v>
      </c>
      <c r="H119" s="283">
        <f t="shared" ref="H119:H130" si="15">F119*G119</f>
        <v>0</v>
      </c>
      <c r="I119" s="360"/>
      <c r="J119" s="360"/>
      <c r="K119" s="360"/>
      <c r="L119" s="360"/>
    </row>
    <row r="120" spans="1:12" ht="27.6">
      <c r="A120" s="246"/>
      <c r="B120" s="265">
        <v>90</v>
      </c>
      <c r="C120" s="246" t="str">
        <f>'5.Tiên lượng'!C193</f>
        <v>AF.12152</v>
      </c>
      <c r="D120" s="266" t="str">
        <f>'5.Tiên lượng'!D193</f>
        <v>BTXM thân cống - Chiều dày ≤45cm, chiều cao ≤6m, M200, đá 2x4, PCB40</v>
      </c>
      <c r="E120" s="265" t="str">
        <f>'5.Tiên lượng'!E193</f>
        <v>m3</v>
      </c>
      <c r="F120" s="357"/>
      <c r="G120" s="283">
        <f>'6.Chiết tính'!J1651</f>
        <v>2428728.4722722042</v>
      </c>
      <c r="H120" s="283">
        <f t="shared" si="15"/>
        <v>0</v>
      </c>
      <c r="I120" s="360"/>
      <c r="J120" s="360"/>
      <c r="K120" s="360"/>
      <c r="L120" s="360"/>
    </row>
    <row r="121" spans="1:12">
      <c r="A121" s="246"/>
      <c r="B121" s="265">
        <v>91</v>
      </c>
      <c r="C121" s="246" t="str">
        <f>'5.Tiên lượng'!C194</f>
        <v>AF.11231</v>
      </c>
      <c r="D121" s="266" t="str">
        <f>'5.Tiên lượng'!D194</f>
        <v>BTXM móng cống, M150, đá 2x4, PCB40</v>
      </c>
      <c r="E121" s="265" t="str">
        <f>'5.Tiên lượng'!E194</f>
        <v>m3</v>
      </c>
      <c r="F121" s="357"/>
      <c r="G121" s="283">
        <f>'6.Chiết tính'!J1672</f>
        <v>1789501.4158042176</v>
      </c>
      <c r="H121" s="283">
        <f t="shared" si="15"/>
        <v>0</v>
      </c>
      <c r="I121" s="360"/>
      <c r="J121" s="360"/>
      <c r="K121" s="360"/>
      <c r="L121" s="360"/>
    </row>
    <row r="122" spans="1:12" ht="27.6">
      <c r="A122" s="246"/>
      <c r="B122" s="265">
        <v>92</v>
      </c>
      <c r="C122" s="246" t="str">
        <f>'5.Tiên lượng'!C195</f>
        <v>AG.11413</v>
      </c>
      <c r="D122" s="266" t="str">
        <f>'5.Tiên lượng'!D195</f>
        <v>BTCT tấm bản mặt, M250, đá 1x2, PCB40 - Đổ bê tông đúc sẵn bằng thủ công (vữa bê tông sản xuất bằng máy trộn)</v>
      </c>
      <c r="E122" s="265" t="str">
        <f>'5.Tiên lượng'!E195</f>
        <v>m3</v>
      </c>
      <c r="F122" s="357"/>
      <c r="G122" s="283">
        <f>'6.Chiết tính'!J1692</f>
        <v>2160840.0048695421</v>
      </c>
      <c r="H122" s="283">
        <f t="shared" si="15"/>
        <v>0</v>
      </c>
      <c r="I122" s="360"/>
      <c r="J122" s="360"/>
      <c r="K122" s="360"/>
      <c r="L122" s="360"/>
    </row>
    <row r="123" spans="1:12">
      <c r="A123" s="246"/>
      <c r="B123" s="265">
        <v>93</v>
      </c>
      <c r="C123" s="246" t="str">
        <f>'5.Tiên lượng'!C196</f>
        <v>AG.41610</v>
      </c>
      <c r="D123" s="266" t="str">
        <f>'5.Tiên lượng'!D196</f>
        <v>Lắp đặt tấm bản mặt bằng cần cẩu</v>
      </c>
      <c r="E123" s="265" t="str">
        <f>'5.Tiên lượng'!E196</f>
        <v>1cấu kiện</v>
      </c>
      <c r="F123" s="357"/>
      <c r="G123" s="283">
        <f>'6.Chiết tính'!J1707</f>
        <v>81314.89770518399</v>
      </c>
      <c r="H123" s="283">
        <f t="shared" si="15"/>
        <v>0</v>
      </c>
      <c r="I123" s="360"/>
      <c r="J123" s="360"/>
      <c r="K123" s="360"/>
      <c r="L123" s="360"/>
    </row>
    <row r="124" spans="1:12">
      <c r="A124" s="246"/>
      <c r="B124" s="265">
        <v>94</v>
      </c>
      <c r="C124" s="246" t="str">
        <f>'5.Tiên lượng'!C197</f>
        <v>AF.14232</v>
      </c>
      <c r="D124" s="266" t="str">
        <f>'5.Tiên lượng'!D197</f>
        <v>BTCT mũ mố, M200, đá 2x4, PCB40</v>
      </c>
      <c r="E124" s="265" t="str">
        <f>'5.Tiên lượng'!E197</f>
        <v>m3</v>
      </c>
      <c r="F124" s="357"/>
      <c r="G124" s="283">
        <f>'6.Chiết tính'!J1730</f>
        <v>2505966.1571947578</v>
      </c>
      <c r="H124" s="283">
        <f t="shared" si="15"/>
        <v>0</v>
      </c>
      <c r="I124" s="360"/>
      <c r="J124" s="360"/>
      <c r="K124" s="360"/>
      <c r="L124" s="360"/>
    </row>
    <row r="125" spans="1:12">
      <c r="A125" s="246"/>
      <c r="B125" s="265">
        <v>95</v>
      </c>
      <c r="C125" s="246" t="str">
        <f>'5.Tiên lượng'!C198</f>
        <v>AG.13231</v>
      </c>
      <c r="D125" s="266" t="str">
        <f>'5.Tiên lượng'!D198</f>
        <v>Cốt thép tấm bản mặt</v>
      </c>
      <c r="E125" s="265" t="str">
        <f>'5.Tiên lượng'!E198</f>
        <v>tấn</v>
      </c>
      <c r="F125" s="357"/>
      <c r="G125" s="283">
        <f>'6.Chiết tính'!J1747</f>
        <v>29301812.934146743</v>
      </c>
      <c r="H125" s="283">
        <f t="shared" si="15"/>
        <v>0</v>
      </c>
      <c r="I125" s="360"/>
      <c r="J125" s="360"/>
      <c r="K125" s="360"/>
      <c r="L125" s="360"/>
    </row>
    <row r="126" spans="1:12">
      <c r="A126" s="246"/>
      <c r="B126" s="265">
        <v>96</v>
      </c>
      <c r="C126" s="246" t="str">
        <f>'5.Tiên lượng'!C200</f>
        <v>AG.32511</v>
      </c>
      <c r="D126" s="266" t="str">
        <f>'5.Tiên lượng'!D200</f>
        <v>Ván khuôn thép tấm bản</v>
      </c>
      <c r="E126" s="265" t="str">
        <f>'5.Tiên lượng'!E200</f>
        <v>100m2</v>
      </c>
      <c r="F126" s="357"/>
      <c r="G126" s="283">
        <f>'6.Chiết tính'!J1767</f>
        <v>9799038.0184733067</v>
      </c>
      <c r="H126" s="283">
        <f t="shared" si="15"/>
        <v>0</v>
      </c>
      <c r="I126" s="360"/>
      <c r="J126" s="360"/>
      <c r="K126" s="360"/>
      <c r="L126" s="360"/>
    </row>
    <row r="127" spans="1:12">
      <c r="A127" s="246"/>
      <c r="B127" s="265">
        <v>97</v>
      </c>
      <c r="C127" s="246" t="str">
        <f>'5.Tiên lượng'!C202</f>
        <v>AF.82511</v>
      </c>
      <c r="D127" s="266" t="str">
        <f>'5.Tiên lượng'!D202</f>
        <v>Ván khuôn thép cống</v>
      </c>
      <c r="E127" s="265" t="str">
        <f>'5.Tiên lượng'!E202</f>
        <v>100m2</v>
      </c>
      <c r="F127" s="357"/>
      <c r="G127" s="283">
        <f>'6.Chiết tính'!J1787</f>
        <v>7171231.0739318607</v>
      </c>
      <c r="H127" s="283">
        <f t="shared" si="15"/>
        <v>0</v>
      </c>
      <c r="I127" s="360"/>
      <c r="J127" s="360"/>
      <c r="K127" s="360"/>
      <c r="L127" s="360"/>
    </row>
    <row r="128" spans="1:12">
      <c r="A128" s="246"/>
      <c r="B128" s="265">
        <v>98</v>
      </c>
      <c r="C128" s="246" t="str">
        <f>'5.Tiên lượng'!C204</f>
        <v>AG.41610</v>
      </c>
      <c r="D128" s="266" t="str">
        <f>'5.Tiên lượng'!D204</f>
        <v>Tháo dỡ tấm bản mặt cầu cũ bằng cần cẩu</v>
      </c>
      <c r="E128" s="265" t="str">
        <f>'5.Tiên lượng'!E204</f>
        <v>1cấu kiện</v>
      </c>
      <c r="F128" s="357"/>
      <c r="G128" s="283">
        <f>'6.Chiết tính'!J1802</f>
        <v>24394.469311555196</v>
      </c>
      <c r="H128" s="283">
        <f t="shared" si="15"/>
        <v>0</v>
      </c>
      <c r="I128" s="360"/>
      <c r="J128" s="360"/>
      <c r="K128" s="360"/>
      <c r="L128" s="360"/>
    </row>
    <row r="129" spans="1:12" ht="27.6">
      <c r="A129" s="246"/>
      <c r="B129" s="265">
        <v>99</v>
      </c>
      <c r="C129" s="246" t="str">
        <f>'5.Tiên lượng'!C205</f>
        <v>BB.11211VD</v>
      </c>
      <c r="D129" s="266" t="str">
        <f>'5.Tiên lượng'!D205</f>
        <v>Tháo dỡ ống bê tông bằng cần cẩu, đoạn ống dài 1m - Đường kính 400mm</v>
      </c>
      <c r="E129" s="265" t="str">
        <f>'5.Tiên lượng'!E205</f>
        <v>1 đoạn ống</v>
      </c>
      <c r="F129" s="357"/>
      <c r="G129" s="283">
        <f>'6.Chiết tính'!J1818</f>
        <v>170972.88524459087</v>
      </c>
      <c r="H129" s="283">
        <f t="shared" si="15"/>
        <v>0</v>
      </c>
      <c r="I129" s="360"/>
      <c r="J129" s="360"/>
      <c r="K129" s="360"/>
      <c r="L129" s="360"/>
    </row>
    <row r="130" spans="1:12">
      <c r="A130" s="246"/>
      <c r="B130" s="265">
        <v>100</v>
      </c>
      <c r="C130" s="246" t="str">
        <f>'5.Tiên lượng'!C206</f>
        <v>AA.22121</v>
      </c>
      <c r="D130" s="266" t="str">
        <f>'5.Tiên lượng'!D206</f>
        <v>Phá dỡ kết cấu gạch đá bằng búa căn khí nén 3m3/ph</v>
      </c>
      <c r="E130" s="265" t="str">
        <f>'5.Tiên lượng'!E206</f>
        <v>m3</v>
      </c>
      <c r="F130" s="357"/>
      <c r="G130" s="283">
        <f>'6.Chiết tính'!J1834</f>
        <v>174761.56949503999</v>
      </c>
      <c r="H130" s="283">
        <f t="shared" si="15"/>
        <v>0</v>
      </c>
      <c r="I130" s="360"/>
      <c r="J130" s="360"/>
      <c r="K130" s="360"/>
      <c r="L130" s="360"/>
    </row>
    <row r="131" spans="1:12">
      <c r="A131" s="350"/>
      <c r="B131" s="351"/>
      <c r="C131" s="350"/>
      <c r="D131" s="352" t="s">
        <v>579</v>
      </c>
      <c r="E131" s="351"/>
      <c r="F131" s="353"/>
      <c r="G131" s="354"/>
      <c r="H131" s="354">
        <v>100000000</v>
      </c>
      <c r="I131" s="360"/>
      <c r="J131" s="360"/>
      <c r="K131" s="360"/>
      <c r="L131" s="360"/>
    </row>
    <row r="132" spans="1:12" ht="27.6">
      <c r="A132" s="246"/>
      <c r="B132" s="265">
        <v>101</v>
      </c>
      <c r="C132" s="246" t="str">
        <f>'5.Tiên lượng'!C209</f>
        <v>AB.41432</v>
      </c>
      <c r="D132" s="266" t="str">
        <f>'5.Tiên lượng'!D209</f>
        <v>Vận chuyển đất bằng ô tô tự đổ 10T, phạm vi ≤1000m - Cấp đất II</v>
      </c>
      <c r="E132" s="265" t="str">
        <f>'5.Tiên lượng'!E209</f>
        <v>100m3</v>
      </c>
      <c r="F132" s="357"/>
      <c r="G132" s="283">
        <f>'6.Chiết tính'!J1848</f>
        <v>1954227.9053598745</v>
      </c>
      <c r="H132" s="283">
        <f t="shared" ref="H132:H133" si="16">F132*G132</f>
        <v>0</v>
      </c>
      <c r="I132" s="360"/>
      <c r="J132" s="360"/>
      <c r="K132" s="360"/>
      <c r="L132" s="360"/>
    </row>
    <row r="133" spans="1:12" ht="27.6">
      <c r="A133" s="251"/>
      <c r="B133" s="269">
        <v>102</v>
      </c>
      <c r="C133" s="251" t="str">
        <f>'5.Tiên lượng'!C211</f>
        <v>AB.53431</v>
      </c>
      <c r="D133" s="270" t="str">
        <f>'5.Tiên lượng'!D211</f>
        <v>Vận chuyển đá sau nổ mìn bằng ô tô tự đổ 10T trong phạm vi ≤1000m</v>
      </c>
      <c r="E133" s="269" t="str">
        <f>'5.Tiên lượng'!E211</f>
        <v>100m3</v>
      </c>
      <c r="F133" s="362"/>
      <c r="G133" s="285">
        <f>'6.Chiết tính'!J1862</f>
        <v>3651788.6866087639</v>
      </c>
      <c r="H133" s="285">
        <f t="shared" si="16"/>
        <v>0</v>
      </c>
      <c r="I133" s="360"/>
      <c r="J133" s="360"/>
      <c r="K133" s="360"/>
      <c r="L133" s="360"/>
    </row>
    <row r="134" spans="1:12">
      <c r="A134" s="363" t="s">
        <v>1005</v>
      </c>
      <c r="B134" s="364"/>
      <c r="C134" s="363"/>
      <c r="D134" s="365" t="s">
        <v>85</v>
      </c>
      <c r="E134" s="364"/>
      <c r="F134" s="366"/>
      <c r="G134" s="367"/>
      <c r="H134" s="367">
        <f>SUMIF(B7:B133,"&gt;0",H7:H133)</f>
        <v>14893602598.644045</v>
      </c>
      <c r="I134" s="360"/>
      <c r="J134" s="360"/>
      <c r="K134" s="360"/>
      <c r="L134" s="360"/>
    </row>
    <row r="135" spans="1:12">
      <c r="H135" s="295">
        <f>+H131+H99+H43+H6</f>
        <v>15820612547.62447</v>
      </c>
    </row>
    <row r="136" spans="1:12">
      <c r="H136" s="295">
        <f>+H131+H99+H43+H6</f>
        <v>15820612547.62447</v>
      </c>
    </row>
  </sheetData>
  <mergeCells count="4">
    <mergeCell ref="A1:H1"/>
    <mergeCell ref="A2:H2"/>
    <mergeCell ref="A3:H3"/>
    <mergeCell ref="A4:H4"/>
  </mergeCells>
  <pageMargins left="0.75" right="0.75" top="0.79" bottom="0.79" header="0.3" footer="0.3"/>
  <pageSetup paperSize="9" orientation="landscape" useFirstPageNumber="1"/>
  <headerFooter>
    <oddFooter>&amp;CTrang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5"/>
  </sheetPr>
  <dimension ref="A1:J100"/>
  <sheetViews>
    <sheetView showZeros="0" workbookViewId="0">
      <selection activeCell="H7" sqref="H7"/>
    </sheetView>
  </sheetViews>
  <sheetFormatPr defaultColWidth="9" defaultRowHeight="14.4"/>
  <cols>
    <col min="1" max="1" width="4.77734375" customWidth="1"/>
    <col min="2" max="2" width="8.77734375" customWidth="1"/>
    <col min="3" max="3" width="29.21875" customWidth="1"/>
    <col min="4" max="4" width="7.21875" customWidth="1"/>
    <col min="5" max="5" width="10.77734375" customWidth="1"/>
    <col min="6" max="6" width="8.77734375" hidden="1" customWidth="1"/>
    <col min="7" max="7" width="12.44140625" customWidth="1"/>
    <col min="8" max="8" width="14.44140625" customWidth="1"/>
    <col min="9" max="10" width="8.77734375" hidden="1" customWidth="1"/>
  </cols>
  <sheetData>
    <row r="1" spans="1:10" ht="17.850000000000001" customHeight="1">
      <c r="A1" s="987" t="s">
        <v>1016</v>
      </c>
      <c r="B1" s="988"/>
      <c r="C1" s="988"/>
      <c r="D1" s="988"/>
      <c r="E1" s="988"/>
      <c r="F1" s="988"/>
      <c r="G1" s="988"/>
      <c r="H1" s="988"/>
      <c r="I1" s="988"/>
      <c r="J1" s="988"/>
    </row>
    <row r="2" spans="1:10" ht="28.35" customHeight="1">
      <c r="A2" s="989" t="s">
        <v>254</v>
      </c>
      <c r="B2" s="990"/>
      <c r="C2" s="990"/>
      <c r="D2" s="990"/>
      <c r="E2" s="990"/>
      <c r="F2" s="990"/>
      <c r="G2" s="990"/>
      <c r="H2" s="990"/>
      <c r="I2" s="990"/>
      <c r="J2" s="990"/>
    </row>
    <row r="3" spans="1:10" ht="15" customHeight="1">
      <c r="A3" s="989" t="s">
        <v>763</v>
      </c>
      <c r="B3" s="990"/>
      <c r="C3" s="990"/>
      <c r="D3" s="990"/>
      <c r="E3" s="990"/>
      <c r="F3" s="990"/>
      <c r="G3" s="990"/>
      <c r="H3" s="990"/>
      <c r="I3" s="990"/>
      <c r="J3" s="990"/>
    </row>
    <row r="4" spans="1:10" ht="15.6" customHeight="1">
      <c r="A4" s="991" t="s">
        <v>5</v>
      </c>
      <c r="B4" s="991" t="s">
        <v>592</v>
      </c>
      <c r="C4" s="991" t="s">
        <v>1017</v>
      </c>
      <c r="D4" s="991" t="s">
        <v>594</v>
      </c>
      <c r="E4" s="991" t="s">
        <v>325</v>
      </c>
      <c r="F4" s="991" t="s">
        <v>687</v>
      </c>
      <c r="G4" s="991" t="s">
        <v>697</v>
      </c>
      <c r="H4" s="992" t="s">
        <v>1018</v>
      </c>
      <c r="I4" s="991" t="s">
        <v>1019</v>
      </c>
      <c r="J4" s="991"/>
    </row>
    <row r="5" spans="1:10" ht="32.700000000000003" customHeight="1">
      <c r="A5" s="991"/>
      <c r="B5" s="991"/>
      <c r="C5" s="991"/>
      <c r="D5" s="991"/>
      <c r="E5" s="991"/>
      <c r="F5" s="991"/>
      <c r="G5" s="991"/>
      <c r="H5" s="993"/>
      <c r="I5" s="331" t="s">
        <v>757</v>
      </c>
      <c r="J5" s="331" t="s">
        <v>261</v>
      </c>
    </row>
    <row r="6" spans="1:10" ht="15" customHeight="1">
      <c r="A6" s="332" t="s">
        <v>1020</v>
      </c>
      <c r="B6" s="333"/>
      <c r="C6" s="333" t="s">
        <v>1021</v>
      </c>
      <c r="D6" s="333"/>
      <c r="E6" s="334"/>
      <c r="F6" s="335"/>
      <c r="G6" s="335">
        <f t="shared" ref="G6:H6" si="0">ROUND(SUM(G7:G52),0)</f>
        <v>16952207</v>
      </c>
      <c r="H6" s="335">
        <f t="shared" si="0"/>
        <v>3910398399</v>
      </c>
      <c r="I6" s="335"/>
      <c r="J6" s="335">
        <f>ROUND(SUM(J7:J52),0)</f>
        <v>487787167</v>
      </c>
    </row>
    <row r="7" spans="1:10" ht="15" customHeight="1">
      <c r="A7" s="336">
        <v>1</v>
      </c>
      <c r="B7" s="675" t="s">
        <v>667</v>
      </c>
      <c r="C7" s="338" t="s">
        <v>699</v>
      </c>
      <c r="D7" s="337" t="s">
        <v>700</v>
      </c>
      <c r="E7" s="339">
        <v>38</v>
      </c>
      <c r="F7" s="340">
        <v>330750</v>
      </c>
      <c r="G7" s="340">
        <f>'Giá VL'!V5</f>
        <v>341623.5540532028</v>
      </c>
      <c r="H7" s="340">
        <f t="shared" ref="H7:H51" si="1">E7*G7</f>
        <v>12981695.054021707</v>
      </c>
      <c r="I7" s="340">
        <v>9643.3293270820304</v>
      </c>
      <c r="J7" s="340">
        <v>366446.51442911703</v>
      </c>
    </row>
    <row r="8" spans="1:10" ht="15" customHeight="1">
      <c r="A8" s="336">
        <v>2</v>
      </c>
      <c r="B8" s="675" t="s">
        <v>669</v>
      </c>
      <c r="C8" s="338" t="s">
        <v>701</v>
      </c>
      <c r="D8" s="337" t="s">
        <v>700</v>
      </c>
      <c r="E8" s="339">
        <v>74</v>
      </c>
      <c r="F8" s="340">
        <v>661500</v>
      </c>
      <c r="G8" s="340">
        <f>'Giá VL'!V6</f>
        <v>683247.10810640559</v>
      </c>
      <c r="H8" s="340">
        <f t="shared" si="1"/>
        <v>50560285.999874011</v>
      </c>
      <c r="I8" s="340">
        <v>19286.658654164999</v>
      </c>
      <c r="J8" s="340">
        <v>1427212.7404082101</v>
      </c>
    </row>
    <row r="9" spans="1:10" ht="15" customHeight="1">
      <c r="A9" s="336">
        <v>3</v>
      </c>
      <c r="B9" s="675" t="s">
        <v>679</v>
      </c>
      <c r="C9" s="338" t="s">
        <v>702</v>
      </c>
      <c r="D9" s="337" t="s">
        <v>700</v>
      </c>
      <c r="E9" s="339">
        <v>1</v>
      </c>
      <c r="F9" s="340">
        <v>1854206</v>
      </c>
      <c r="G9" s="340">
        <f>'Giá VL'!V7</f>
        <v>1941194.4324256224</v>
      </c>
      <c r="H9" s="340">
        <f t="shared" si="1"/>
        <v>1941194.4324256224</v>
      </c>
      <c r="I9" s="340">
        <v>100719.21741619</v>
      </c>
      <c r="J9" s="340">
        <v>100719.21741619</v>
      </c>
    </row>
    <row r="10" spans="1:10" ht="15" customHeight="1">
      <c r="A10" s="336">
        <v>4</v>
      </c>
      <c r="B10" s="675" t="s">
        <v>677</v>
      </c>
      <c r="C10" s="338" t="s">
        <v>703</v>
      </c>
      <c r="D10" s="337" t="s">
        <v>700</v>
      </c>
      <c r="E10" s="339">
        <v>1</v>
      </c>
      <c r="F10" s="340">
        <v>546238</v>
      </c>
      <c r="G10" s="340">
        <f>'Giá VL'!V8</f>
        <v>566172.84909753851</v>
      </c>
      <c r="H10" s="340">
        <f t="shared" si="1"/>
        <v>566172.84909753851</v>
      </c>
      <c r="I10" s="340">
        <v>23242.896326814</v>
      </c>
      <c r="J10" s="340">
        <v>23242.896326814</v>
      </c>
    </row>
    <row r="11" spans="1:10" ht="15" customHeight="1">
      <c r="A11" s="336">
        <v>5</v>
      </c>
      <c r="B11" s="675" t="s">
        <v>677</v>
      </c>
      <c r="C11" s="338" t="s">
        <v>704</v>
      </c>
      <c r="D11" s="337" t="s">
        <v>700</v>
      </c>
      <c r="E11" s="339">
        <v>3</v>
      </c>
      <c r="F11" s="340">
        <v>390887</v>
      </c>
      <c r="G11" s="340">
        <f>'Giá VL'!V9</f>
        <v>402013.42740327725</v>
      </c>
      <c r="H11" s="340">
        <f t="shared" si="1"/>
        <v>1206040.2822098318</v>
      </c>
      <c r="I11" s="340">
        <v>11927.275746654001</v>
      </c>
      <c r="J11" s="340">
        <v>35781.827239962098</v>
      </c>
    </row>
    <row r="12" spans="1:10" ht="15" customHeight="1">
      <c r="A12" s="336">
        <v>6</v>
      </c>
      <c r="B12" s="675" t="s">
        <v>678</v>
      </c>
      <c r="C12" s="338" t="s">
        <v>705</v>
      </c>
      <c r="D12" s="337" t="s">
        <v>700</v>
      </c>
      <c r="E12" s="339">
        <v>1</v>
      </c>
      <c r="F12" s="340">
        <v>1092476</v>
      </c>
      <c r="G12" s="340">
        <f>'Giá VL'!V10</f>
        <v>1130245.706531072</v>
      </c>
      <c r="H12" s="340">
        <f t="shared" si="1"/>
        <v>1130245.706531072</v>
      </c>
      <c r="I12" s="340">
        <v>45323.647837290097</v>
      </c>
      <c r="J12" s="340">
        <v>45323.647837290097</v>
      </c>
    </row>
    <row r="13" spans="1:10" ht="15" customHeight="1">
      <c r="A13" s="336">
        <v>7</v>
      </c>
      <c r="B13" s="675" t="s">
        <v>678</v>
      </c>
      <c r="C13" s="338" t="s">
        <v>706</v>
      </c>
      <c r="D13" s="337" t="s">
        <v>700</v>
      </c>
      <c r="E13" s="339">
        <v>15</v>
      </c>
      <c r="F13" s="340">
        <v>781774</v>
      </c>
      <c r="G13" s="340">
        <f>'Giá VL'!V11</f>
        <v>804026.8548065545</v>
      </c>
      <c r="H13" s="340">
        <f t="shared" si="1"/>
        <v>12060402.822098318</v>
      </c>
      <c r="I13" s="340">
        <v>23854.551493309002</v>
      </c>
      <c r="J13" s="340">
        <v>357818.272399635</v>
      </c>
    </row>
    <row r="14" spans="1:10" ht="15" customHeight="1">
      <c r="A14" s="336">
        <v>8</v>
      </c>
      <c r="B14" s="675" t="s">
        <v>707</v>
      </c>
      <c r="C14" s="338" t="s">
        <v>708</v>
      </c>
      <c r="D14" s="337" t="s">
        <v>414</v>
      </c>
      <c r="E14" s="339">
        <v>124.152</v>
      </c>
      <c r="F14" s="340">
        <v>35000</v>
      </c>
      <c r="G14" s="340">
        <f>'Giá VL'!V12</f>
        <v>35000</v>
      </c>
      <c r="H14" s="340">
        <f t="shared" si="1"/>
        <v>4345320</v>
      </c>
      <c r="I14" s="340">
        <v>0</v>
      </c>
      <c r="J14" s="340">
        <v>0</v>
      </c>
    </row>
    <row r="15" spans="1:10" ht="15" customHeight="1">
      <c r="A15" s="336">
        <v>9</v>
      </c>
      <c r="B15" s="675" t="s">
        <v>604</v>
      </c>
      <c r="C15" s="338" t="s">
        <v>709</v>
      </c>
      <c r="D15" s="337" t="s">
        <v>356</v>
      </c>
      <c r="E15" s="339">
        <v>4255.3046000000004</v>
      </c>
      <c r="F15" s="340">
        <v>90000</v>
      </c>
      <c r="G15" s="340">
        <f>'Giá VL'!V13</f>
        <v>240458.05475587127</v>
      </c>
      <c r="H15" s="340">
        <f t="shared" si="1"/>
        <v>1023222266.509711</v>
      </c>
      <c r="I15" s="340">
        <v>70458.054755870995</v>
      </c>
      <c r="J15" s="340">
        <v>299820481.587883</v>
      </c>
    </row>
    <row r="16" spans="1:10" ht="15" customHeight="1">
      <c r="A16" s="336">
        <v>10</v>
      </c>
      <c r="B16" s="675" t="s">
        <v>654</v>
      </c>
      <c r="C16" s="338" t="s">
        <v>710</v>
      </c>
      <c r="D16" s="337" t="s">
        <v>356</v>
      </c>
      <c r="E16" s="339">
        <v>4.032</v>
      </c>
      <c r="F16" s="340">
        <v>250000</v>
      </c>
      <c r="G16" s="340">
        <f>'Giá VL'!V14</f>
        <v>329026.49526849983</v>
      </c>
      <c r="H16" s="340">
        <f t="shared" si="1"/>
        <v>1326634.8289225914</v>
      </c>
      <c r="I16" s="340">
        <v>79026.495268500003</v>
      </c>
      <c r="J16" s="340">
        <v>318634.82892259199</v>
      </c>
    </row>
    <row r="17" spans="1:10" ht="15" customHeight="1">
      <c r="A17" s="336">
        <v>11</v>
      </c>
      <c r="B17" s="675" t="s">
        <v>658</v>
      </c>
      <c r="C17" s="338" t="s">
        <v>711</v>
      </c>
      <c r="D17" s="337" t="s">
        <v>356</v>
      </c>
      <c r="E17" s="339">
        <v>0.65920000000000001</v>
      </c>
      <c r="F17" s="340">
        <v>300000</v>
      </c>
      <c r="G17" s="340">
        <f>'Giá VL'!V15</f>
        <v>379026.49526849983</v>
      </c>
      <c r="H17" s="340">
        <f t="shared" si="1"/>
        <v>249854.2656809951</v>
      </c>
      <c r="I17" s="340">
        <v>79026.495268500003</v>
      </c>
      <c r="J17" s="340">
        <v>52097.363519609702</v>
      </c>
    </row>
    <row r="18" spans="1:10" ht="15" customHeight="1">
      <c r="A18" s="336">
        <v>12</v>
      </c>
      <c r="B18" s="675" t="s">
        <v>656</v>
      </c>
      <c r="C18" s="338" t="s">
        <v>712</v>
      </c>
      <c r="D18" s="337" t="s">
        <v>356</v>
      </c>
      <c r="E18" s="339">
        <v>4.1330999999999998</v>
      </c>
      <c r="F18" s="340">
        <v>300000</v>
      </c>
      <c r="G18" s="340">
        <f>'Giá VL'!V16</f>
        <v>379026.49526849983</v>
      </c>
      <c r="H18" s="340">
        <f t="shared" si="1"/>
        <v>1566554.4075942365</v>
      </c>
      <c r="I18" s="340">
        <v>79026.495268500003</v>
      </c>
      <c r="J18" s="340">
        <v>326624.09939090599</v>
      </c>
    </row>
    <row r="19" spans="1:10" ht="15" customHeight="1">
      <c r="A19" s="336">
        <v>13</v>
      </c>
      <c r="B19" s="675" t="s">
        <v>615</v>
      </c>
      <c r="C19" s="338" t="s">
        <v>713</v>
      </c>
      <c r="D19" s="337" t="s">
        <v>356</v>
      </c>
      <c r="E19" s="339">
        <v>536.34310000000005</v>
      </c>
      <c r="F19" s="340">
        <v>580000</v>
      </c>
      <c r="G19" s="340">
        <f>'Giá VL'!V17</f>
        <v>659026.49526849983</v>
      </c>
      <c r="H19" s="340">
        <f t="shared" si="1"/>
        <v>353464313.45444256</v>
      </c>
      <c r="I19" s="340">
        <v>79026.495268499901</v>
      </c>
      <c r="J19" s="340">
        <v>42385318.967170298</v>
      </c>
    </row>
    <row r="20" spans="1:10" ht="15" customHeight="1">
      <c r="A20" s="336">
        <v>14</v>
      </c>
      <c r="B20" s="675" t="s">
        <v>659</v>
      </c>
      <c r="C20" s="338" t="s">
        <v>714</v>
      </c>
      <c r="D20" s="337" t="s">
        <v>356</v>
      </c>
      <c r="E20" s="339">
        <v>15.106400000000001</v>
      </c>
      <c r="F20" s="340">
        <v>160000</v>
      </c>
      <c r="G20" s="340">
        <f>'Giá VL'!V18</f>
        <v>330458.0547558713</v>
      </c>
      <c r="H20" s="340">
        <f t="shared" si="1"/>
        <v>4992031.5583640942</v>
      </c>
      <c r="I20" s="340">
        <v>70458.054755870995</v>
      </c>
      <c r="J20" s="340">
        <v>1064364.77527093</v>
      </c>
    </row>
    <row r="21" spans="1:10" ht="15" customHeight="1">
      <c r="A21" s="336">
        <v>15</v>
      </c>
      <c r="B21" s="675" t="s">
        <v>616</v>
      </c>
      <c r="C21" s="338" t="s">
        <v>715</v>
      </c>
      <c r="D21" s="337" t="s">
        <v>356</v>
      </c>
      <c r="E21" s="339">
        <v>820.11959999999999</v>
      </c>
      <c r="F21" s="340">
        <v>150000</v>
      </c>
      <c r="G21" s="340">
        <f>'Giá VL'!V19</f>
        <v>310458.0547558713</v>
      </c>
      <c r="H21" s="340">
        <f t="shared" si="1"/>
        <v>254612735.68316326</v>
      </c>
      <c r="I21" s="340">
        <v>70458.054755870995</v>
      </c>
      <c r="J21" s="340">
        <v>57784031.471788898</v>
      </c>
    </row>
    <row r="22" spans="1:10" ht="15" customHeight="1">
      <c r="A22" s="336">
        <v>16</v>
      </c>
      <c r="B22" s="675" t="s">
        <v>653</v>
      </c>
      <c r="C22" s="338" t="s">
        <v>716</v>
      </c>
      <c r="D22" s="337" t="s">
        <v>356</v>
      </c>
      <c r="E22" s="339">
        <v>16.128</v>
      </c>
      <c r="F22" s="340">
        <v>50000</v>
      </c>
      <c r="G22" s="340">
        <f>'Giá VL'!V20</f>
        <v>330458.0547558713</v>
      </c>
      <c r="H22" s="340">
        <f t="shared" si="1"/>
        <v>5329627.5071026925</v>
      </c>
      <c r="I22" s="340">
        <v>70458.054755870995</v>
      </c>
      <c r="J22" s="340">
        <v>1136347.5071026899</v>
      </c>
    </row>
    <row r="23" spans="1:10" ht="15" customHeight="1">
      <c r="A23" s="336">
        <v>17</v>
      </c>
      <c r="B23" s="675" t="s">
        <v>672</v>
      </c>
      <c r="C23" s="338" t="s">
        <v>717</v>
      </c>
      <c r="D23" s="337" t="s">
        <v>356</v>
      </c>
      <c r="E23" s="339">
        <v>2.5747</v>
      </c>
      <c r="F23" s="340">
        <v>150000</v>
      </c>
      <c r="G23" s="340">
        <f>'Giá VL'!V21</f>
        <v>330458.0547558713</v>
      </c>
      <c r="H23" s="340">
        <f t="shared" si="1"/>
        <v>850830.35357994179</v>
      </c>
      <c r="I23" s="340">
        <v>70458.054755870995</v>
      </c>
      <c r="J23" s="340">
        <v>181407.648999394</v>
      </c>
    </row>
    <row r="24" spans="1:10" ht="15" customHeight="1">
      <c r="A24" s="336">
        <v>18</v>
      </c>
      <c r="B24" s="675" t="s">
        <v>671</v>
      </c>
      <c r="C24" s="338" t="s">
        <v>718</v>
      </c>
      <c r="D24" s="337" t="s">
        <v>356</v>
      </c>
      <c r="E24" s="339">
        <v>54.204000000000001</v>
      </c>
      <c r="F24" s="340">
        <v>130000</v>
      </c>
      <c r="G24" s="340">
        <f>'Giá VL'!V22</f>
        <v>306636.9934461856</v>
      </c>
      <c r="H24" s="340">
        <f t="shared" si="1"/>
        <v>16620951.592757044</v>
      </c>
      <c r="I24" s="340">
        <v>66636.993446185996</v>
      </c>
      <c r="J24" s="340">
        <v>3611991.59275707</v>
      </c>
    </row>
    <row r="25" spans="1:10" ht="15" customHeight="1">
      <c r="A25" s="336">
        <v>19</v>
      </c>
      <c r="B25" s="675" t="s">
        <v>662</v>
      </c>
      <c r="C25" s="338" t="s">
        <v>719</v>
      </c>
      <c r="D25" s="337" t="s">
        <v>720</v>
      </c>
      <c r="E25" s="339">
        <v>34.672800000000002</v>
      </c>
      <c r="F25" s="340">
        <v>20000</v>
      </c>
      <c r="G25" s="340">
        <f>'Giá VL'!V23</f>
        <v>20000</v>
      </c>
      <c r="H25" s="340">
        <f t="shared" si="1"/>
        <v>693456</v>
      </c>
      <c r="I25" s="340">
        <v>0</v>
      </c>
      <c r="J25" s="340">
        <v>0</v>
      </c>
    </row>
    <row r="26" spans="1:10" ht="15" customHeight="1">
      <c r="A26" s="336">
        <v>20</v>
      </c>
      <c r="B26" s="675" t="s">
        <v>626</v>
      </c>
      <c r="C26" s="338" t="s">
        <v>790</v>
      </c>
      <c r="D26" s="337" t="s">
        <v>468</v>
      </c>
      <c r="E26" s="339">
        <v>5034.92</v>
      </c>
      <c r="F26" s="340">
        <v>2000</v>
      </c>
      <c r="G26" s="340">
        <f>'Giá VL'!V24</f>
        <v>2000</v>
      </c>
      <c r="H26" s="340">
        <f t="shared" si="1"/>
        <v>10069840</v>
      </c>
      <c r="I26" s="340">
        <v>0</v>
      </c>
      <c r="J26" s="340">
        <v>0</v>
      </c>
    </row>
    <row r="27" spans="1:10" ht="15" customHeight="1">
      <c r="A27" s="336">
        <v>21</v>
      </c>
      <c r="B27" s="675" t="s">
        <v>618</v>
      </c>
      <c r="C27" s="338" t="s">
        <v>722</v>
      </c>
      <c r="D27" s="337" t="s">
        <v>356</v>
      </c>
      <c r="E27" s="339">
        <v>12.779199999999999</v>
      </c>
      <c r="F27" s="340">
        <v>2500000</v>
      </c>
      <c r="G27" s="340">
        <f>'Giá VL'!V25</f>
        <v>2844105.8536283039</v>
      </c>
      <c r="H27" s="340">
        <f t="shared" si="1"/>
        <v>36345397.524686821</v>
      </c>
      <c r="I27" s="340">
        <v>44105.853628300101</v>
      </c>
      <c r="J27" s="340">
        <v>563637.52468677296</v>
      </c>
    </row>
    <row r="28" spans="1:10" ht="15" customHeight="1">
      <c r="A28" s="336">
        <v>22</v>
      </c>
      <c r="B28" s="675" t="s">
        <v>682</v>
      </c>
      <c r="C28" s="338" t="s">
        <v>723</v>
      </c>
      <c r="D28" s="337" t="s">
        <v>356</v>
      </c>
      <c r="E28" s="339">
        <v>0.01</v>
      </c>
      <c r="F28" s="340">
        <v>2500000</v>
      </c>
      <c r="G28" s="340">
        <f>'Giá VL'!V26</f>
        <v>2844105.8536283039</v>
      </c>
      <c r="H28" s="340">
        <f t="shared" si="1"/>
        <v>28441.058536283039</v>
      </c>
      <c r="I28" s="340">
        <v>44105.853628300101</v>
      </c>
      <c r="J28" s="340">
        <v>441.05853628300099</v>
      </c>
    </row>
    <row r="29" spans="1:10" ht="15" customHeight="1">
      <c r="A29" s="336">
        <v>23</v>
      </c>
      <c r="B29" s="675" t="s">
        <v>636</v>
      </c>
      <c r="C29" s="338" t="s">
        <v>725</v>
      </c>
      <c r="D29" s="337" t="s">
        <v>726</v>
      </c>
      <c r="E29" s="339">
        <v>1.1286</v>
      </c>
      <c r="F29" s="340">
        <v>45000</v>
      </c>
      <c r="G29" s="340">
        <f>'Giá VL'!V27</f>
        <v>45000</v>
      </c>
      <c r="H29" s="340">
        <f t="shared" si="1"/>
        <v>50787</v>
      </c>
      <c r="I29" s="340">
        <v>0</v>
      </c>
      <c r="J29" s="340">
        <v>0</v>
      </c>
    </row>
    <row r="30" spans="1:10" ht="15" customHeight="1">
      <c r="A30" s="336">
        <v>24</v>
      </c>
      <c r="B30" s="675" t="s">
        <v>631</v>
      </c>
      <c r="C30" s="338" t="s">
        <v>727</v>
      </c>
      <c r="D30" s="337" t="s">
        <v>720</v>
      </c>
      <c r="E30" s="339">
        <v>2282.9917999999998</v>
      </c>
      <c r="F30" s="340">
        <v>4000</v>
      </c>
      <c r="G30" s="340">
        <f>'Giá VL'!V28</f>
        <v>4000</v>
      </c>
      <c r="H30" s="340">
        <f t="shared" si="1"/>
        <v>9131967.1999999993</v>
      </c>
      <c r="I30" s="340">
        <v>0</v>
      </c>
      <c r="J30" s="340">
        <v>0</v>
      </c>
    </row>
    <row r="31" spans="1:10" ht="28.35" customHeight="1">
      <c r="A31" s="336">
        <v>25</v>
      </c>
      <c r="B31" s="675" t="s">
        <v>681</v>
      </c>
      <c r="C31" s="338" t="s">
        <v>728</v>
      </c>
      <c r="D31" s="337" t="s">
        <v>726</v>
      </c>
      <c r="E31" s="339">
        <v>0.98399999999999999</v>
      </c>
      <c r="F31" s="340">
        <v>266200</v>
      </c>
      <c r="G31" s="340">
        <f>'Giá VL'!V29</f>
        <v>266200</v>
      </c>
      <c r="H31" s="340">
        <f t="shared" si="1"/>
        <v>261940.8</v>
      </c>
      <c r="I31" s="340">
        <v>0</v>
      </c>
      <c r="J31" s="340">
        <v>0</v>
      </c>
    </row>
    <row r="32" spans="1:10" ht="15" customHeight="1">
      <c r="A32" s="336">
        <v>26</v>
      </c>
      <c r="B32" s="675" t="s">
        <v>729</v>
      </c>
      <c r="C32" s="338" t="s">
        <v>730</v>
      </c>
      <c r="D32" s="337" t="s">
        <v>720</v>
      </c>
      <c r="E32" s="339">
        <v>44.4878</v>
      </c>
      <c r="F32" s="340">
        <v>200</v>
      </c>
      <c r="G32" s="340">
        <f>'Giá VL'!V30</f>
        <v>200</v>
      </c>
      <c r="H32" s="340">
        <f t="shared" si="1"/>
        <v>8897.56</v>
      </c>
      <c r="I32" s="340">
        <v>0</v>
      </c>
      <c r="J32" s="340">
        <v>0</v>
      </c>
    </row>
    <row r="33" spans="1:10" ht="15" customHeight="1">
      <c r="A33" s="336">
        <v>27</v>
      </c>
      <c r="B33" s="675" t="s">
        <v>619</v>
      </c>
      <c r="C33" s="338" t="s">
        <v>731</v>
      </c>
      <c r="D33" s="337" t="s">
        <v>720</v>
      </c>
      <c r="E33" s="339">
        <v>3354.0450000000001</v>
      </c>
      <c r="F33" s="340">
        <v>11901.316415683899</v>
      </c>
      <c r="G33" s="340">
        <f>'Giá VL'!V31</f>
        <v>13717.500872863939</v>
      </c>
      <c r="H33" s="340">
        <f t="shared" si="1"/>
        <v>46009115.215124927</v>
      </c>
      <c r="I33" s="340">
        <v>83.316415683901099</v>
      </c>
      <c r="J33" s="340">
        <v>279447.00744250999</v>
      </c>
    </row>
    <row r="34" spans="1:10" ht="15" customHeight="1">
      <c r="A34" s="336">
        <v>28</v>
      </c>
      <c r="B34" s="675" t="s">
        <v>646</v>
      </c>
      <c r="C34" s="338" t="s">
        <v>732</v>
      </c>
      <c r="D34" s="337" t="s">
        <v>720</v>
      </c>
      <c r="E34" s="339">
        <v>62266.692499999997</v>
      </c>
      <c r="F34" s="340">
        <v>13600</v>
      </c>
      <c r="G34" s="340">
        <f>'Giá VL'!V32</f>
        <v>13717.500872863939</v>
      </c>
      <c r="H34" s="340">
        <f t="shared" si="1"/>
        <v>854143408.71910048</v>
      </c>
      <c r="I34" s="340">
        <v>83.316415683899294</v>
      </c>
      <c r="J34" s="340">
        <v>5187837.6355915396</v>
      </c>
    </row>
    <row r="35" spans="1:10" ht="15" customHeight="1">
      <c r="A35" s="336">
        <v>29</v>
      </c>
      <c r="B35" s="675" t="s">
        <v>617</v>
      </c>
      <c r="C35" s="338" t="s">
        <v>733</v>
      </c>
      <c r="D35" s="337" t="s">
        <v>734</v>
      </c>
      <c r="E35" s="339">
        <v>426018.94300000003</v>
      </c>
      <c r="F35" s="340">
        <v>15</v>
      </c>
      <c r="G35" s="340">
        <f>'Giá VL'!V33</f>
        <v>15</v>
      </c>
      <c r="H35" s="340">
        <f t="shared" si="1"/>
        <v>6390284.1450000005</v>
      </c>
      <c r="I35" s="340">
        <v>0</v>
      </c>
      <c r="J35" s="340">
        <v>0</v>
      </c>
    </row>
    <row r="36" spans="1:10" ht="15" customHeight="1">
      <c r="A36" s="336">
        <v>30</v>
      </c>
      <c r="B36" s="675" t="s">
        <v>735</v>
      </c>
      <c r="C36" s="338" t="s">
        <v>736</v>
      </c>
      <c r="D36" s="337" t="s">
        <v>414</v>
      </c>
      <c r="E36" s="339">
        <v>164.50139999999999</v>
      </c>
      <c r="F36" s="340">
        <v>12000</v>
      </c>
      <c r="G36" s="340">
        <f>'Giá VL'!V34</f>
        <v>12000</v>
      </c>
      <c r="H36" s="340">
        <f t="shared" si="1"/>
        <v>1974016.7999999998</v>
      </c>
      <c r="I36" s="340">
        <v>0</v>
      </c>
      <c r="J36" s="340">
        <v>0</v>
      </c>
    </row>
    <row r="37" spans="1:10" ht="28.35" customHeight="1">
      <c r="A37" s="336">
        <v>31</v>
      </c>
      <c r="B37" s="675" t="s">
        <v>680</v>
      </c>
      <c r="C37" s="338" t="s">
        <v>737</v>
      </c>
      <c r="D37" s="337" t="s">
        <v>414</v>
      </c>
      <c r="E37" s="339">
        <v>8.2409999999999997</v>
      </c>
      <c r="F37" s="340">
        <v>391025</v>
      </c>
      <c r="G37" s="340">
        <f>'Giá VL'!V35</f>
        <v>391025</v>
      </c>
      <c r="H37" s="340">
        <f t="shared" si="1"/>
        <v>3222437.0249999999</v>
      </c>
      <c r="I37" s="340">
        <v>0</v>
      </c>
      <c r="J37" s="340">
        <v>0</v>
      </c>
    </row>
    <row r="38" spans="1:10" ht="15" customHeight="1">
      <c r="A38" s="336">
        <v>32</v>
      </c>
      <c r="B38" s="675" t="s">
        <v>639</v>
      </c>
      <c r="C38" s="338" t="s">
        <v>738</v>
      </c>
      <c r="D38" s="337" t="s">
        <v>720</v>
      </c>
      <c r="E38" s="339">
        <v>5457.8159999999998</v>
      </c>
      <c r="F38" s="340">
        <v>23569</v>
      </c>
      <c r="G38" s="340">
        <f>'Giá VL'!V36</f>
        <v>23745.717985167823</v>
      </c>
      <c r="H38" s="340">
        <f t="shared" si="1"/>
        <v>129599759.5509367</v>
      </c>
      <c r="I38" s="340">
        <v>137.930507025201</v>
      </c>
      <c r="J38" s="340">
        <v>752799.32813025604</v>
      </c>
    </row>
    <row r="39" spans="1:10" ht="15" customHeight="1">
      <c r="A39" s="336">
        <v>33</v>
      </c>
      <c r="B39" s="675" t="s">
        <v>628</v>
      </c>
      <c r="C39" s="338" t="s">
        <v>739</v>
      </c>
      <c r="D39" s="337" t="s">
        <v>720</v>
      </c>
      <c r="E39" s="339">
        <v>12.404500000000001</v>
      </c>
      <c r="F39" s="340">
        <v>22000</v>
      </c>
      <c r="G39" s="340">
        <f>'Giá VL'!V37</f>
        <v>22000</v>
      </c>
      <c r="H39" s="340">
        <f t="shared" si="1"/>
        <v>272899</v>
      </c>
      <c r="I39" s="340">
        <v>0</v>
      </c>
      <c r="J39" s="340">
        <v>0</v>
      </c>
    </row>
    <row r="40" spans="1:10" ht="15" customHeight="1">
      <c r="A40" s="336">
        <v>34</v>
      </c>
      <c r="B40" s="675" t="s">
        <v>632</v>
      </c>
      <c r="C40" s="338" t="s">
        <v>740</v>
      </c>
      <c r="D40" s="337" t="s">
        <v>720</v>
      </c>
      <c r="E40" s="339">
        <v>5790.3130000000001</v>
      </c>
      <c r="F40" s="340">
        <v>17500</v>
      </c>
      <c r="G40" s="340">
        <f>'Giá VL'!V38</f>
        <v>17587.694379947148</v>
      </c>
      <c r="H40" s="340">
        <f t="shared" si="1"/>
        <v>101838255.40823491</v>
      </c>
      <c r="I40" s="340">
        <v>41.694379947100998</v>
      </c>
      <c r="J40" s="340">
        <v>241423.510234638</v>
      </c>
    </row>
    <row r="41" spans="1:10" ht="15" customHeight="1">
      <c r="A41" s="336">
        <v>35</v>
      </c>
      <c r="B41" s="675" t="s">
        <v>664</v>
      </c>
      <c r="C41" s="338" t="s">
        <v>741</v>
      </c>
      <c r="D41" s="337" t="s">
        <v>720</v>
      </c>
      <c r="E41" s="339">
        <v>63.9527</v>
      </c>
      <c r="F41" s="340">
        <v>17500</v>
      </c>
      <c r="G41" s="340">
        <f>'Giá VL'!V39</f>
        <v>17587.694379947148</v>
      </c>
      <c r="H41" s="340">
        <f t="shared" si="1"/>
        <v>1124780.542372446</v>
      </c>
      <c r="I41" s="340">
        <v>41.694379947100998</v>
      </c>
      <c r="J41" s="340">
        <v>2666.4693398856002</v>
      </c>
    </row>
    <row r="42" spans="1:10" ht="15" customHeight="1">
      <c r="A42" s="336">
        <v>36</v>
      </c>
      <c r="B42" s="675" t="s">
        <v>627</v>
      </c>
      <c r="C42" s="338" t="s">
        <v>742</v>
      </c>
      <c r="D42" s="337" t="s">
        <v>720</v>
      </c>
      <c r="E42" s="339">
        <v>119.08580000000001</v>
      </c>
      <c r="F42" s="340">
        <v>17500</v>
      </c>
      <c r="G42" s="340">
        <f>'Giá VL'!V40</f>
        <v>17587.694379947148</v>
      </c>
      <c r="H42" s="340">
        <f t="shared" si="1"/>
        <v>2094444.6553915101</v>
      </c>
      <c r="I42" s="340">
        <v>41.694379947100998</v>
      </c>
      <c r="J42" s="340">
        <v>4965.2065067854801</v>
      </c>
    </row>
    <row r="43" spans="1:10" ht="15" customHeight="1">
      <c r="A43" s="336">
        <v>37</v>
      </c>
      <c r="B43" s="675" t="s">
        <v>663</v>
      </c>
      <c r="C43" s="338" t="s">
        <v>743</v>
      </c>
      <c r="D43" s="337" t="s">
        <v>720</v>
      </c>
      <c r="E43" s="339">
        <v>103.8493</v>
      </c>
      <c r="F43" s="340">
        <v>17500</v>
      </c>
      <c r="G43" s="340">
        <f>'Giá VL'!V41</f>
        <v>17587.694379947148</v>
      </c>
      <c r="H43" s="340">
        <f t="shared" si="1"/>
        <v>1826469.7499714454</v>
      </c>
      <c r="I43" s="340">
        <v>41.694379947100998</v>
      </c>
      <c r="J43" s="340">
        <v>4329.9340059931901</v>
      </c>
    </row>
    <row r="44" spans="1:10" ht="15" customHeight="1">
      <c r="A44" s="336">
        <v>38</v>
      </c>
      <c r="B44" s="675" t="s">
        <v>666</v>
      </c>
      <c r="C44" s="338" t="s">
        <v>744</v>
      </c>
      <c r="D44" s="337" t="s">
        <v>720</v>
      </c>
      <c r="E44" s="339">
        <v>1950.9641999999999</v>
      </c>
      <c r="F44" s="340">
        <v>17500</v>
      </c>
      <c r="G44" s="340">
        <f>'Giá VL'!V42</f>
        <v>17587.694379947148</v>
      </c>
      <c r="H44" s="340">
        <f t="shared" si="1"/>
        <v>34312962.09581808</v>
      </c>
      <c r="I44" s="340">
        <v>41.694379947100998</v>
      </c>
      <c r="J44" s="340">
        <v>81344.242617991898</v>
      </c>
    </row>
    <row r="45" spans="1:10" ht="15" customHeight="1">
      <c r="A45" s="336">
        <v>39</v>
      </c>
      <c r="B45" s="675" t="s">
        <v>661</v>
      </c>
      <c r="C45" s="338" t="s">
        <v>745</v>
      </c>
      <c r="D45" s="337" t="s">
        <v>720</v>
      </c>
      <c r="E45" s="339">
        <v>246.12450000000001</v>
      </c>
      <c r="F45" s="340">
        <v>17500</v>
      </c>
      <c r="G45" s="340">
        <f>'Giá VL'!V43</f>
        <v>17587.694379947148</v>
      </c>
      <c r="H45" s="340">
        <f t="shared" si="1"/>
        <v>4328762.4854173018</v>
      </c>
      <c r="I45" s="340">
        <v>41.694379947100998</v>
      </c>
      <c r="J45" s="340">
        <v>10262.008417290301</v>
      </c>
    </row>
    <row r="46" spans="1:10" ht="15" customHeight="1">
      <c r="A46" s="336">
        <v>40</v>
      </c>
      <c r="B46" s="675" t="s">
        <v>670</v>
      </c>
      <c r="C46" s="338" t="s">
        <v>746</v>
      </c>
      <c r="D46" s="337" t="s">
        <v>720</v>
      </c>
      <c r="E46" s="339">
        <v>201.43709999999999</v>
      </c>
      <c r="F46" s="340">
        <v>1550</v>
      </c>
      <c r="G46" s="340">
        <f>'Giá VL'!V44</f>
        <v>1680</v>
      </c>
      <c r="H46" s="340">
        <f t="shared" si="1"/>
        <v>338414.32799999998</v>
      </c>
      <c r="I46" s="340">
        <v>84.811529366179897</v>
      </c>
      <c r="J46" s="340">
        <v>17084.188522088101</v>
      </c>
    </row>
    <row r="47" spans="1:10" ht="15" customHeight="1">
      <c r="A47" s="336">
        <v>41</v>
      </c>
      <c r="B47" s="675" t="s">
        <v>614</v>
      </c>
      <c r="C47" s="338" t="s">
        <v>747</v>
      </c>
      <c r="D47" s="337" t="s">
        <v>720</v>
      </c>
      <c r="E47" s="339">
        <v>441615.7745</v>
      </c>
      <c r="F47" s="340">
        <v>1610</v>
      </c>
      <c r="G47" s="340">
        <f>'Giá VL'!V45</f>
        <v>1730</v>
      </c>
      <c r="H47" s="340">
        <f t="shared" si="1"/>
        <v>763995289.88499999</v>
      </c>
      <c r="I47" s="340">
        <v>84.811529366179897</v>
      </c>
      <c r="J47" s="340">
        <v>37454109.224182598</v>
      </c>
    </row>
    <row r="48" spans="1:10" ht="15" customHeight="1">
      <c r="A48" s="336">
        <v>42</v>
      </c>
      <c r="B48" s="675" t="s">
        <v>648</v>
      </c>
      <c r="C48" s="338" t="s">
        <v>748</v>
      </c>
      <c r="D48" s="337" t="s">
        <v>356</v>
      </c>
      <c r="E48" s="339">
        <v>72.554199999999994</v>
      </c>
      <c r="F48" s="340">
        <v>135000</v>
      </c>
      <c r="G48" s="340">
        <f>'Giá VL'!V46</f>
        <v>280458.0547558713</v>
      </c>
      <c r="H48" s="340">
        <f t="shared" si="1"/>
        <v>20348409.796368435</v>
      </c>
      <c r="I48" s="340">
        <v>70458.054755870995</v>
      </c>
      <c r="J48" s="340">
        <v>5112030.12148422</v>
      </c>
    </row>
    <row r="49" spans="1:10" ht="15" customHeight="1">
      <c r="A49" s="336">
        <v>43</v>
      </c>
      <c r="B49" s="675" t="s">
        <v>649</v>
      </c>
      <c r="C49" s="338" t="s">
        <v>749</v>
      </c>
      <c r="D49" s="337" t="s">
        <v>356</v>
      </c>
      <c r="E49" s="339">
        <v>131.0308</v>
      </c>
      <c r="F49" s="340">
        <v>160000</v>
      </c>
      <c r="G49" s="340">
        <f>'Giá VL'!V47</f>
        <v>280458.0547558713</v>
      </c>
      <c r="H49" s="340">
        <f t="shared" si="1"/>
        <v>36748643.281105623</v>
      </c>
      <c r="I49" s="340">
        <v>70458.054755870995</v>
      </c>
      <c r="J49" s="340">
        <v>9232173.8014864307</v>
      </c>
    </row>
    <row r="50" spans="1:10" ht="15" customHeight="1">
      <c r="A50" s="336">
        <v>44</v>
      </c>
      <c r="B50" s="675" t="s">
        <v>650</v>
      </c>
      <c r="C50" s="338" t="s">
        <v>750</v>
      </c>
      <c r="D50" s="337" t="s">
        <v>356</v>
      </c>
      <c r="E50" s="339">
        <v>217.6627</v>
      </c>
      <c r="F50" s="340">
        <v>160000</v>
      </c>
      <c r="G50" s="340">
        <f>'Giá VL'!V48</f>
        <v>280458.0547558713</v>
      </c>
      <c r="H50" s="340">
        <f t="shared" si="1"/>
        <v>61045257.434910789</v>
      </c>
      <c r="I50" s="340">
        <v>70458.054755870995</v>
      </c>
      <c r="J50" s="340">
        <v>15336090.364452699</v>
      </c>
    </row>
    <row r="51" spans="1:10" ht="28.35" customHeight="1">
      <c r="A51" s="336">
        <v>45</v>
      </c>
      <c r="B51" s="675" t="s">
        <v>655</v>
      </c>
      <c r="C51" s="338" t="s">
        <v>751</v>
      </c>
      <c r="D51" s="337" t="s">
        <v>752</v>
      </c>
      <c r="E51" s="339">
        <v>5736.5</v>
      </c>
      <c r="F51" s="340">
        <v>1150</v>
      </c>
      <c r="G51" s="340">
        <f>'Giá VL'!V49</f>
        <v>1506.5773788111758</v>
      </c>
      <c r="H51" s="340">
        <f t="shared" si="1"/>
        <v>8642481.1335503105</v>
      </c>
      <c r="I51" s="340">
        <v>356.57737881117998</v>
      </c>
      <c r="J51" s="340">
        <v>2045506.1335503301</v>
      </c>
    </row>
    <row r="52" spans="1:10" ht="15" customHeight="1">
      <c r="A52" s="336">
        <v>46</v>
      </c>
      <c r="B52" s="675" t="s">
        <v>620</v>
      </c>
      <c r="C52" s="338" t="s">
        <v>760</v>
      </c>
      <c r="D52" s="337" t="s">
        <v>37</v>
      </c>
      <c r="E52" s="339"/>
      <c r="F52" s="340">
        <v>0</v>
      </c>
      <c r="G52" s="340">
        <v>0</v>
      </c>
      <c r="H52" s="340">
        <v>28524423.301268701</v>
      </c>
      <c r="I52" s="340">
        <v>0</v>
      </c>
      <c r="J52" s="340">
        <v>2423174.1506375601</v>
      </c>
    </row>
    <row r="53" spans="1:10" ht="14.1" customHeight="1">
      <c r="A53" s="336"/>
      <c r="B53" s="337"/>
      <c r="C53" s="338"/>
      <c r="D53" s="337"/>
      <c r="E53" s="339"/>
      <c r="F53" s="340"/>
      <c r="G53" s="340"/>
      <c r="H53" s="340"/>
      <c r="I53" s="340"/>
      <c r="J53" s="340"/>
    </row>
    <row r="54" spans="1:10" ht="15" customHeight="1">
      <c r="A54" s="332" t="s">
        <v>1022</v>
      </c>
      <c r="B54" s="333"/>
      <c r="C54" s="333" t="s">
        <v>1023</v>
      </c>
      <c r="D54" s="333"/>
      <c r="E54" s="334"/>
      <c r="F54" s="335"/>
      <c r="G54" s="335">
        <f t="shared" ref="G54:H54" si="2">ROUND(SUM(G55:G60),0)</f>
        <v>1535526</v>
      </c>
      <c r="H54" s="335">
        <f t="shared" si="2"/>
        <v>716881393</v>
      </c>
      <c r="I54" s="335"/>
      <c r="J54" s="335">
        <f>ROUND(SUM(J55:J60),0)</f>
        <v>0</v>
      </c>
    </row>
    <row r="55" spans="1:10" ht="16.350000000000001" customHeight="1">
      <c r="A55" s="336">
        <v>1</v>
      </c>
      <c r="B55" s="675" t="s">
        <v>598</v>
      </c>
      <c r="C55" s="338" t="s">
        <v>793</v>
      </c>
      <c r="D55" s="337" t="s">
        <v>895</v>
      </c>
      <c r="E55" s="339">
        <v>241.31659999999999</v>
      </c>
      <c r="F55" s="340">
        <v>218559</v>
      </c>
      <c r="G55" s="340">
        <f>'Giá NC'!K5</f>
        <v>228618</v>
      </c>
      <c r="H55" s="340">
        <f t="shared" ref="H55:H60" si="3">E55*G55</f>
        <v>55169318.458799995</v>
      </c>
      <c r="I55" s="340">
        <v>0</v>
      </c>
      <c r="J55" s="340">
        <v>0</v>
      </c>
    </row>
    <row r="56" spans="1:10" ht="16.350000000000001" customHeight="1">
      <c r="A56" s="336">
        <v>2</v>
      </c>
      <c r="B56" s="675" t="s">
        <v>601</v>
      </c>
      <c r="C56" s="338" t="s">
        <v>896</v>
      </c>
      <c r="D56" s="337" t="s">
        <v>895</v>
      </c>
      <c r="E56" s="339">
        <v>4.0975999999999999</v>
      </c>
      <c r="F56" s="340">
        <v>239000</v>
      </c>
      <c r="G56" s="340">
        <f>'Giá NC'!K6</f>
        <v>250000</v>
      </c>
      <c r="H56" s="340">
        <f t="shared" si="3"/>
        <v>1024400</v>
      </c>
      <c r="I56" s="340">
        <v>0</v>
      </c>
      <c r="J56" s="340">
        <v>0</v>
      </c>
    </row>
    <row r="57" spans="1:10" ht="16.350000000000001" customHeight="1">
      <c r="A57" s="336">
        <v>3</v>
      </c>
      <c r="B57" s="675" t="s">
        <v>605</v>
      </c>
      <c r="C57" s="338" t="s">
        <v>897</v>
      </c>
      <c r="D57" s="337" t="s">
        <v>895</v>
      </c>
      <c r="E57" s="339">
        <v>28.8093</v>
      </c>
      <c r="F57" s="340">
        <v>215633</v>
      </c>
      <c r="G57" s="340">
        <f>'Giá NC'!K7</f>
        <v>246908</v>
      </c>
      <c r="H57" s="340">
        <f t="shared" si="3"/>
        <v>7113246.6443999996</v>
      </c>
      <c r="I57" s="340">
        <v>0</v>
      </c>
      <c r="J57" s="340">
        <v>0</v>
      </c>
    </row>
    <row r="58" spans="1:10" ht="16.350000000000001" customHeight="1">
      <c r="A58" s="336">
        <v>4</v>
      </c>
      <c r="B58" s="675" t="s">
        <v>605</v>
      </c>
      <c r="C58" s="338" t="s">
        <v>897</v>
      </c>
      <c r="D58" s="337" t="s">
        <v>895</v>
      </c>
      <c r="E58" s="339">
        <v>102.88890000000001</v>
      </c>
      <c r="F58" s="340">
        <v>225875</v>
      </c>
      <c r="G58" s="340">
        <f>'Giá NC'!K8</f>
        <v>246908</v>
      </c>
      <c r="H58" s="340">
        <f t="shared" si="3"/>
        <v>25404092.521200001</v>
      </c>
      <c r="I58" s="340">
        <v>0</v>
      </c>
      <c r="J58" s="340">
        <v>0</v>
      </c>
    </row>
    <row r="59" spans="1:10" ht="16.350000000000001" customHeight="1">
      <c r="A59" s="336">
        <v>5</v>
      </c>
      <c r="B59" s="675" t="s">
        <v>622</v>
      </c>
      <c r="C59" s="338" t="s">
        <v>898</v>
      </c>
      <c r="D59" s="337" t="s">
        <v>895</v>
      </c>
      <c r="E59" s="339">
        <v>2128.7044999999998</v>
      </c>
      <c r="F59" s="340">
        <v>247000</v>
      </c>
      <c r="G59" s="340">
        <f>'Giá NC'!K9</f>
        <v>270000</v>
      </c>
      <c r="H59" s="340">
        <f t="shared" si="3"/>
        <v>574750215</v>
      </c>
      <c r="I59" s="340">
        <v>0</v>
      </c>
      <c r="J59" s="340">
        <v>0</v>
      </c>
    </row>
    <row r="60" spans="1:10" ht="16.350000000000001" customHeight="1">
      <c r="A60" s="336">
        <v>6</v>
      </c>
      <c r="B60" s="675" t="s">
        <v>629</v>
      </c>
      <c r="C60" s="338" t="s">
        <v>899</v>
      </c>
      <c r="D60" s="337" t="s">
        <v>895</v>
      </c>
      <c r="E60" s="339">
        <v>182.26400000000001</v>
      </c>
      <c r="F60" s="340">
        <v>268125</v>
      </c>
      <c r="G60" s="340">
        <f>'Giá NC'!K10</f>
        <v>293092</v>
      </c>
      <c r="H60" s="340">
        <f t="shared" si="3"/>
        <v>53420120.288000003</v>
      </c>
      <c r="I60" s="340">
        <v>0</v>
      </c>
      <c r="J60" s="340">
        <v>0</v>
      </c>
    </row>
    <row r="61" spans="1:10" ht="16.350000000000001" customHeight="1">
      <c r="A61" s="336"/>
      <c r="B61" s="337"/>
      <c r="C61" s="338"/>
      <c r="D61" s="337"/>
      <c r="E61" s="339"/>
      <c r="F61" s="340"/>
      <c r="G61" s="340"/>
      <c r="H61" s="340"/>
      <c r="I61" s="340"/>
      <c r="J61" s="340"/>
    </row>
    <row r="62" spans="1:10" ht="15" customHeight="1">
      <c r="A62" s="332" t="s">
        <v>1024</v>
      </c>
      <c r="B62" s="333"/>
      <c r="C62" s="333" t="s">
        <v>1025</v>
      </c>
      <c r="D62" s="333"/>
      <c r="E62" s="334"/>
      <c r="F62" s="335"/>
      <c r="G62" s="335">
        <f t="shared" ref="G62:H62" si="4">ROUND(SUM(G63:G98),0)</f>
        <v>101788023</v>
      </c>
      <c r="H62" s="335">
        <f t="shared" si="4"/>
        <v>629235847</v>
      </c>
      <c r="I62" s="335"/>
      <c r="J62" s="335">
        <f>ROUND(SUM(J63:J98),0)</f>
        <v>0</v>
      </c>
    </row>
    <row r="63" spans="1:10" ht="15" customHeight="1">
      <c r="A63" s="336">
        <v>1</v>
      </c>
      <c r="B63" s="675" t="s">
        <v>673</v>
      </c>
      <c r="C63" s="338" t="s">
        <v>925</v>
      </c>
      <c r="D63" s="337" t="s">
        <v>926</v>
      </c>
      <c r="E63" s="339">
        <v>1.5786</v>
      </c>
      <c r="F63" s="340">
        <v>21146.666666666701</v>
      </c>
      <c r="G63" s="340">
        <f>'Giá Máy'!O5</f>
        <v>21146.666666666668</v>
      </c>
      <c r="H63" s="340">
        <f t="shared" ref="H63:H74" si="5">E63*G63</f>
        <v>33382.128000000004</v>
      </c>
      <c r="I63" s="340">
        <v>0</v>
      </c>
      <c r="J63" s="340">
        <v>0</v>
      </c>
    </row>
    <row r="64" spans="1:10" ht="15" customHeight="1">
      <c r="A64" s="336">
        <v>2</v>
      </c>
      <c r="B64" s="675" t="s">
        <v>665</v>
      </c>
      <c r="C64" s="338" t="s">
        <v>927</v>
      </c>
      <c r="D64" s="337" t="s">
        <v>926</v>
      </c>
      <c r="E64" s="339">
        <v>2.7410000000000001</v>
      </c>
      <c r="F64" s="340">
        <v>1532614.2333333299</v>
      </c>
      <c r="G64" s="340">
        <f>'Giá Máy'!O6</f>
        <v>1611810.0333333332</v>
      </c>
      <c r="H64" s="340">
        <f t="shared" si="5"/>
        <v>4417971.3013666663</v>
      </c>
      <c r="I64" s="340">
        <v>0</v>
      </c>
      <c r="J64" s="340">
        <v>0</v>
      </c>
    </row>
    <row r="65" spans="1:10" ht="15" customHeight="1">
      <c r="A65" s="336">
        <v>3</v>
      </c>
      <c r="B65" s="675" t="s">
        <v>660</v>
      </c>
      <c r="C65" s="338" t="s">
        <v>928</v>
      </c>
      <c r="D65" s="337" t="s">
        <v>926</v>
      </c>
      <c r="E65" s="339">
        <v>0.30149999999999999</v>
      </c>
      <c r="F65" s="340">
        <v>1963068.6973333301</v>
      </c>
      <c r="G65" s="340">
        <f>'Giá Máy'!O7</f>
        <v>2048480.7533333334</v>
      </c>
      <c r="H65" s="340">
        <f t="shared" si="5"/>
        <v>617616.94712999999</v>
      </c>
      <c r="I65" s="340">
        <v>0</v>
      </c>
      <c r="J65" s="340">
        <v>0</v>
      </c>
    </row>
    <row r="66" spans="1:10" ht="15" customHeight="1">
      <c r="A66" s="336">
        <v>4</v>
      </c>
      <c r="B66" s="675" t="s">
        <v>637</v>
      </c>
      <c r="C66" s="338" t="s">
        <v>929</v>
      </c>
      <c r="D66" s="337" t="s">
        <v>926</v>
      </c>
      <c r="E66" s="339">
        <v>5.3662999999999998</v>
      </c>
      <c r="F66" s="340">
        <v>469142.142666667</v>
      </c>
      <c r="G66" s="340">
        <f>'Giá Máy'!O8</f>
        <v>491957.28666666668</v>
      </c>
      <c r="H66" s="340">
        <f t="shared" si="5"/>
        <v>2639990.3874393334</v>
      </c>
      <c r="I66" s="340">
        <v>0</v>
      </c>
      <c r="J66" s="340">
        <v>0</v>
      </c>
    </row>
    <row r="67" spans="1:10" ht="15" customHeight="1">
      <c r="A67" s="336">
        <v>5</v>
      </c>
      <c r="B67" s="675" t="s">
        <v>633</v>
      </c>
      <c r="C67" s="338" t="s">
        <v>930</v>
      </c>
      <c r="D67" s="337" t="s">
        <v>926</v>
      </c>
      <c r="E67" s="339">
        <v>26.891400000000001</v>
      </c>
      <c r="F67" s="340">
        <v>263524.69340666698</v>
      </c>
      <c r="G67" s="340">
        <f>'Giá Máy'!O9</f>
        <v>286284.61192166666</v>
      </c>
      <c r="H67" s="340">
        <f t="shared" si="5"/>
        <v>7698594.0130303074</v>
      </c>
      <c r="I67" s="340">
        <v>0</v>
      </c>
      <c r="J67" s="340">
        <v>0</v>
      </c>
    </row>
    <row r="68" spans="1:10" ht="15" customHeight="1">
      <c r="A68" s="336">
        <v>6</v>
      </c>
      <c r="B68" s="675" t="s">
        <v>624</v>
      </c>
      <c r="C68" s="338" t="s">
        <v>931</v>
      </c>
      <c r="D68" s="337" t="s">
        <v>926</v>
      </c>
      <c r="E68" s="339">
        <v>81.239199999999997</v>
      </c>
      <c r="F68" s="340">
        <v>254878.35930000001</v>
      </c>
      <c r="G68" s="340">
        <f>'Giá Máy'!O10</f>
        <v>276870.75847500004</v>
      </c>
      <c r="H68" s="340">
        <f t="shared" si="5"/>
        <v>22492758.921902221</v>
      </c>
      <c r="I68" s="340">
        <v>0</v>
      </c>
      <c r="J68" s="340">
        <v>0</v>
      </c>
    </row>
    <row r="69" spans="1:10" ht="15" customHeight="1">
      <c r="A69" s="336">
        <v>7</v>
      </c>
      <c r="B69" s="675" t="s">
        <v>676</v>
      </c>
      <c r="C69" s="338" t="s">
        <v>932</v>
      </c>
      <c r="D69" s="337" t="s">
        <v>926</v>
      </c>
      <c r="E69" s="339">
        <v>1.4103000000000001</v>
      </c>
      <c r="F69" s="340">
        <v>353771.75799999997</v>
      </c>
      <c r="G69" s="340">
        <f>'Giá Máy'!O11</f>
        <v>375695.83</v>
      </c>
      <c r="H69" s="340">
        <f t="shared" si="5"/>
        <v>529843.82904900005</v>
      </c>
      <c r="I69" s="340">
        <v>0</v>
      </c>
      <c r="J69" s="340">
        <v>0</v>
      </c>
    </row>
    <row r="70" spans="1:10" ht="15" customHeight="1">
      <c r="A70" s="336">
        <v>8</v>
      </c>
      <c r="B70" s="675" t="s">
        <v>625</v>
      </c>
      <c r="C70" s="338" t="s">
        <v>933</v>
      </c>
      <c r="D70" s="337" t="s">
        <v>926</v>
      </c>
      <c r="E70" s="339">
        <v>83.788700000000006</v>
      </c>
      <c r="F70" s="340">
        <v>258903.14301999999</v>
      </c>
      <c r="G70" s="340">
        <f>'Giá Máy'!O12</f>
        <v>281279.30186500004</v>
      </c>
      <c r="H70" s="340">
        <f t="shared" si="5"/>
        <v>23568027.04017593</v>
      </c>
      <c r="I70" s="340">
        <v>0</v>
      </c>
      <c r="J70" s="340">
        <v>0</v>
      </c>
    </row>
    <row r="71" spans="1:10" ht="15" customHeight="1">
      <c r="A71" s="336">
        <v>9</v>
      </c>
      <c r="B71" s="675" t="s">
        <v>675</v>
      </c>
      <c r="C71" s="338" t="s">
        <v>934</v>
      </c>
      <c r="D71" s="337" t="s">
        <v>926</v>
      </c>
      <c r="E71" s="339">
        <v>0.40279999999999999</v>
      </c>
      <c r="F71" s="340">
        <v>2469839.2450000001</v>
      </c>
      <c r="G71" s="340">
        <f>'Giá Máy'!O13</f>
        <v>2545313.3250000002</v>
      </c>
      <c r="H71" s="340">
        <f t="shared" si="5"/>
        <v>1025252.2073100001</v>
      </c>
      <c r="I71" s="340">
        <v>0</v>
      </c>
      <c r="J71" s="340">
        <v>0</v>
      </c>
    </row>
    <row r="72" spans="1:10" ht="15" customHeight="1">
      <c r="A72" s="336">
        <v>10</v>
      </c>
      <c r="B72" s="675" t="s">
        <v>599</v>
      </c>
      <c r="C72" s="338" t="s">
        <v>935</v>
      </c>
      <c r="D72" s="337" t="s">
        <v>926</v>
      </c>
      <c r="E72" s="339">
        <v>7.4720000000000004</v>
      </c>
      <c r="F72" s="340">
        <v>3407481.1497142902</v>
      </c>
      <c r="G72" s="340">
        <f>'Giá Máy'!O14</f>
        <v>3496941.8057142859</v>
      </c>
      <c r="H72" s="340">
        <f t="shared" si="5"/>
        <v>26129149.172297146</v>
      </c>
      <c r="I72" s="340">
        <v>0</v>
      </c>
      <c r="J72" s="340">
        <v>0</v>
      </c>
    </row>
    <row r="73" spans="1:10" ht="15" customHeight="1">
      <c r="A73" s="336">
        <v>11</v>
      </c>
      <c r="B73" s="675" t="s">
        <v>602</v>
      </c>
      <c r="C73" s="338" t="s">
        <v>936</v>
      </c>
      <c r="D73" s="337" t="s">
        <v>926</v>
      </c>
      <c r="E73" s="339">
        <v>1.1382000000000001</v>
      </c>
      <c r="F73" s="340">
        <v>4171676.4040000001</v>
      </c>
      <c r="G73" s="340">
        <f>'Giá Máy'!O15</f>
        <v>4284448.0199999996</v>
      </c>
      <c r="H73" s="340">
        <f t="shared" si="5"/>
        <v>4876558.7363639995</v>
      </c>
      <c r="I73" s="340">
        <v>0</v>
      </c>
      <c r="J73" s="340">
        <v>0</v>
      </c>
    </row>
    <row r="74" spans="1:10" ht="15" customHeight="1">
      <c r="A74" s="336">
        <v>12</v>
      </c>
      <c r="B74" s="675" t="s">
        <v>630</v>
      </c>
      <c r="C74" s="338" t="s">
        <v>937</v>
      </c>
      <c r="D74" s="337" t="s">
        <v>926</v>
      </c>
      <c r="E74" s="339">
        <v>3.2172000000000001</v>
      </c>
      <c r="F74" s="340">
        <v>392808.80927999999</v>
      </c>
      <c r="G74" s="340">
        <f>'Giá Máy'!O16</f>
        <v>426986.04135999997</v>
      </c>
      <c r="H74" s="340">
        <f t="shared" si="5"/>
        <v>1373699.4922633918</v>
      </c>
      <c r="I74" s="340">
        <v>0</v>
      </c>
      <c r="J74" s="340">
        <v>0</v>
      </c>
    </row>
    <row r="75" spans="1:10" ht="15" customHeight="1">
      <c r="A75" s="336">
        <v>13</v>
      </c>
      <c r="B75" s="675" t="s">
        <v>609</v>
      </c>
      <c r="C75" s="338" t="s">
        <v>938</v>
      </c>
      <c r="D75" s="337" t="s">
        <v>926</v>
      </c>
      <c r="E75" s="339">
        <v>2.4007999999999998</v>
      </c>
      <c r="F75" s="340">
        <v>1086987.4154074099</v>
      </c>
      <c r="G75" s="340">
        <v>1086987.4154074099</v>
      </c>
      <c r="H75" s="340">
        <v>2609608.5857268898</v>
      </c>
      <c r="I75" s="340">
        <v>0</v>
      </c>
      <c r="J75" s="340">
        <v>0</v>
      </c>
    </row>
    <row r="76" spans="1:10" ht="15" customHeight="1">
      <c r="A76" s="336">
        <v>14</v>
      </c>
      <c r="B76" s="675" t="s">
        <v>607</v>
      </c>
      <c r="C76" s="338" t="s">
        <v>939</v>
      </c>
      <c r="D76" s="337" t="s">
        <v>926</v>
      </c>
      <c r="E76" s="339">
        <v>2.9548000000000001</v>
      </c>
      <c r="F76" s="340">
        <v>2717265.9248888898</v>
      </c>
      <c r="G76" s="340">
        <v>2717265.9248888898</v>
      </c>
      <c r="H76" s="340">
        <v>8028966.1972387796</v>
      </c>
      <c r="I76" s="340">
        <v>0</v>
      </c>
      <c r="J76" s="340">
        <v>0</v>
      </c>
    </row>
    <row r="77" spans="1:10" ht="15" customHeight="1">
      <c r="A77" s="336">
        <v>15</v>
      </c>
      <c r="B77" s="675" t="s">
        <v>674</v>
      </c>
      <c r="C77" s="338" t="s">
        <v>940</v>
      </c>
      <c r="D77" s="337" t="s">
        <v>926</v>
      </c>
      <c r="E77" s="339">
        <v>0.7893</v>
      </c>
      <c r="F77" s="340">
        <v>1106055.9022222201</v>
      </c>
      <c r="G77" s="340">
        <f>'Giá Máy'!O21</f>
        <v>1158219.0222222223</v>
      </c>
      <c r="H77" s="340">
        <f t="shared" ref="H77:H79" si="6">E77*G77</f>
        <v>914182.27424000006</v>
      </c>
      <c r="I77" s="340">
        <v>0</v>
      </c>
      <c r="J77" s="340">
        <v>0</v>
      </c>
    </row>
    <row r="78" spans="1:10" ht="15" customHeight="1">
      <c r="A78" s="336">
        <v>16</v>
      </c>
      <c r="B78" s="675" t="s">
        <v>634</v>
      </c>
      <c r="C78" s="338" t="s">
        <v>941</v>
      </c>
      <c r="D78" s="337" t="s">
        <v>926</v>
      </c>
      <c r="E78" s="339">
        <v>14.3294</v>
      </c>
      <c r="F78" s="340">
        <v>1497158.7093333299</v>
      </c>
      <c r="G78" s="340">
        <f>'Giá Máy'!O22</f>
        <v>1558646.2133333334</v>
      </c>
      <c r="H78" s="340">
        <f t="shared" si="6"/>
        <v>22334465.049338669</v>
      </c>
      <c r="I78" s="340">
        <v>0</v>
      </c>
      <c r="J78" s="340">
        <v>0</v>
      </c>
    </row>
    <row r="79" spans="1:10" ht="15" customHeight="1">
      <c r="A79" s="336">
        <v>17</v>
      </c>
      <c r="B79" s="675" t="s">
        <v>647</v>
      </c>
      <c r="C79" s="338" t="s">
        <v>942</v>
      </c>
      <c r="D79" s="337" t="s">
        <v>926</v>
      </c>
      <c r="E79" s="339">
        <v>21.008199999999999</v>
      </c>
      <c r="F79" s="340">
        <v>2914031.0426666699</v>
      </c>
      <c r="G79" s="340">
        <f>'Giá Máy'!O23</f>
        <v>2958321.8666666662</v>
      </c>
      <c r="H79" s="340">
        <f t="shared" si="6"/>
        <v>62149017.439306654</v>
      </c>
      <c r="I79" s="340">
        <v>0</v>
      </c>
      <c r="J79" s="340">
        <v>0</v>
      </c>
    </row>
    <row r="80" spans="1:10" ht="28.35" customHeight="1">
      <c r="A80" s="336">
        <v>18</v>
      </c>
      <c r="B80" s="675" t="s">
        <v>606</v>
      </c>
      <c r="C80" s="338" t="s">
        <v>943</v>
      </c>
      <c r="D80" s="337" t="s">
        <v>926</v>
      </c>
      <c r="E80" s="339">
        <v>1.9391</v>
      </c>
      <c r="F80" s="340">
        <v>3528139.6955555598</v>
      </c>
      <c r="G80" s="340">
        <v>3528139.6955555598</v>
      </c>
      <c r="H80" s="340">
        <v>6841362.0746619003</v>
      </c>
      <c r="I80" s="340">
        <v>0</v>
      </c>
      <c r="J80" s="340">
        <v>0</v>
      </c>
    </row>
    <row r="81" spans="1:10" ht="15" customHeight="1">
      <c r="A81" s="336">
        <v>19</v>
      </c>
      <c r="B81" s="675" t="s">
        <v>645</v>
      </c>
      <c r="C81" s="338" t="s">
        <v>944</v>
      </c>
      <c r="D81" s="337" t="s">
        <v>926</v>
      </c>
      <c r="E81" s="339">
        <v>3.1772</v>
      </c>
      <c r="F81" s="340">
        <v>1959181.2424347801</v>
      </c>
      <c r="G81" s="340">
        <f>'Giá Máy'!O26</f>
        <v>1989485.4904347826</v>
      </c>
      <c r="H81" s="340">
        <f t="shared" ref="H81:H87" si="7">E81*G81</f>
        <v>6320993.3002093909</v>
      </c>
      <c r="I81" s="340">
        <v>0</v>
      </c>
      <c r="J81" s="340">
        <v>0</v>
      </c>
    </row>
    <row r="82" spans="1:10" ht="15" customHeight="1">
      <c r="A82" s="336">
        <v>20</v>
      </c>
      <c r="B82" s="675" t="s">
        <v>623</v>
      </c>
      <c r="C82" s="338" t="s">
        <v>945</v>
      </c>
      <c r="D82" s="337" t="s">
        <v>926</v>
      </c>
      <c r="E82" s="339">
        <v>89.856700000000004</v>
      </c>
      <c r="F82" s="340">
        <v>303162.31046000001</v>
      </c>
      <c r="G82" s="340">
        <f>'Giá Máy'!O27</f>
        <v>326305.98864499998</v>
      </c>
      <c r="H82" s="340">
        <f t="shared" si="7"/>
        <v>29320779.329877172</v>
      </c>
      <c r="I82" s="340">
        <v>0</v>
      </c>
      <c r="J82" s="340">
        <v>0</v>
      </c>
    </row>
    <row r="83" spans="1:10" ht="15" customHeight="1">
      <c r="A83" s="336">
        <v>21</v>
      </c>
      <c r="B83" s="675" t="s">
        <v>657</v>
      </c>
      <c r="C83" s="338" t="s">
        <v>946</v>
      </c>
      <c r="D83" s="337" t="s">
        <v>926</v>
      </c>
      <c r="E83" s="339">
        <v>2.8956</v>
      </c>
      <c r="F83" s="340">
        <v>277049.27605647099</v>
      </c>
      <c r="G83" s="340">
        <f>'Giá Máy'!O28</f>
        <v>299617.31473647064</v>
      </c>
      <c r="H83" s="340">
        <f t="shared" si="7"/>
        <v>867571.8965509244</v>
      </c>
      <c r="I83" s="340">
        <v>0</v>
      </c>
      <c r="J83" s="340">
        <v>0</v>
      </c>
    </row>
    <row r="84" spans="1:10" ht="15" customHeight="1">
      <c r="A84" s="336">
        <v>22</v>
      </c>
      <c r="B84" s="675" t="s">
        <v>600</v>
      </c>
      <c r="C84" s="338" t="s">
        <v>947</v>
      </c>
      <c r="D84" s="337" t="s">
        <v>926</v>
      </c>
      <c r="E84" s="339">
        <v>3.5634999999999999</v>
      </c>
      <c r="F84" s="340">
        <v>1758596.7608571399</v>
      </c>
      <c r="G84" s="340">
        <f>'Giá Máy'!O29</f>
        <v>1819307.232857143</v>
      </c>
      <c r="H84" s="340">
        <f t="shared" si="7"/>
        <v>6483101.3242864292</v>
      </c>
      <c r="I84" s="340">
        <v>0</v>
      </c>
      <c r="J84" s="340">
        <v>0</v>
      </c>
    </row>
    <row r="85" spans="1:10" ht="15" customHeight="1">
      <c r="A85" s="336">
        <v>23</v>
      </c>
      <c r="B85" s="675" t="s">
        <v>603</v>
      </c>
      <c r="C85" s="338" t="s">
        <v>948</v>
      </c>
      <c r="D85" s="337" t="s">
        <v>926</v>
      </c>
      <c r="E85" s="339"/>
      <c r="F85" s="340">
        <v>2999218.6830000002</v>
      </c>
      <c r="G85" s="340">
        <f>'Giá Máy'!O30</f>
        <v>3083240.1150000002</v>
      </c>
      <c r="H85" s="340">
        <f t="shared" si="7"/>
        <v>0</v>
      </c>
      <c r="I85" s="340">
        <v>0</v>
      </c>
      <c r="J85" s="340">
        <v>0</v>
      </c>
    </row>
    <row r="86" spans="1:10" ht="15" customHeight="1">
      <c r="A86" s="336">
        <v>24</v>
      </c>
      <c r="B86" s="675" t="s">
        <v>683</v>
      </c>
      <c r="C86" s="338" t="s">
        <v>840</v>
      </c>
      <c r="D86" s="337" t="s">
        <v>926</v>
      </c>
      <c r="E86" s="339">
        <v>10.5229</v>
      </c>
      <c r="F86" s="340">
        <v>1929864.1702857099</v>
      </c>
      <c r="G86" s="340">
        <f>'Giá Máy'!O31</f>
        <v>1974154.9942857143</v>
      </c>
      <c r="H86" s="340">
        <f t="shared" si="7"/>
        <v>20773835.589369144</v>
      </c>
      <c r="I86" s="340">
        <v>0</v>
      </c>
      <c r="J86" s="340">
        <v>0</v>
      </c>
    </row>
    <row r="87" spans="1:10" ht="15" customHeight="1">
      <c r="A87" s="336">
        <v>25</v>
      </c>
      <c r="B87" s="675" t="s">
        <v>652</v>
      </c>
      <c r="C87" s="338" t="s">
        <v>949</v>
      </c>
      <c r="D87" s="337" t="s">
        <v>926</v>
      </c>
      <c r="E87" s="339">
        <v>13.9694</v>
      </c>
      <c r="F87" s="340">
        <v>1425715.5664615401</v>
      </c>
      <c r="G87" s="340">
        <f>'Giá Máy'!O32</f>
        <v>1457573.8784615383</v>
      </c>
      <c r="H87" s="340">
        <f t="shared" si="7"/>
        <v>20361432.537780613</v>
      </c>
      <c r="I87" s="340">
        <v>0</v>
      </c>
      <c r="J87" s="340">
        <v>0</v>
      </c>
    </row>
    <row r="88" spans="1:10" ht="15" customHeight="1">
      <c r="A88" s="336">
        <v>26</v>
      </c>
      <c r="B88" s="675" t="s">
        <v>610</v>
      </c>
      <c r="C88" s="338" t="s">
        <v>950</v>
      </c>
      <c r="D88" s="337" t="s">
        <v>926</v>
      </c>
      <c r="E88" s="339">
        <v>1.9391</v>
      </c>
      <c r="F88" s="340">
        <v>1089892.2532307699</v>
      </c>
      <c r="G88" s="340">
        <v>1089892.2532307699</v>
      </c>
      <c r="H88" s="340">
        <v>2113393.5076645701</v>
      </c>
      <c r="I88" s="340">
        <v>0</v>
      </c>
      <c r="J88" s="340">
        <v>0</v>
      </c>
    </row>
    <row r="89" spans="1:10" ht="15" customHeight="1">
      <c r="A89" s="336">
        <v>27</v>
      </c>
      <c r="B89" s="675" t="s">
        <v>640</v>
      </c>
      <c r="C89" s="338" t="s">
        <v>951</v>
      </c>
      <c r="D89" s="337" t="s">
        <v>926</v>
      </c>
      <c r="E89" s="339">
        <v>6.3155000000000001</v>
      </c>
      <c r="F89" s="340">
        <v>40653159.719999999</v>
      </c>
      <c r="G89" s="340">
        <f>'Giá Máy'!O35</f>
        <v>40942317.600000001</v>
      </c>
      <c r="H89" s="340">
        <f t="shared" ref="H89:H90" si="8">E89*G89</f>
        <v>258571206.8028</v>
      </c>
      <c r="I89" s="340">
        <v>0</v>
      </c>
      <c r="J89" s="340">
        <v>0</v>
      </c>
    </row>
    <row r="90" spans="1:10" ht="15" customHeight="1">
      <c r="A90" s="336">
        <v>28</v>
      </c>
      <c r="B90" s="675" t="s">
        <v>643</v>
      </c>
      <c r="C90" s="338" t="s">
        <v>952</v>
      </c>
      <c r="D90" s="337" t="s">
        <v>926</v>
      </c>
      <c r="E90" s="339">
        <v>9.0833999999999993</v>
      </c>
      <c r="F90" s="340">
        <v>1638784.24681481</v>
      </c>
      <c r="G90" s="340">
        <f>'Giá Máy'!O36</f>
        <v>1686285.1748148147</v>
      </c>
      <c r="H90" s="340">
        <f t="shared" si="8"/>
        <v>15317202.756912887</v>
      </c>
      <c r="I90" s="340">
        <v>0</v>
      </c>
      <c r="J90" s="340">
        <v>0</v>
      </c>
    </row>
    <row r="91" spans="1:10" ht="15" customHeight="1">
      <c r="A91" s="336">
        <v>29</v>
      </c>
      <c r="B91" s="675" t="s">
        <v>608</v>
      </c>
      <c r="C91" s="338" t="s">
        <v>953</v>
      </c>
      <c r="D91" s="337" t="s">
        <v>926</v>
      </c>
      <c r="E91" s="339">
        <v>1.1080000000000001</v>
      </c>
      <c r="F91" s="340">
        <v>1498752.32622222</v>
      </c>
      <c r="G91" s="340">
        <v>1498752.32622222</v>
      </c>
      <c r="H91" s="340">
        <v>1660690.20725721</v>
      </c>
      <c r="I91" s="340">
        <v>0</v>
      </c>
      <c r="J91" s="340">
        <v>0</v>
      </c>
    </row>
    <row r="92" spans="1:10" ht="15" customHeight="1">
      <c r="A92" s="336">
        <v>30</v>
      </c>
      <c r="B92" s="675" t="s">
        <v>651</v>
      </c>
      <c r="C92" s="338" t="s">
        <v>954</v>
      </c>
      <c r="D92" s="337" t="s">
        <v>926</v>
      </c>
      <c r="E92" s="339">
        <v>27.938800000000001</v>
      </c>
      <c r="F92" s="340">
        <v>965860.19200000004</v>
      </c>
      <c r="G92" s="340">
        <f>'Giá Máy'!O39</f>
        <v>1009475.96</v>
      </c>
      <c r="H92" s="340">
        <f t="shared" ref="H92:H97" si="9">E92*G92</f>
        <v>28203546.951248001</v>
      </c>
      <c r="I92" s="340">
        <v>0</v>
      </c>
      <c r="J92" s="340">
        <v>0</v>
      </c>
    </row>
    <row r="93" spans="1:10" ht="15" customHeight="1">
      <c r="A93" s="336">
        <v>31</v>
      </c>
      <c r="B93" s="675" t="s">
        <v>642</v>
      </c>
      <c r="C93" s="338" t="s">
        <v>955</v>
      </c>
      <c r="D93" s="337" t="s">
        <v>926</v>
      </c>
      <c r="E93" s="339">
        <v>12.319100000000001</v>
      </c>
      <c r="F93" s="340">
        <v>1468502.9323076899</v>
      </c>
      <c r="G93" s="340">
        <f>'Giá Máy'!O40</f>
        <v>1491813.8923076922</v>
      </c>
      <c r="H93" s="340">
        <f t="shared" si="9"/>
        <v>18377804.52072769</v>
      </c>
      <c r="I93" s="340">
        <v>0</v>
      </c>
      <c r="J93" s="340">
        <v>0</v>
      </c>
    </row>
    <row r="94" spans="1:10" ht="15" customHeight="1">
      <c r="A94" s="336">
        <v>32</v>
      </c>
      <c r="B94" s="675" t="s">
        <v>638</v>
      </c>
      <c r="C94" s="338" t="s">
        <v>956</v>
      </c>
      <c r="D94" s="337" t="s">
        <v>926</v>
      </c>
      <c r="E94" s="339">
        <v>3.5785999999999998</v>
      </c>
      <c r="F94" s="340">
        <v>965860.19200000004</v>
      </c>
      <c r="G94" s="340">
        <f>'Giá Máy'!O41</f>
        <v>1009475.96</v>
      </c>
      <c r="H94" s="340">
        <f t="shared" si="9"/>
        <v>3612510.6704559997</v>
      </c>
      <c r="I94" s="340">
        <v>0</v>
      </c>
      <c r="J94" s="340">
        <v>0</v>
      </c>
    </row>
    <row r="95" spans="1:10" ht="15" customHeight="1">
      <c r="A95" s="336">
        <v>33</v>
      </c>
      <c r="B95" s="675" t="s">
        <v>613</v>
      </c>
      <c r="C95" s="338" t="s">
        <v>957</v>
      </c>
      <c r="D95" s="337" t="s">
        <v>926</v>
      </c>
      <c r="E95" s="339">
        <v>1.5387999999999999</v>
      </c>
      <c r="F95" s="340">
        <v>1318899.50711111</v>
      </c>
      <c r="G95" s="340">
        <f>'Giá Máy'!O42</f>
        <v>1372616.6911111111</v>
      </c>
      <c r="H95" s="340">
        <f t="shared" si="9"/>
        <v>2112182.5642817775</v>
      </c>
      <c r="I95" s="340">
        <v>0</v>
      </c>
      <c r="J95" s="340">
        <v>0</v>
      </c>
    </row>
    <row r="96" spans="1:10" ht="15" customHeight="1">
      <c r="A96" s="336">
        <v>34</v>
      </c>
      <c r="B96" s="675" t="s">
        <v>641</v>
      </c>
      <c r="C96" s="338" t="s">
        <v>958</v>
      </c>
      <c r="D96" s="337" t="s">
        <v>926</v>
      </c>
      <c r="E96" s="339"/>
      <c r="F96" s="340">
        <v>10247292.844888899</v>
      </c>
      <c r="G96" s="340">
        <f>'Giá Máy'!O43</f>
        <v>10312616.668888887</v>
      </c>
      <c r="H96" s="340">
        <f t="shared" si="9"/>
        <v>0</v>
      </c>
      <c r="I96" s="340">
        <v>0</v>
      </c>
      <c r="J96" s="340">
        <v>0</v>
      </c>
    </row>
    <row r="97" spans="1:10" ht="15" customHeight="1">
      <c r="A97" s="336">
        <v>35</v>
      </c>
      <c r="B97" s="675" t="s">
        <v>644</v>
      </c>
      <c r="C97" s="338" t="s">
        <v>959</v>
      </c>
      <c r="D97" s="337" t="s">
        <v>926</v>
      </c>
      <c r="E97" s="339">
        <v>8.9859000000000009</v>
      </c>
      <c r="F97" s="340">
        <v>1220464.9226666701</v>
      </c>
      <c r="G97" s="340">
        <f>'Giá Máy'!O44</f>
        <v>1270296.9466666668</v>
      </c>
      <c r="H97" s="340">
        <f t="shared" si="9"/>
        <v>11414761.333052002</v>
      </c>
      <c r="I97" s="340">
        <v>0</v>
      </c>
      <c r="J97" s="340">
        <v>0</v>
      </c>
    </row>
    <row r="98" spans="1:10" ht="15" customHeight="1">
      <c r="A98" s="336">
        <v>36</v>
      </c>
      <c r="B98" s="675" t="s">
        <v>611</v>
      </c>
      <c r="C98" s="338" t="s">
        <v>961</v>
      </c>
      <c r="D98" s="337" t="s">
        <v>37</v>
      </c>
      <c r="E98" s="339"/>
      <c r="F98" s="340">
        <v>0</v>
      </c>
      <c r="G98" s="340">
        <v>0</v>
      </c>
      <c r="H98" s="340">
        <v>5444388.2052908102</v>
      </c>
      <c r="I98" s="340">
        <v>0</v>
      </c>
      <c r="J98" s="340">
        <v>0</v>
      </c>
    </row>
    <row r="99" spans="1:10" ht="14.1" customHeight="1">
      <c r="A99" s="341"/>
      <c r="B99" s="342"/>
      <c r="C99" s="343"/>
      <c r="D99" s="342"/>
      <c r="E99" s="344"/>
      <c r="F99" s="345"/>
      <c r="G99" s="345"/>
      <c r="H99" s="345"/>
      <c r="I99" s="345"/>
      <c r="J99" s="345"/>
    </row>
    <row r="100" spans="1:10" ht="14.1" customHeight="1">
      <c r="A100" s="330"/>
      <c r="B100" s="330"/>
      <c r="C100" s="330"/>
      <c r="D100" s="330"/>
      <c r="E100" s="330"/>
      <c r="F100" s="330"/>
      <c r="G100" s="330"/>
      <c r="H100" s="330"/>
      <c r="I100" s="330"/>
      <c r="J100" s="330"/>
    </row>
  </sheetData>
  <mergeCells count="12">
    <mergeCell ref="A1:J1"/>
    <mergeCell ref="A2:J2"/>
    <mergeCell ref="A3:J3"/>
    <mergeCell ref="I4:J4"/>
    <mergeCell ref="A4:A5"/>
    <mergeCell ref="B4:B5"/>
    <mergeCell ref="C4:C5"/>
    <mergeCell ref="D4:D5"/>
    <mergeCell ref="E4:E5"/>
    <mergeCell ref="F4:F5"/>
    <mergeCell ref="G4:G5"/>
    <mergeCell ref="H4:H5"/>
  </mergeCell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J20"/>
  <sheetViews>
    <sheetView showGridLines="0" topLeftCell="B1" workbookViewId="0"/>
  </sheetViews>
  <sheetFormatPr defaultColWidth="9" defaultRowHeight="14.4"/>
  <cols>
    <col min="1" max="1" width="8.77734375" hidden="1" customWidth="1"/>
    <col min="2" max="2" width="5" customWidth="1"/>
    <col min="3" max="3" width="52.44140625" customWidth="1"/>
    <col min="4" max="4" width="15.44140625" customWidth="1"/>
    <col min="5" max="5" width="14" customWidth="1"/>
    <col min="6" max="6" width="13.44140625" customWidth="1"/>
    <col min="7" max="7" width="9.44140625" customWidth="1"/>
    <col min="8" max="8" width="17" customWidth="1"/>
    <col min="9" max="10" width="9.44140625" customWidth="1"/>
  </cols>
  <sheetData>
    <row r="1" spans="1:10" ht="17.399999999999999">
      <c r="A1" s="296"/>
      <c r="B1" s="994" t="s">
        <v>1026</v>
      </c>
      <c r="C1" s="994"/>
      <c r="D1" s="994"/>
      <c r="E1" s="994"/>
      <c r="F1" s="994"/>
      <c r="G1" s="994"/>
      <c r="H1" s="994"/>
      <c r="I1" s="296"/>
    </row>
    <row r="2" spans="1:10" ht="15.6">
      <c r="A2" s="297"/>
      <c r="B2" s="995" t="s">
        <v>1027</v>
      </c>
      <c r="C2" s="995"/>
      <c r="D2" s="995"/>
      <c r="E2" s="995"/>
      <c r="F2" s="995"/>
      <c r="G2" s="995"/>
      <c r="H2" s="995"/>
      <c r="I2" s="297"/>
    </row>
    <row r="3" spans="1:10" ht="15.6">
      <c r="A3" s="297"/>
      <c r="B3" s="996" t="s">
        <v>1028</v>
      </c>
      <c r="C3" s="995"/>
      <c r="D3" s="995"/>
      <c r="E3" s="995"/>
      <c r="F3" s="995"/>
      <c r="G3" s="995"/>
      <c r="H3" s="995"/>
      <c r="I3" s="297"/>
    </row>
    <row r="4" spans="1:10">
      <c r="A4" s="298"/>
      <c r="B4" s="298"/>
      <c r="C4" s="298"/>
      <c r="D4" s="298"/>
      <c r="E4" s="298"/>
      <c r="F4" s="298"/>
      <c r="G4" s="298"/>
      <c r="H4" s="298"/>
      <c r="I4" s="298"/>
    </row>
    <row r="5" spans="1:10" ht="27.6">
      <c r="A5" s="299" t="s">
        <v>997</v>
      </c>
      <c r="B5" s="299" t="s">
        <v>5</v>
      </c>
      <c r="C5" s="299" t="s">
        <v>1029</v>
      </c>
      <c r="D5" s="299" t="s">
        <v>1030</v>
      </c>
      <c r="E5" s="299" t="s">
        <v>10</v>
      </c>
      <c r="F5" s="299" t="s">
        <v>1031</v>
      </c>
      <c r="G5" s="299" t="s">
        <v>7</v>
      </c>
      <c r="H5" s="299" t="s">
        <v>258</v>
      </c>
      <c r="I5" s="299" t="s">
        <v>1032</v>
      </c>
    </row>
    <row r="6" spans="1:10">
      <c r="A6" s="300"/>
      <c r="B6" s="300" t="s">
        <v>1033</v>
      </c>
      <c r="C6" s="300" t="s">
        <v>1034</v>
      </c>
      <c r="D6" s="300" t="s">
        <v>1035</v>
      </c>
      <c r="E6" s="300" t="s">
        <v>1036</v>
      </c>
      <c r="F6" s="300" t="s">
        <v>1037</v>
      </c>
      <c r="G6" s="300" t="s">
        <v>1038</v>
      </c>
      <c r="H6" s="299"/>
      <c r="I6" s="299"/>
    </row>
    <row r="7" spans="1:10">
      <c r="A7" s="301"/>
      <c r="B7" s="302">
        <v>1</v>
      </c>
      <c r="C7" s="303" t="s">
        <v>1039</v>
      </c>
      <c r="D7" s="304">
        <f t="shared" ref="D7:F7" si="0">SUM(D8:D8)</f>
        <v>13539638726.040039</v>
      </c>
      <c r="E7" s="304">
        <f t="shared" si="0"/>
        <v>1353963872.6040039</v>
      </c>
      <c r="F7" s="304">
        <f t="shared" si="0"/>
        <v>14893602598.644043</v>
      </c>
      <c r="G7" s="302" t="s">
        <v>1040</v>
      </c>
      <c r="H7" s="305"/>
      <c r="I7" s="326"/>
    </row>
    <row r="8" spans="1:10">
      <c r="A8" s="306"/>
      <c r="B8" s="307"/>
      <c r="C8" s="676" t="s">
        <v>1041</v>
      </c>
      <c r="D8" s="308">
        <f>'8.ĐGTH'!H134/(1+I8)</f>
        <v>13539638726.040039</v>
      </c>
      <c r="E8" s="308">
        <f>D8*I8</f>
        <v>1353963872.6040039</v>
      </c>
      <c r="F8" s="308">
        <f>D8+E8</f>
        <v>14893602598.644043</v>
      </c>
      <c r="G8" s="307"/>
      <c r="H8" s="307"/>
      <c r="I8" s="327">
        <v>0.1</v>
      </c>
      <c r="J8" s="328"/>
    </row>
    <row r="9" spans="1:10">
      <c r="A9" s="309"/>
      <c r="B9" s="310">
        <v>2</v>
      </c>
      <c r="C9" s="311" t="s">
        <v>1042</v>
      </c>
      <c r="D9" s="312">
        <f t="shared" ref="D9:F9" si="1">ROUND(SUM(D10:D12),0)</f>
        <v>473887355</v>
      </c>
      <c r="E9" s="312">
        <f t="shared" si="1"/>
        <v>47388736</v>
      </c>
      <c r="F9" s="312">
        <f t="shared" si="1"/>
        <v>521276091</v>
      </c>
      <c r="G9" s="310" t="s">
        <v>1043</v>
      </c>
      <c r="H9" s="313"/>
      <c r="I9" s="314"/>
    </row>
    <row r="10" spans="1:10" ht="27.6">
      <c r="A10" s="314"/>
      <c r="B10" s="313"/>
      <c r="C10" s="315" t="s">
        <v>1044</v>
      </c>
      <c r="D10" s="316">
        <f t="shared" ref="D10:D11" si="2">$D$7*I10</f>
        <v>135396387.26040038</v>
      </c>
      <c r="E10" s="316">
        <f t="shared" ref="E10:E11" si="3">D10*10%</f>
        <v>13539638.726040039</v>
      </c>
      <c r="F10" s="308">
        <f t="shared" ref="F10:F11" si="4">D10+E10</f>
        <v>148936025.98644042</v>
      </c>
      <c r="G10" s="313"/>
      <c r="H10" s="313" t="s">
        <v>1045</v>
      </c>
      <c r="I10" s="329">
        <v>0.01</v>
      </c>
    </row>
    <row r="11" spans="1:10" ht="27.6">
      <c r="A11" s="314"/>
      <c r="B11" s="313"/>
      <c r="C11" s="315" t="s">
        <v>1046</v>
      </c>
      <c r="D11" s="316">
        <f t="shared" si="2"/>
        <v>338490968.15100098</v>
      </c>
      <c r="E11" s="316">
        <f t="shared" si="3"/>
        <v>33849096.815100096</v>
      </c>
      <c r="F11" s="308">
        <f t="shared" si="4"/>
        <v>372340064.96610105</v>
      </c>
      <c r="G11" s="313"/>
      <c r="H11" s="313" t="s">
        <v>1047</v>
      </c>
      <c r="I11" s="329">
        <v>2.5000000000000001E-2</v>
      </c>
    </row>
    <row r="12" spans="1:10">
      <c r="A12" s="314"/>
      <c r="B12" s="313"/>
      <c r="C12" s="315" t="s">
        <v>1048</v>
      </c>
      <c r="D12" s="316"/>
      <c r="E12" s="316"/>
      <c r="F12" s="316"/>
      <c r="G12" s="313"/>
      <c r="H12" s="313"/>
      <c r="I12" s="314"/>
    </row>
    <row r="13" spans="1:10">
      <c r="A13" s="309"/>
      <c r="B13" s="310">
        <v>3</v>
      </c>
      <c r="C13" s="311" t="s">
        <v>1049</v>
      </c>
      <c r="D13" s="312">
        <f t="shared" ref="D13:F13" si="5">ROUND(SUM(D14:D15),0)</f>
        <v>700676304</v>
      </c>
      <c r="E13" s="312">
        <f t="shared" si="5"/>
        <v>70067630</v>
      </c>
      <c r="F13" s="312">
        <f t="shared" si="5"/>
        <v>770743934</v>
      </c>
      <c r="G13" s="310" t="s">
        <v>1050</v>
      </c>
      <c r="H13" s="313" t="s">
        <v>1051</v>
      </c>
      <c r="I13" s="314"/>
    </row>
    <row r="14" spans="1:10">
      <c r="A14" s="314"/>
      <c r="B14" s="313"/>
      <c r="C14" s="315" t="s">
        <v>1052</v>
      </c>
      <c r="D14" s="316">
        <f t="shared" ref="D14:D15" si="6">(D$7+$D$9)*I14</f>
        <v>700676304.05200195</v>
      </c>
      <c r="E14" s="316">
        <f t="shared" ref="E14:E15" si="7">D14*10%</f>
        <v>70067630.405200198</v>
      </c>
      <c r="F14" s="308">
        <f t="shared" ref="F14:F15" si="8">D14+E14</f>
        <v>770743934.4572022</v>
      </c>
      <c r="G14" s="307" t="s">
        <v>1053</v>
      </c>
      <c r="H14" s="313" t="s">
        <v>1054</v>
      </c>
      <c r="I14" s="329">
        <v>0.05</v>
      </c>
    </row>
    <row r="15" spans="1:10">
      <c r="A15" s="317"/>
      <c r="B15" s="318"/>
      <c r="C15" s="319" t="s">
        <v>1055</v>
      </c>
      <c r="D15" s="316">
        <f t="shared" si="6"/>
        <v>0</v>
      </c>
      <c r="E15" s="316">
        <f t="shared" si="7"/>
        <v>0</v>
      </c>
      <c r="F15" s="308">
        <f t="shared" si="8"/>
        <v>0</v>
      </c>
      <c r="G15" s="320" t="s">
        <v>1056</v>
      </c>
      <c r="H15" s="318"/>
      <c r="I15" s="317"/>
    </row>
    <row r="16" spans="1:10">
      <c r="A16" s="321"/>
      <c r="B16" s="322"/>
      <c r="C16" s="323" t="s">
        <v>1057</v>
      </c>
      <c r="D16" s="324">
        <f t="shared" ref="D16:F16" si="9">D7+D9+D13</f>
        <v>14714202385.040039</v>
      </c>
      <c r="E16" s="324">
        <f t="shared" si="9"/>
        <v>1471420238.6040039</v>
      </c>
      <c r="F16" s="324">
        <f t="shared" si="9"/>
        <v>16185622623.644043</v>
      </c>
      <c r="G16" s="322" t="s">
        <v>1058</v>
      </c>
      <c r="H16" s="322"/>
      <c r="I16" s="321"/>
    </row>
    <row r="17" spans="1:9">
      <c r="A17" s="298"/>
      <c r="B17" s="298"/>
      <c r="C17" s="298"/>
      <c r="D17" s="298"/>
      <c r="E17" s="298"/>
      <c r="F17" s="298"/>
      <c r="G17" s="298"/>
      <c r="H17" s="298"/>
      <c r="I17" s="298"/>
    </row>
    <row r="18" spans="1:9">
      <c r="A18" s="325"/>
      <c r="B18" s="325"/>
      <c r="C18" s="325"/>
      <c r="D18" s="325"/>
      <c r="E18" s="325"/>
      <c r="F18" s="325"/>
      <c r="G18" s="325"/>
      <c r="H18" s="325"/>
      <c r="I18" s="325"/>
    </row>
    <row r="19" spans="1:9">
      <c r="A19" s="325"/>
      <c r="B19" s="325"/>
      <c r="C19" s="325"/>
      <c r="D19" s="325"/>
      <c r="E19" s="325"/>
      <c r="F19" s="325"/>
      <c r="G19" s="325"/>
      <c r="H19" s="325"/>
      <c r="I19" s="325"/>
    </row>
    <row r="20" spans="1:9">
      <c r="A20" s="325"/>
      <c r="B20" s="325"/>
      <c r="C20" s="325"/>
      <c r="D20" s="325"/>
      <c r="E20" s="325"/>
      <c r="F20" s="325"/>
      <c r="G20" s="325"/>
      <c r="H20" s="325"/>
      <c r="I20" s="325"/>
    </row>
  </sheetData>
  <mergeCells count="3">
    <mergeCell ref="B1:H1"/>
    <mergeCell ref="B2:H2"/>
    <mergeCell ref="B3:H3"/>
  </mergeCells>
  <pageMargins left="0.7" right="0.7" top="0.75" bottom="0.75" header="0.3" footer="0.3"/>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2"/>
  </sheetPr>
  <dimension ref="A1:R886"/>
  <sheetViews>
    <sheetView showZeros="0" topLeftCell="B1" workbookViewId="0">
      <selection activeCell="D9" sqref="D9"/>
    </sheetView>
  </sheetViews>
  <sheetFormatPr defaultColWidth="9.21875" defaultRowHeight="13.8"/>
  <cols>
    <col min="1" max="1" width="9.21875" style="146" hidden="1" customWidth="1"/>
    <col min="2" max="2" width="4.44140625" style="146" customWidth="1"/>
    <col min="3" max="3" width="17.44140625" style="221" customWidth="1"/>
    <col min="4" max="4" width="43.77734375" style="146" customWidth="1"/>
    <col min="5" max="5" width="9.77734375" style="146" customWidth="1"/>
    <col min="6" max="6" width="10" style="146" customWidth="1"/>
    <col min="7" max="7" width="11" style="146" customWidth="1"/>
    <col min="8" max="8" width="6.44140625" style="146" customWidth="1"/>
    <col min="9" max="9" width="12" style="146" customWidth="1"/>
    <col min="10" max="10" width="9.21875" style="146" hidden="1" customWidth="1"/>
    <col min="11" max="11" width="11" style="146" hidden="1" customWidth="1"/>
    <col min="12" max="12" width="8.77734375" style="146" hidden="1" customWidth="1"/>
    <col min="13" max="15" width="10.44140625" style="146" hidden="1" customWidth="1"/>
    <col min="16" max="16" width="9.21875" style="146" hidden="1" customWidth="1"/>
    <col min="17" max="17" width="12" style="146" hidden="1" customWidth="1"/>
    <col min="18" max="18" width="9.77734375" style="146" customWidth="1"/>
    <col min="19" max="16384" width="9.21875" style="146"/>
  </cols>
  <sheetData>
    <row r="1" spans="1:18" ht="17.399999999999999">
      <c r="A1" s="998" t="s">
        <v>1059</v>
      </c>
      <c r="B1" s="998" t="s">
        <v>1059</v>
      </c>
      <c r="C1" s="998" t="s">
        <v>1059</v>
      </c>
      <c r="D1" s="998" t="s">
        <v>1059</v>
      </c>
      <c r="E1" s="998" t="s">
        <v>1059</v>
      </c>
      <c r="F1" s="998" t="s">
        <v>1059</v>
      </c>
      <c r="G1" s="998" t="s">
        <v>1059</v>
      </c>
      <c r="H1" s="998" t="s">
        <v>1059</v>
      </c>
      <c r="I1" s="998" t="s">
        <v>1059</v>
      </c>
      <c r="J1" s="998" t="s">
        <v>1059</v>
      </c>
      <c r="K1" s="998" t="s">
        <v>1059</v>
      </c>
      <c r="L1" s="998" t="s">
        <v>1059</v>
      </c>
      <c r="M1" s="998" t="s">
        <v>1059</v>
      </c>
      <c r="N1" s="998" t="s">
        <v>1059</v>
      </c>
      <c r="O1" s="998" t="s">
        <v>1059</v>
      </c>
      <c r="P1" s="998" t="s">
        <v>1059</v>
      </c>
      <c r="Q1" s="998" t="s">
        <v>1059</v>
      </c>
    </row>
    <row r="2" spans="1:18">
      <c r="A2" s="999" t="s">
        <v>254</v>
      </c>
      <c r="B2" s="1000" t="s">
        <v>254</v>
      </c>
      <c r="C2" s="1000" t="s">
        <v>254</v>
      </c>
      <c r="D2" s="1000" t="s">
        <v>254</v>
      </c>
      <c r="E2" s="1000" t="s">
        <v>254</v>
      </c>
      <c r="F2" s="1000" t="s">
        <v>254</v>
      </c>
      <c r="G2" s="1000" t="s">
        <v>254</v>
      </c>
      <c r="H2" s="1000" t="s">
        <v>254</v>
      </c>
      <c r="I2" s="1000" t="s">
        <v>254</v>
      </c>
      <c r="J2" s="1000" t="s">
        <v>254</v>
      </c>
      <c r="K2" s="1000" t="s">
        <v>254</v>
      </c>
      <c r="L2" s="1000" t="s">
        <v>254</v>
      </c>
      <c r="M2" s="1000" t="s">
        <v>254</v>
      </c>
      <c r="N2" s="1000" t="s">
        <v>254</v>
      </c>
      <c r="O2" s="1000" t="s">
        <v>254</v>
      </c>
      <c r="P2" s="1000" t="s">
        <v>254</v>
      </c>
      <c r="Q2" s="1000" t="s">
        <v>254</v>
      </c>
    </row>
    <row r="3" spans="1:18" ht="17.25" customHeight="1">
      <c r="A3" s="1001" t="s">
        <v>302</v>
      </c>
      <c r="B3" s="1001" t="s">
        <v>302</v>
      </c>
      <c r="C3" s="1001" t="s">
        <v>302</v>
      </c>
      <c r="D3" s="1001" t="s">
        <v>302</v>
      </c>
      <c r="E3" s="1001" t="s">
        <v>302</v>
      </c>
      <c r="F3" s="1001" t="s">
        <v>302</v>
      </c>
      <c r="G3" s="1001" t="s">
        <v>302</v>
      </c>
      <c r="H3" s="1001" t="s">
        <v>302</v>
      </c>
      <c r="I3" s="1001" t="s">
        <v>302</v>
      </c>
      <c r="J3" s="1001" t="s">
        <v>302</v>
      </c>
      <c r="K3" s="1001" t="s">
        <v>302</v>
      </c>
      <c r="L3" s="1001" t="s">
        <v>302</v>
      </c>
      <c r="M3" s="1001" t="s">
        <v>302</v>
      </c>
      <c r="N3" s="1001" t="s">
        <v>302</v>
      </c>
      <c r="O3" s="1001" t="s">
        <v>302</v>
      </c>
      <c r="P3" s="1001" t="s">
        <v>302</v>
      </c>
      <c r="Q3" s="1001" t="s">
        <v>302</v>
      </c>
    </row>
    <row r="4" spans="1:18">
      <c r="B4" s="1005" t="s">
        <v>5</v>
      </c>
      <c r="C4" s="1007" t="s">
        <v>592</v>
      </c>
      <c r="D4" s="1005" t="s">
        <v>1060</v>
      </c>
      <c r="E4" s="1005" t="s">
        <v>594</v>
      </c>
      <c r="F4" s="1002" t="s">
        <v>325</v>
      </c>
      <c r="G4" s="1003"/>
      <c r="H4" s="1003"/>
      <c r="I4" s="1004"/>
      <c r="J4" s="1002" t="s">
        <v>1061</v>
      </c>
      <c r="K4" s="1004"/>
      <c r="L4" s="1002" t="s">
        <v>1062</v>
      </c>
      <c r="M4" s="1004"/>
      <c r="N4" s="228"/>
      <c r="O4" s="228"/>
      <c r="P4" s="1002" t="s">
        <v>1063</v>
      </c>
      <c r="Q4" s="1004"/>
      <c r="R4" s="997" t="s">
        <v>1064</v>
      </c>
    </row>
    <row r="5" spans="1:18">
      <c r="B5" s="1006"/>
      <c r="C5" s="1008"/>
      <c r="D5" s="1006"/>
      <c r="E5" s="1006"/>
      <c r="F5" s="205" t="s">
        <v>1065</v>
      </c>
      <c r="G5" s="205" t="s">
        <v>595</v>
      </c>
      <c r="H5" s="205" t="s">
        <v>596</v>
      </c>
      <c r="I5" s="205" t="s">
        <v>1066</v>
      </c>
      <c r="J5" s="205" t="s">
        <v>687</v>
      </c>
      <c r="K5" s="205" t="s">
        <v>261</v>
      </c>
      <c r="L5" s="205" t="s">
        <v>688</v>
      </c>
      <c r="M5" s="205" t="s">
        <v>261</v>
      </c>
      <c r="N5" s="205"/>
      <c r="O5" s="205"/>
      <c r="P5" s="205" t="s">
        <v>697</v>
      </c>
      <c r="Q5" s="205" t="s">
        <v>261</v>
      </c>
      <c r="R5" s="997"/>
    </row>
    <row r="6" spans="1:18">
      <c r="A6" s="229"/>
      <c r="B6" s="230">
        <v>0</v>
      </c>
      <c r="C6" s="677" t="s">
        <v>339</v>
      </c>
      <c r="D6" s="231" t="s">
        <v>1067</v>
      </c>
      <c r="E6" s="230"/>
      <c r="F6" s="232">
        <v>0</v>
      </c>
      <c r="G6" s="233">
        <v>0</v>
      </c>
      <c r="H6" s="233">
        <v>0</v>
      </c>
      <c r="I6" s="233">
        <v>0</v>
      </c>
      <c r="J6" s="273">
        <v>0</v>
      </c>
      <c r="K6" s="274">
        <f t="shared" ref="K6:K7" si="0">PRODUCT(G6,H6,J6)</f>
        <v>0</v>
      </c>
      <c r="L6" s="274">
        <v>0</v>
      </c>
      <c r="M6" s="274">
        <f t="shared" ref="M6:M7" si="1">PRODUCT(G6,H6,L6)</f>
        <v>0</v>
      </c>
      <c r="N6" s="274">
        <v>0</v>
      </c>
      <c r="O6" s="274">
        <v>0</v>
      </c>
      <c r="P6" s="274">
        <v>0</v>
      </c>
      <c r="Q6" s="274">
        <f t="shared" ref="Q6:Q7" si="2">PRODUCT(G6,H6,P6)</f>
        <v>0</v>
      </c>
      <c r="R6" s="146">
        <v>0</v>
      </c>
    </row>
    <row r="7" spans="1:18">
      <c r="A7" s="229"/>
      <c r="B7" s="230">
        <v>0</v>
      </c>
      <c r="C7" s="677" t="s">
        <v>339</v>
      </c>
      <c r="D7" s="231" t="s">
        <v>1068</v>
      </c>
      <c r="E7" s="230"/>
      <c r="F7" s="232">
        <v>0</v>
      </c>
      <c r="G7" s="233">
        <v>0</v>
      </c>
      <c r="H7" s="233">
        <v>0</v>
      </c>
      <c r="I7" s="233">
        <v>0</v>
      </c>
      <c r="J7" s="273">
        <v>0</v>
      </c>
      <c r="K7" s="274">
        <f t="shared" si="0"/>
        <v>0</v>
      </c>
      <c r="L7" s="274">
        <v>0</v>
      </c>
      <c r="M7" s="274">
        <f t="shared" si="1"/>
        <v>0</v>
      </c>
      <c r="N7" s="274">
        <v>0</v>
      </c>
      <c r="O7" s="274">
        <v>0</v>
      </c>
      <c r="P7" s="274">
        <v>0</v>
      </c>
      <c r="Q7" s="274">
        <f t="shared" si="2"/>
        <v>0</v>
      </c>
      <c r="R7" s="146">
        <v>0</v>
      </c>
    </row>
    <row r="8" spans="1:18">
      <c r="A8" s="234"/>
      <c r="B8" s="235">
        <v>1</v>
      </c>
      <c r="C8" s="236" t="str">
        <f>'5.Tiên lượng'!C12</f>
        <v>AB.31132</v>
      </c>
      <c r="D8" s="237" t="str">
        <f>'5.Tiên lượng'!D12</f>
        <v>Đào nền đường bằng máy đào 1,25m3 - Cấp đất II</v>
      </c>
      <c r="E8" s="235" t="str">
        <f>'5.Tiên lượng'!E12</f>
        <v>100m3</v>
      </c>
      <c r="F8" s="238">
        <f>'5.Tiên lượng'!M12</f>
        <v>0.95230000000000004</v>
      </c>
      <c r="G8" s="239">
        <v>0</v>
      </c>
      <c r="H8" s="239">
        <v>0</v>
      </c>
      <c r="I8" s="239">
        <v>0</v>
      </c>
      <c r="J8" s="275">
        <v>0</v>
      </c>
      <c r="K8" s="275">
        <v>0</v>
      </c>
      <c r="L8" s="275">
        <v>0</v>
      </c>
      <c r="M8" s="275">
        <v>0</v>
      </c>
      <c r="N8" s="275">
        <v>0</v>
      </c>
      <c r="O8" s="275">
        <v>0</v>
      </c>
      <c r="P8" s="275">
        <v>0</v>
      </c>
      <c r="Q8" s="275">
        <v>0</v>
      </c>
      <c r="R8" s="222">
        <v>0</v>
      </c>
    </row>
    <row r="9" spans="1:18">
      <c r="A9" s="240"/>
      <c r="B9" s="241">
        <v>0</v>
      </c>
      <c r="C9" s="242" t="s">
        <v>590</v>
      </c>
      <c r="D9" s="243" t="s">
        <v>265</v>
      </c>
      <c r="E9" s="241"/>
      <c r="F9" s="244">
        <v>0</v>
      </c>
      <c r="G9" s="245">
        <v>0</v>
      </c>
      <c r="H9" s="245"/>
      <c r="I9" s="245">
        <v>0</v>
      </c>
      <c r="J9" s="276">
        <v>0</v>
      </c>
      <c r="K9" s="276">
        <f>SUM(K10:K10)</f>
        <v>740915.01</v>
      </c>
      <c r="L9" s="276">
        <v>0</v>
      </c>
      <c r="M9" s="276">
        <f>SUM(M10:M10)</f>
        <v>775015.02</v>
      </c>
      <c r="N9" s="276">
        <v>0</v>
      </c>
      <c r="O9" s="276">
        <v>0</v>
      </c>
      <c r="P9" s="276">
        <v>0</v>
      </c>
      <c r="Q9" s="276">
        <f>SUM(Q10:Q10)</f>
        <v>775015.02</v>
      </c>
      <c r="R9" s="287">
        <v>0</v>
      </c>
    </row>
    <row r="10" spans="1:18">
      <c r="A10" s="246"/>
      <c r="B10" s="247">
        <v>0</v>
      </c>
      <c r="C10" s="678" t="s">
        <v>598</v>
      </c>
      <c r="D10" s="248" t="str">
        <f>" - "&amp;'Giá NC'!E5</f>
        <v xml:space="preserve"> - Nhân công bậc 3,0/7 - Nhóm 1</v>
      </c>
      <c r="E10" s="247" t="str">
        <f>'Giá NC'!F5</f>
        <v>công</v>
      </c>
      <c r="F10" s="249">
        <v>0</v>
      </c>
      <c r="G10" s="250">
        <v>3.39</v>
      </c>
      <c r="H10" s="250">
        <f>'5.Tiên lượng'!W12</f>
        <v>1</v>
      </c>
      <c r="I10" s="250">
        <f>PRODUCT(F8,G10,H10)</f>
        <v>3.2282970000000004</v>
      </c>
      <c r="J10" s="277">
        <f>'Giá NC'!G5</f>
        <v>218559</v>
      </c>
      <c r="K10" s="277">
        <f>PRODUCT(G10,H10,J10)</f>
        <v>740915.01</v>
      </c>
      <c r="L10" s="277">
        <f>'Giá NC'!H5</f>
        <v>228618</v>
      </c>
      <c r="M10" s="277">
        <f>PRODUCT(G10,H10,L10)</f>
        <v>775015.02</v>
      </c>
      <c r="N10" s="277">
        <v>0</v>
      </c>
      <c r="O10" s="277">
        <v>0</v>
      </c>
      <c r="P10" s="277">
        <f>'Giá NC'!K5</f>
        <v>228618</v>
      </c>
      <c r="Q10" s="277">
        <f>PRODUCT(G10,H10,P10)</f>
        <v>775015.02</v>
      </c>
      <c r="R10" s="287">
        <v>0</v>
      </c>
    </row>
    <row r="11" spans="1:18">
      <c r="A11" s="240"/>
      <c r="B11" s="241">
        <v>0</v>
      </c>
      <c r="C11" s="242" t="s">
        <v>590</v>
      </c>
      <c r="D11" s="243" t="s">
        <v>267</v>
      </c>
      <c r="E11" s="241"/>
      <c r="F11" s="244">
        <v>0</v>
      </c>
      <c r="G11" s="245">
        <v>0</v>
      </c>
      <c r="H11" s="245"/>
      <c r="I11" s="245">
        <v>0</v>
      </c>
      <c r="J11" s="276">
        <v>0</v>
      </c>
      <c r="K11" s="276">
        <f>SUM(K12:K13)</f>
        <v>961125.91015457246</v>
      </c>
      <c r="L11" s="276">
        <v>0</v>
      </c>
      <c r="M11" s="276">
        <f>SUM(M12:M13)</f>
        <v>1050548.8700000001</v>
      </c>
      <c r="N11" s="276">
        <v>0</v>
      </c>
      <c r="O11" s="276">
        <v>0</v>
      </c>
      <c r="P11" s="276">
        <v>0</v>
      </c>
      <c r="Q11" s="276">
        <f>SUM(Q12:Q13)</f>
        <v>986868.38985857158</v>
      </c>
      <c r="R11" s="287">
        <v>0</v>
      </c>
    </row>
    <row r="12" spans="1:18">
      <c r="A12" s="246"/>
      <c r="B12" s="247">
        <v>0</v>
      </c>
      <c r="C12" s="678" t="s">
        <v>599</v>
      </c>
      <c r="D12" s="248" t="str">
        <f>" - "&amp;'Giá Máy'!E14</f>
        <v xml:space="preserve"> - Máy đào 1,25m3</v>
      </c>
      <c r="E12" s="247" t="str">
        <f>'Giá Máy'!F14</f>
        <v>ca</v>
      </c>
      <c r="F12" s="249">
        <v>0</v>
      </c>
      <c r="G12" s="250">
        <v>0.26400000000000001</v>
      </c>
      <c r="H12" s="250">
        <f>'5.Tiên lượng'!X12</f>
        <v>1</v>
      </c>
      <c r="I12" s="250">
        <f>PRODUCT(F8,G12,H12)</f>
        <v>0.2514072</v>
      </c>
      <c r="J12" s="277">
        <f>'Giá Máy'!G14</f>
        <v>3407481.1497142902</v>
      </c>
      <c r="K12" s="277">
        <f t="shared" ref="K12:K13" si="3">PRODUCT(G12,H12,J12)</f>
        <v>899575.02352457261</v>
      </c>
      <c r="L12" s="277">
        <f>'Giá Máy'!H14</f>
        <v>3723020</v>
      </c>
      <c r="M12" s="277">
        <f t="shared" ref="M12:M13" si="4">PRODUCT(G12,H12,L12)</f>
        <v>982877.28</v>
      </c>
      <c r="N12" s="277">
        <v>0</v>
      </c>
      <c r="O12" s="277">
        <v>0</v>
      </c>
      <c r="P12" s="277">
        <f>'Giá Máy'!O14</f>
        <v>3496941.8057142859</v>
      </c>
      <c r="Q12" s="277">
        <f t="shared" ref="Q12:Q13" si="5">PRODUCT(G12,H12,P12)</f>
        <v>923192.63670857158</v>
      </c>
      <c r="R12" s="287">
        <v>0</v>
      </c>
    </row>
    <row r="13" spans="1:18">
      <c r="A13" s="251"/>
      <c r="B13" s="252">
        <v>0</v>
      </c>
      <c r="C13" s="679" t="s">
        <v>600</v>
      </c>
      <c r="D13" s="253" t="str">
        <f>" - "&amp;'Giá Máy'!E29</f>
        <v xml:space="preserve"> - Máy ủi 110CV</v>
      </c>
      <c r="E13" s="252" t="str">
        <f>'Giá Máy'!F29</f>
        <v>ca</v>
      </c>
      <c r="F13" s="254">
        <v>0</v>
      </c>
      <c r="G13" s="255">
        <v>3.5000000000000003E-2</v>
      </c>
      <c r="H13" s="255">
        <f>'5.Tiên lượng'!X12</f>
        <v>1</v>
      </c>
      <c r="I13" s="255">
        <f>PRODUCT(F8,G13,H13)</f>
        <v>3.3330500000000006E-2</v>
      </c>
      <c r="J13" s="278">
        <f>'Giá Máy'!G29</f>
        <v>1758596.7608571399</v>
      </c>
      <c r="K13" s="278">
        <f t="shared" si="3"/>
        <v>61550.886629999906</v>
      </c>
      <c r="L13" s="278">
        <f>'Giá Máy'!H29</f>
        <v>1933474</v>
      </c>
      <c r="M13" s="278">
        <f t="shared" si="4"/>
        <v>67671.590000000011</v>
      </c>
      <c r="N13" s="278">
        <v>0</v>
      </c>
      <c r="O13" s="278">
        <v>0</v>
      </c>
      <c r="P13" s="278">
        <f>'Giá Máy'!O29</f>
        <v>1819307.232857143</v>
      </c>
      <c r="Q13" s="278">
        <f t="shared" si="5"/>
        <v>63675.753150000011</v>
      </c>
      <c r="R13" s="288">
        <v>0</v>
      </c>
    </row>
    <row r="14" spans="1:18">
      <c r="A14" s="234"/>
      <c r="B14" s="235">
        <v>2</v>
      </c>
      <c r="C14" s="236" t="str">
        <f>'5.Tiên lượng'!C14</f>
        <v>AB.31133</v>
      </c>
      <c r="D14" s="237" t="str">
        <f>'5.Tiên lượng'!D14</f>
        <v>Đào nền đường bằng máy đào 1,25m3 - Cấp đất III</v>
      </c>
      <c r="E14" s="235" t="str">
        <f>'5.Tiên lượng'!E14</f>
        <v>100m3</v>
      </c>
      <c r="F14" s="238">
        <f>'5.Tiên lượng'!M14</f>
        <v>2.7511999999999999</v>
      </c>
      <c r="G14" s="239">
        <v>0</v>
      </c>
      <c r="H14" s="239">
        <v>0</v>
      </c>
      <c r="I14" s="239">
        <v>0</v>
      </c>
      <c r="J14" s="275">
        <v>0</v>
      </c>
      <c r="K14" s="275">
        <v>0</v>
      </c>
      <c r="L14" s="275">
        <v>0</v>
      </c>
      <c r="M14" s="275">
        <v>0</v>
      </c>
      <c r="N14" s="275">
        <v>0</v>
      </c>
      <c r="O14" s="275">
        <v>0</v>
      </c>
      <c r="P14" s="275">
        <v>0</v>
      </c>
      <c r="Q14" s="275">
        <v>0</v>
      </c>
      <c r="R14" s="222">
        <v>0</v>
      </c>
    </row>
    <row r="15" spans="1:18">
      <c r="A15" s="240"/>
      <c r="B15" s="241">
        <v>0</v>
      </c>
      <c r="C15" s="242" t="s">
        <v>590</v>
      </c>
      <c r="D15" s="243" t="s">
        <v>265</v>
      </c>
      <c r="E15" s="241"/>
      <c r="F15" s="244">
        <v>0</v>
      </c>
      <c r="G15" s="245">
        <v>0</v>
      </c>
      <c r="H15" s="245"/>
      <c r="I15" s="245">
        <v>0</v>
      </c>
      <c r="J15" s="276">
        <v>0</v>
      </c>
      <c r="K15" s="276">
        <f>SUM(K16:K16)</f>
        <v>887349.53999999992</v>
      </c>
      <c r="L15" s="276">
        <v>0</v>
      </c>
      <c r="M15" s="276">
        <f>SUM(M16:M16)</f>
        <v>928189.08</v>
      </c>
      <c r="N15" s="276">
        <v>0</v>
      </c>
      <c r="O15" s="276">
        <v>0</v>
      </c>
      <c r="P15" s="276">
        <v>0</v>
      </c>
      <c r="Q15" s="276">
        <f>SUM(Q16:Q16)</f>
        <v>928189.08</v>
      </c>
      <c r="R15" s="287">
        <v>0</v>
      </c>
    </row>
    <row r="16" spans="1:18">
      <c r="A16" s="246"/>
      <c r="B16" s="247">
        <v>0</v>
      </c>
      <c r="C16" s="678" t="s">
        <v>598</v>
      </c>
      <c r="D16" s="248" t="str">
        <f>" - "&amp;'Giá NC'!E5</f>
        <v xml:space="preserve"> - Nhân công bậc 3,0/7 - Nhóm 1</v>
      </c>
      <c r="E16" s="247" t="str">
        <f>'Giá NC'!F5</f>
        <v>công</v>
      </c>
      <c r="F16" s="249">
        <v>0</v>
      </c>
      <c r="G16" s="250">
        <v>4.0599999999999996</v>
      </c>
      <c r="H16" s="250">
        <f>'5.Tiên lượng'!W14</f>
        <v>1</v>
      </c>
      <c r="I16" s="250">
        <f>PRODUCT(F14,G16,H16)</f>
        <v>11.169871999999998</v>
      </c>
      <c r="J16" s="277">
        <f>'Giá NC'!G5</f>
        <v>218559</v>
      </c>
      <c r="K16" s="277">
        <f>PRODUCT(G16,H16,J16)</f>
        <v>887349.53999999992</v>
      </c>
      <c r="L16" s="277">
        <f>'Giá NC'!H5</f>
        <v>228618</v>
      </c>
      <c r="M16" s="277">
        <f>PRODUCT(G16,H16,L16)</f>
        <v>928189.08</v>
      </c>
      <c r="N16" s="277">
        <v>0</v>
      </c>
      <c r="O16" s="277">
        <v>0</v>
      </c>
      <c r="P16" s="277">
        <f>'Giá NC'!K5</f>
        <v>228618</v>
      </c>
      <c r="Q16" s="277">
        <f>PRODUCT(G16,H16,P16)</f>
        <v>928189.08</v>
      </c>
      <c r="R16" s="287">
        <v>0</v>
      </c>
    </row>
    <row r="17" spans="1:18">
      <c r="A17" s="240"/>
      <c r="B17" s="241">
        <v>0</v>
      </c>
      <c r="C17" s="242" t="s">
        <v>590</v>
      </c>
      <c r="D17" s="243" t="s">
        <v>267</v>
      </c>
      <c r="E17" s="241"/>
      <c r="F17" s="244">
        <v>0</v>
      </c>
      <c r="G17" s="245">
        <v>0</v>
      </c>
      <c r="H17" s="245"/>
      <c r="I17" s="245">
        <v>0</v>
      </c>
      <c r="J17" s="276">
        <v>0</v>
      </c>
      <c r="K17" s="276">
        <f>SUM(K18:K19)</f>
        <v>1130070.5079954299</v>
      </c>
      <c r="L17" s="276">
        <v>0</v>
      </c>
      <c r="M17" s="276">
        <f>SUM(M18:M19)</f>
        <v>1235198.18</v>
      </c>
      <c r="N17" s="276">
        <v>0</v>
      </c>
      <c r="O17" s="276">
        <v>0</v>
      </c>
      <c r="P17" s="276">
        <v>0</v>
      </c>
      <c r="Q17" s="276">
        <f>SUM(Q18:Q19)</f>
        <v>1160321.1908914286</v>
      </c>
      <c r="R17" s="287">
        <v>0</v>
      </c>
    </row>
    <row r="18" spans="1:18">
      <c r="A18" s="246"/>
      <c r="B18" s="247">
        <v>0</v>
      </c>
      <c r="C18" s="678" t="s">
        <v>599</v>
      </c>
      <c r="D18" s="248" t="str">
        <f>" - "&amp;'Giá Máy'!E14</f>
        <v xml:space="preserve"> - Máy đào 1,25m3</v>
      </c>
      <c r="E18" s="247" t="str">
        <f>'Giá Máy'!F14</f>
        <v>ca</v>
      </c>
      <c r="F18" s="249">
        <v>0</v>
      </c>
      <c r="G18" s="250">
        <v>0.311</v>
      </c>
      <c r="H18" s="250">
        <f>'5.Tiên lượng'!X14</f>
        <v>1</v>
      </c>
      <c r="I18" s="250">
        <f>PRODUCT(F14,G18,H18)</f>
        <v>0.85562319999999992</v>
      </c>
      <c r="J18" s="277">
        <f>'Giá Máy'!G14</f>
        <v>3407481.1497142902</v>
      </c>
      <c r="K18" s="277">
        <f t="shared" ref="K18:K19" si="6">PRODUCT(G18,H18,J18)</f>
        <v>1059726.6375611443</v>
      </c>
      <c r="L18" s="277">
        <f>'Giá Máy'!H14</f>
        <v>3723020</v>
      </c>
      <c r="M18" s="277">
        <f t="shared" ref="M18:M19" si="7">PRODUCT(G18,H18,L18)</f>
        <v>1157859.22</v>
      </c>
      <c r="N18" s="277">
        <v>0</v>
      </c>
      <c r="O18" s="277">
        <v>0</v>
      </c>
      <c r="P18" s="277">
        <f>'Giá Máy'!O14</f>
        <v>3496941.8057142859</v>
      </c>
      <c r="Q18" s="277">
        <f t="shared" ref="Q18:Q19" si="8">PRODUCT(G18,H18,P18)</f>
        <v>1087548.901577143</v>
      </c>
      <c r="R18" s="287">
        <v>0</v>
      </c>
    </row>
    <row r="19" spans="1:18">
      <c r="A19" s="251"/>
      <c r="B19" s="252">
        <v>0</v>
      </c>
      <c r="C19" s="679" t="s">
        <v>600</v>
      </c>
      <c r="D19" s="253" t="str">
        <f>" - "&amp;'Giá Máy'!E29</f>
        <v xml:space="preserve"> - Máy ủi 110CV</v>
      </c>
      <c r="E19" s="252" t="str">
        <f>'Giá Máy'!F29</f>
        <v>ca</v>
      </c>
      <c r="F19" s="254">
        <v>0</v>
      </c>
      <c r="G19" s="255">
        <v>0.04</v>
      </c>
      <c r="H19" s="255">
        <f>'5.Tiên lượng'!X14</f>
        <v>1</v>
      </c>
      <c r="I19" s="255">
        <f>PRODUCT(F14,G19,H19)</f>
        <v>0.11004799999999999</v>
      </c>
      <c r="J19" s="278">
        <f>'Giá Máy'!G29</f>
        <v>1758596.7608571399</v>
      </c>
      <c r="K19" s="278">
        <f t="shared" si="6"/>
        <v>70343.870434285593</v>
      </c>
      <c r="L19" s="278">
        <f>'Giá Máy'!H29</f>
        <v>1933474</v>
      </c>
      <c r="M19" s="278">
        <f t="shared" si="7"/>
        <v>77338.960000000006</v>
      </c>
      <c r="N19" s="278">
        <v>0</v>
      </c>
      <c r="O19" s="278">
        <v>0</v>
      </c>
      <c r="P19" s="278">
        <f>'Giá Máy'!O29</f>
        <v>1819307.232857143</v>
      </c>
      <c r="Q19" s="278">
        <f t="shared" si="8"/>
        <v>72772.289314285721</v>
      </c>
      <c r="R19" s="288">
        <v>0</v>
      </c>
    </row>
    <row r="20" spans="1:18">
      <c r="A20" s="234"/>
      <c r="B20" s="235">
        <v>3</v>
      </c>
      <c r="C20" s="236" t="str">
        <f>'5.Tiên lượng'!C16</f>
        <v>AB.31134</v>
      </c>
      <c r="D20" s="237" t="str">
        <f>'5.Tiên lượng'!D16</f>
        <v>Đào nền đường bằng máy đào 1,25m3 - Cấp đất IV</v>
      </c>
      <c r="E20" s="235" t="str">
        <f>'5.Tiên lượng'!E16</f>
        <v>100m3</v>
      </c>
      <c r="F20" s="238">
        <f>'5.Tiên lượng'!M16</f>
        <v>1.4199999999999999E-2</v>
      </c>
      <c r="G20" s="239">
        <v>0</v>
      </c>
      <c r="H20" s="239">
        <v>0</v>
      </c>
      <c r="I20" s="239">
        <v>0</v>
      </c>
      <c r="J20" s="275">
        <v>0</v>
      </c>
      <c r="K20" s="275">
        <v>0</v>
      </c>
      <c r="L20" s="275">
        <v>0</v>
      </c>
      <c r="M20" s="275">
        <v>0</v>
      </c>
      <c r="N20" s="275">
        <v>0</v>
      </c>
      <c r="O20" s="275">
        <v>0</v>
      </c>
      <c r="P20" s="275">
        <v>0</v>
      </c>
      <c r="Q20" s="275">
        <v>0</v>
      </c>
      <c r="R20" s="222">
        <v>0</v>
      </c>
    </row>
    <row r="21" spans="1:18">
      <c r="A21" s="240"/>
      <c r="B21" s="241">
        <v>0</v>
      </c>
      <c r="C21" s="242" t="s">
        <v>590</v>
      </c>
      <c r="D21" s="243" t="s">
        <v>265</v>
      </c>
      <c r="E21" s="241"/>
      <c r="F21" s="244">
        <v>0</v>
      </c>
      <c r="G21" s="245">
        <v>0</v>
      </c>
      <c r="H21" s="245"/>
      <c r="I21" s="245">
        <v>0</v>
      </c>
      <c r="J21" s="276">
        <v>0</v>
      </c>
      <c r="K21" s="276">
        <f>SUM(K22:K22)</f>
        <v>1051268.7899999998</v>
      </c>
      <c r="L21" s="276">
        <v>0</v>
      </c>
      <c r="M21" s="276">
        <f>SUM(M22:M22)</f>
        <v>1099652.5799999998</v>
      </c>
      <c r="N21" s="276">
        <v>0</v>
      </c>
      <c r="O21" s="276">
        <v>0</v>
      </c>
      <c r="P21" s="276">
        <v>0</v>
      </c>
      <c r="Q21" s="276">
        <f>SUM(Q22:Q22)</f>
        <v>1099652.5799999998</v>
      </c>
      <c r="R21" s="287">
        <v>0</v>
      </c>
    </row>
    <row r="22" spans="1:18">
      <c r="A22" s="246"/>
      <c r="B22" s="247">
        <v>0</v>
      </c>
      <c r="C22" s="678" t="s">
        <v>598</v>
      </c>
      <c r="D22" s="248" t="str">
        <f>" - "&amp;'Giá NC'!E5</f>
        <v xml:space="preserve"> - Nhân công bậc 3,0/7 - Nhóm 1</v>
      </c>
      <c r="E22" s="247" t="str">
        <f>'Giá NC'!F5</f>
        <v>công</v>
      </c>
      <c r="F22" s="249">
        <v>0</v>
      </c>
      <c r="G22" s="250">
        <v>4.8099999999999996</v>
      </c>
      <c r="H22" s="250">
        <f>'5.Tiên lượng'!W16</f>
        <v>1</v>
      </c>
      <c r="I22" s="250">
        <f>PRODUCT(F20,G22,H22)</f>
        <v>6.8301999999999988E-2</v>
      </c>
      <c r="J22" s="277">
        <f>'Giá NC'!G5</f>
        <v>218559</v>
      </c>
      <c r="K22" s="277">
        <f>PRODUCT(G22,H22,J22)</f>
        <v>1051268.7899999998</v>
      </c>
      <c r="L22" s="277">
        <f>'Giá NC'!H5</f>
        <v>228618</v>
      </c>
      <c r="M22" s="277">
        <f>PRODUCT(G22,H22,L22)</f>
        <v>1099652.5799999998</v>
      </c>
      <c r="N22" s="277">
        <v>0</v>
      </c>
      <c r="O22" s="277">
        <v>0</v>
      </c>
      <c r="P22" s="277">
        <f>'Giá NC'!K5</f>
        <v>228618</v>
      </c>
      <c r="Q22" s="277">
        <f>PRODUCT(G22,H22,P22)</f>
        <v>1099652.5799999998</v>
      </c>
      <c r="R22" s="287">
        <v>0</v>
      </c>
    </row>
    <row r="23" spans="1:18">
      <c r="A23" s="240"/>
      <c r="B23" s="241">
        <v>0</v>
      </c>
      <c r="C23" s="242" t="s">
        <v>590</v>
      </c>
      <c r="D23" s="243" t="s">
        <v>267</v>
      </c>
      <c r="E23" s="241"/>
      <c r="F23" s="244">
        <v>0</v>
      </c>
      <c r="G23" s="245">
        <v>0</v>
      </c>
      <c r="H23" s="245"/>
      <c r="I23" s="245">
        <v>0</v>
      </c>
      <c r="J23" s="276">
        <v>0</v>
      </c>
      <c r="K23" s="276">
        <f>SUM(K24:K25)</f>
        <v>1546770.6196085731</v>
      </c>
      <c r="L23" s="276">
        <v>0</v>
      </c>
      <c r="M23" s="276">
        <f>SUM(M24:M25)</f>
        <v>1690701.9720000001</v>
      </c>
      <c r="N23" s="276">
        <v>0</v>
      </c>
      <c r="O23" s="276">
        <v>0</v>
      </c>
      <c r="P23" s="276">
        <v>0</v>
      </c>
      <c r="Q23" s="276">
        <f>SUM(Q24:Q25)</f>
        <v>1588223.1451285714</v>
      </c>
      <c r="R23" s="287">
        <v>0</v>
      </c>
    </row>
    <row r="24" spans="1:18">
      <c r="A24" s="246"/>
      <c r="B24" s="247">
        <v>0</v>
      </c>
      <c r="C24" s="678" t="s">
        <v>599</v>
      </c>
      <c r="D24" s="248" t="str">
        <f>" - "&amp;'Giá Máy'!E14</f>
        <v xml:space="preserve"> - Máy đào 1,25m3</v>
      </c>
      <c r="E24" s="247" t="str">
        <f>'Giá Máy'!F14</f>
        <v>ca</v>
      </c>
      <c r="F24" s="249">
        <v>0</v>
      </c>
      <c r="G24" s="250">
        <v>0.42399999999999999</v>
      </c>
      <c r="H24" s="250">
        <f>'5.Tiên lượng'!X16</f>
        <v>1</v>
      </c>
      <c r="I24" s="250">
        <f>PRODUCT(F20,G24,H24)</f>
        <v>6.0207999999999998E-3</v>
      </c>
      <c r="J24" s="277">
        <f>'Giá Máy'!G14</f>
        <v>3407481.1497142902</v>
      </c>
      <c r="K24" s="277">
        <f t="shared" ref="K24:K25" si="9">PRODUCT(G24,H24,J24)</f>
        <v>1444772.007478859</v>
      </c>
      <c r="L24" s="277">
        <f>'Giá Máy'!H14</f>
        <v>3723020</v>
      </c>
      <c r="M24" s="277">
        <f t="shared" ref="M24:M25" si="10">PRODUCT(G24,H24,L24)</f>
        <v>1578560.48</v>
      </c>
      <c r="N24" s="277">
        <v>0</v>
      </c>
      <c r="O24" s="277">
        <v>0</v>
      </c>
      <c r="P24" s="277">
        <f>'Giá Máy'!O14</f>
        <v>3496941.8057142859</v>
      </c>
      <c r="Q24" s="277">
        <f t="shared" ref="Q24:Q25" si="11">PRODUCT(G24,H24,P24)</f>
        <v>1482703.3256228571</v>
      </c>
      <c r="R24" s="287">
        <v>0</v>
      </c>
    </row>
    <row r="25" spans="1:18">
      <c r="A25" s="251"/>
      <c r="B25" s="252">
        <v>0</v>
      </c>
      <c r="C25" s="679" t="s">
        <v>600</v>
      </c>
      <c r="D25" s="253" t="str">
        <f>" - "&amp;'Giá Máy'!E29</f>
        <v xml:space="preserve"> - Máy ủi 110CV</v>
      </c>
      <c r="E25" s="252" t="str">
        <f>'Giá Máy'!F29</f>
        <v>ca</v>
      </c>
      <c r="F25" s="254">
        <v>0</v>
      </c>
      <c r="G25" s="255">
        <v>5.8000000000000003E-2</v>
      </c>
      <c r="H25" s="255">
        <f>'5.Tiên lượng'!X16</f>
        <v>1</v>
      </c>
      <c r="I25" s="255">
        <f>PRODUCT(F20,G25,H25)</f>
        <v>8.2359999999999996E-4</v>
      </c>
      <c r="J25" s="278">
        <f>'Giá Máy'!G29</f>
        <v>1758596.7608571399</v>
      </c>
      <c r="K25" s="278">
        <f t="shared" si="9"/>
        <v>101998.61212971412</v>
      </c>
      <c r="L25" s="278">
        <f>'Giá Máy'!H29</f>
        <v>1933474</v>
      </c>
      <c r="M25" s="278">
        <f t="shared" si="10"/>
        <v>112141.49200000001</v>
      </c>
      <c r="N25" s="278">
        <v>0</v>
      </c>
      <c r="O25" s="278">
        <v>0</v>
      </c>
      <c r="P25" s="278">
        <f>'Giá Máy'!O29</f>
        <v>1819307.232857143</v>
      </c>
      <c r="Q25" s="278">
        <f t="shared" si="11"/>
        <v>105519.8195057143</v>
      </c>
      <c r="R25" s="288">
        <v>0</v>
      </c>
    </row>
    <row r="26" spans="1:18">
      <c r="A26" s="234"/>
      <c r="B26" s="235">
        <v>4</v>
      </c>
      <c r="C26" s="236" t="str">
        <f>'5.Tiên lượng'!C18</f>
        <v>MD.QĐ792</v>
      </c>
      <c r="D26" s="237" t="str">
        <f>'5.Tiên lượng'!D18</f>
        <v>Đào nền đường đá cấp IV bằng máy đào 1,6m3</v>
      </c>
      <c r="E26" s="235" t="str">
        <f>'5.Tiên lượng'!E18</f>
        <v>m3</v>
      </c>
      <c r="F26" s="238">
        <f>'5.Tiên lượng'!M18</f>
        <v>88.07</v>
      </c>
      <c r="G26" s="239">
        <v>0</v>
      </c>
      <c r="H26" s="239">
        <v>0</v>
      </c>
      <c r="I26" s="239">
        <v>0</v>
      </c>
      <c r="J26" s="275">
        <v>0</v>
      </c>
      <c r="K26" s="275">
        <v>0</v>
      </c>
      <c r="L26" s="275">
        <v>0</v>
      </c>
      <c r="M26" s="275">
        <v>0</v>
      </c>
      <c r="N26" s="275">
        <v>0</v>
      </c>
      <c r="O26" s="275">
        <v>0</v>
      </c>
      <c r="P26" s="275">
        <v>0</v>
      </c>
      <c r="Q26" s="275">
        <v>0</v>
      </c>
      <c r="R26" s="222">
        <v>0</v>
      </c>
    </row>
    <row r="27" spans="1:18">
      <c r="A27" s="240"/>
      <c r="B27" s="241">
        <v>0</v>
      </c>
      <c r="C27" s="242" t="s">
        <v>590</v>
      </c>
      <c r="D27" s="243" t="s">
        <v>265</v>
      </c>
      <c r="E27" s="241"/>
      <c r="F27" s="244">
        <v>0</v>
      </c>
      <c r="G27" s="245">
        <v>0</v>
      </c>
      <c r="H27" s="245"/>
      <c r="I27" s="245">
        <v>0</v>
      </c>
      <c r="J27" s="276">
        <v>0</v>
      </c>
      <c r="K27" s="276">
        <f>SUM(K28:K28)</f>
        <v>9662.77</v>
      </c>
      <c r="L27" s="276">
        <v>0</v>
      </c>
      <c r="M27" s="276">
        <f>SUM(M28:M28)</f>
        <v>10107.5</v>
      </c>
      <c r="N27" s="276">
        <v>0</v>
      </c>
      <c r="O27" s="276">
        <v>0</v>
      </c>
      <c r="P27" s="276">
        <v>0</v>
      </c>
      <c r="Q27" s="276">
        <f>SUM(Q28:Q28)</f>
        <v>10107.5</v>
      </c>
      <c r="R27" s="287">
        <v>0</v>
      </c>
    </row>
    <row r="28" spans="1:18">
      <c r="A28" s="246"/>
      <c r="B28" s="247">
        <v>0</v>
      </c>
      <c r="C28" s="678" t="s">
        <v>601</v>
      </c>
      <c r="D28" s="248" t="str">
        <f>" - "&amp;'Giá NC'!E6</f>
        <v xml:space="preserve"> - Nhân công bậc 3,5/7 - Nhóm 1</v>
      </c>
      <c r="E28" s="247" t="str">
        <f>'Giá NC'!F6</f>
        <v>công</v>
      </c>
      <c r="F28" s="249">
        <v>0</v>
      </c>
      <c r="G28" s="250">
        <v>4.0430000000000001E-2</v>
      </c>
      <c r="H28" s="250">
        <f>'5.Tiên lượng'!W18</f>
        <v>1</v>
      </c>
      <c r="I28" s="250">
        <f>PRODUCT(F26,G28,H28)</f>
        <v>3.5606700999999998</v>
      </c>
      <c r="J28" s="277">
        <f>'Giá NC'!G6</f>
        <v>239000</v>
      </c>
      <c r="K28" s="277">
        <f>PRODUCT(G28,H28,J28)</f>
        <v>9662.77</v>
      </c>
      <c r="L28" s="277">
        <f>'Giá NC'!H6</f>
        <v>250000</v>
      </c>
      <c r="M28" s="277">
        <f>PRODUCT(G28,H28,L28)</f>
        <v>10107.5</v>
      </c>
      <c r="N28" s="277">
        <v>0</v>
      </c>
      <c r="O28" s="277">
        <v>0</v>
      </c>
      <c r="P28" s="277">
        <f>'Giá NC'!K6</f>
        <v>250000</v>
      </c>
      <c r="Q28" s="277">
        <f>PRODUCT(G28,H28,P28)</f>
        <v>10107.5</v>
      </c>
      <c r="R28" s="287">
        <v>0</v>
      </c>
    </row>
    <row r="29" spans="1:18">
      <c r="A29" s="240"/>
      <c r="B29" s="241">
        <v>0</v>
      </c>
      <c r="C29" s="242" t="s">
        <v>590</v>
      </c>
      <c r="D29" s="243" t="s">
        <v>267</v>
      </c>
      <c r="E29" s="241"/>
      <c r="F29" s="244">
        <v>0</v>
      </c>
      <c r="G29" s="245">
        <v>0</v>
      </c>
      <c r="H29" s="245"/>
      <c r="I29" s="245">
        <v>0</v>
      </c>
      <c r="J29" s="276">
        <v>0</v>
      </c>
      <c r="K29" s="276">
        <f>SUM(K30:K31)</f>
        <v>47463.434883220005</v>
      </c>
      <c r="L29" s="276">
        <v>0</v>
      </c>
      <c r="M29" s="276">
        <f>SUM(M30:M31)</f>
        <v>52348.933080000003</v>
      </c>
      <c r="N29" s="276">
        <v>0</v>
      </c>
      <c r="O29" s="276">
        <v>0</v>
      </c>
      <c r="P29" s="276">
        <v>0</v>
      </c>
      <c r="Q29" s="276">
        <f>SUM(Q30:Q31)</f>
        <v>48751.108796099994</v>
      </c>
      <c r="R29" s="287">
        <v>0</v>
      </c>
    </row>
    <row r="30" spans="1:18">
      <c r="A30" s="246"/>
      <c r="B30" s="247">
        <v>0</v>
      </c>
      <c r="C30" s="678" t="s">
        <v>602</v>
      </c>
      <c r="D30" s="248" t="str">
        <f>" - "&amp;'Giá Máy'!E15</f>
        <v xml:space="preserve"> - Máy đào 1,6m3</v>
      </c>
      <c r="E30" s="247" t="str">
        <f>'Giá Máy'!F15</f>
        <v>ca</v>
      </c>
      <c r="F30" s="249">
        <v>0</v>
      </c>
      <c r="G30" s="250">
        <v>1.123E-2</v>
      </c>
      <c r="H30" s="250">
        <f>'5.Tiên lượng'!X18</f>
        <v>1</v>
      </c>
      <c r="I30" s="250">
        <f>PRODUCT(F26,G30,H30)</f>
        <v>0.98902609999999991</v>
      </c>
      <c r="J30" s="277">
        <f>'Giá Máy'!G15</f>
        <v>4171676.4040000001</v>
      </c>
      <c r="K30" s="277">
        <f t="shared" ref="K30:K31" si="12">PRODUCT(G30,H30,J30)</f>
        <v>46847.926016920006</v>
      </c>
      <c r="L30" s="277">
        <f>'Giá Máy'!H15</f>
        <v>4601266</v>
      </c>
      <c r="M30" s="277">
        <f t="shared" ref="M30:M31" si="13">PRODUCT(G30,H30,L30)</f>
        <v>51672.21718</v>
      </c>
      <c r="N30" s="277">
        <v>0</v>
      </c>
      <c r="O30" s="277">
        <v>0</v>
      </c>
      <c r="P30" s="277">
        <f>'Giá Máy'!O15</f>
        <v>4284448.0199999996</v>
      </c>
      <c r="Q30" s="277">
        <f t="shared" ref="Q30:Q31" si="14">PRODUCT(G30,H30,P30)</f>
        <v>48114.351264599994</v>
      </c>
      <c r="R30" s="287">
        <v>0</v>
      </c>
    </row>
    <row r="31" spans="1:18">
      <c r="A31" s="251"/>
      <c r="B31" s="252">
        <v>0</v>
      </c>
      <c r="C31" s="679" t="s">
        <v>600</v>
      </c>
      <c r="D31" s="253" t="str">
        <f>" - "&amp;'Giá Máy'!E29</f>
        <v xml:space="preserve"> - Máy ủi 110CV</v>
      </c>
      <c r="E31" s="252" t="str">
        <f>'Giá Máy'!F29</f>
        <v>ca</v>
      </c>
      <c r="F31" s="254">
        <v>0</v>
      </c>
      <c r="G31" s="255">
        <v>3.5E-4</v>
      </c>
      <c r="H31" s="255">
        <f>'5.Tiên lượng'!X18</f>
        <v>1</v>
      </c>
      <c r="I31" s="255">
        <f>PRODUCT(F26,G31,H31)</f>
        <v>3.0824499999999998E-2</v>
      </c>
      <c r="J31" s="278">
        <f>'Giá Máy'!G29</f>
        <v>1758596.7608571399</v>
      </c>
      <c r="K31" s="278">
        <f t="shared" si="12"/>
        <v>615.508866299999</v>
      </c>
      <c r="L31" s="278">
        <f>'Giá Máy'!H29</f>
        <v>1933474</v>
      </c>
      <c r="M31" s="278">
        <f t="shared" si="13"/>
        <v>676.71590000000003</v>
      </c>
      <c r="N31" s="278">
        <v>0</v>
      </c>
      <c r="O31" s="278">
        <v>0</v>
      </c>
      <c r="P31" s="278">
        <f>'Giá Máy'!O29</f>
        <v>1819307.232857143</v>
      </c>
      <c r="Q31" s="278">
        <f t="shared" si="14"/>
        <v>636.75753150000003</v>
      </c>
      <c r="R31" s="288">
        <v>0</v>
      </c>
    </row>
    <row r="32" spans="1:18">
      <c r="A32" s="234"/>
      <c r="B32" s="235">
        <v>5</v>
      </c>
      <c r="C32" s="236" t="str">
        <f>'5.Tiên lượng'!C19</f>
        <v>AB.31134VD</v>
      </c>
      <c r="D32" s="237" t="str">
        <f>'5.Tiên lượng'!D19</f>
        <v>Đào đường cũ cấp phối bằng máy đào 1,25m3</v>
      </c>
      <c r="E32" s="235" t="str">
        <f>'5.Tiên lượng'!E19</f>
        <v>m3</v>
      </c>
      <c r="F32" s="238">
        <f>'5.Tiên lượng'!M19</f>
        <v>0</v>
      </c>
      <c r="G32" s="239">
        <v>0</v>
      </c>
      <c r="H32" s="239">
        <v>0</v>
      </c>
      <c r="I32" s="239">
        <v>0</v>
      </c>
      <c r="J32" s="275">
        <v>0</v>
      </c>
      <c r="K32" s="275">
        <v>0</v>
      </c>
      <c r="L32" s="275">
        <v>0</v>
      </c>
      <c r="M32" s="275">
        <v>0</v>
      </c>
      <c r="N32" s="275">
        <v>0</v>
      </c>
      <c r="O32" s="275">
        <v>0</v>
      </c>
      <c r="P32" s="275">
        <v>0</v>
      </c>
      <c r="Q32" s="275">
        <v>0</v>
      </c>
      <c r="R32" s="222">
        <v>0</v>
      </c>
    </row>
    <row r="33" spans="1:18">
      <c r="A33" s="240"/>
      <c r="B33" s="241">
        <v>0</v>
      </c>
      <c r="C33" s="242" t="s">
        <v>590</v>
      </c>
      <c r="D33" s="243" t="s">
        <v>265</v>
      </c>
      <c r="E33" s="241"/>
      <c r="F33" s="244">
        <v>0</v>
      </c>
      <c r="G33" s="245">
        <v>0</v>
      </c>
      <c r="H33" s="245"/>
      <c r="I33" s="245">
        <v>0</v>
      </c>
      <c r="J33" s="276">
        <v>0</v>
      </c>
      <c r="K33" s="276">
        <f>SUM(K34:K34)</f>
        <v>10512.687899999999</v>
      </c>
      <c r="L33" s="276">
        <v>0</v>
      </c>
      <c r="M33" s="276">
        <f>SUM(M34:M34)</f>
        <v>10996.525799999999</v>
      </c>
      <c r="N33" s="276">
        <v>0</v>
      </c>
      <c r="O33" s="276">
        <v>0</v>
      </c>
      <c r="P33" s="276">
        <v>0</v>
      </c>
      <c r="Q33" s="276">
        <f>SUM(Q34:Q34)</f>
        <v>10996.525799999999</v>
      </c>
      <c r="R33" s="287">
        <v>0</v>
      </c>
    </row>
    <row r="34" spans="1:18">
      <c r="A34" s="246"/>
      <c r="B34" s="247">
        <v>0</v>
      </c>
      <c r="C34" s="678" t="s">
        <v>598</v>
      </c>
      <c r="D34" s="248" t="str">
        <f>" - "&amp;'Giá NC'!E5</f>
        <v xml:space="preserve"> - Nhân công bậc 3,0/7 - Nhóm 1</v>
      </c>
      <c r="E34" s="247" t="str">
        <f>'Giá NC'!F5</f>
        <v>công</v>
      </c>
      <c r="F34" s="249">
        <v>0</v>
      </c>
      <c r="G34" s="250">
        <v>4.8099999999999997E-2</v>
      </c>
      <c r="H34" s="250">
        <f>'5.Tiên lượng'!W19</f>
        <v>1</v>
      </c>
      <c r="I34" s="250">
        <f>PRODUCT(F32,G34,H34)</f>
        <v>0</v>
      </c>
      <c r="J34" s="277">
        <f>'Giá NC'!G5</f>
        <v>218559</v>
      </c>
      <c r="K34" s="277">
        <f>PRODUCT(G34,H34,J34)</f>
        <v>10512.687899999999</v>
      </c>
      <c r="L34" s="277">
        <f>'Giá NC'!H5</f>
        <v>228618</v>
      </c>
      <c r="M34" s="277">
        <f>PRODUCT(G34,H34,L34)</f>
        <v>10996.525799999999</v>
      </c>
      <c r="N34" s="277">
        <v>0</v>
      </c>
      <c r="O34" s="277">
        <v>0</v>
      </c>
      <c r="P34" s="277">
        <f>'Giá NC'!K5</f>
        <v>228618</v>
      </c>
      <c r="Q34" s="277">
        <f>PRODUCT(G34,H34,P34)</f>
        <v>10996.525799999999</v>
      </c>
      <c r="R34" s="287">
        <v>0</v>
      </c>
    </row>
    <row r="35" spans="1:18">
      <c r="A35" s="240"/>
      <c r="B35" s="241">
        <v>0</v>
      </c>
      <c r="C35" s="242" t="s">
        <v>590</v>
      </c>
      <c r="D35" s="243" t="s">
        <v>267</v>
      </c>
      <c r="E35" s="241"/>
      <c r="F35" s="244">
        <v>0</v>
      </c>
      <c r="G35" s="245">
        <v>0</v>
      </c>
      <c r="H35" s="245"/>
      <c r="I35" s="245">
        <v>0</v>
      </c>
      <c r="J35" s="276">
        <v>0</v>
      </c>
      <c r="K35" s="276">
        <f>SUM(K36:K37)</f>
        <v>15467.70619608573</v>
      </c>
      <c r="L35" s="276">
        <v>0</v>
      </c>
      <c r="M35" s="276">
        <f>SUM(M36:M37)</f>
        <v>16907.01972</v>
      </c>
      <c r="N35" s="276">
        <v>0</v>
      </c>
      <c r="O35" s="276">
        <v>0</v>
      </c>
      <c r="P35" s="276">
        <v>0</v>
      </c>
      <c r="Q35" s="276">
        <f>SUM(Q36:Q37)</f>
        <v>15882.231451285714</v>
      </c>
      <c r="R35" s="287">
        <v>0</v>
      </c>
    </row>
    <row r="36" spans="1:18">
      <c r="A36" s="246"/>
      <c r="B36" s="247">
        <v>0</v>
      </c>
      <c r="C36" s="678" t="s">
        <v>599</v>
      </c>
      <c r="D36" s="248" t="str">
        <f>" - "&amp;'Giá Máy'!E14</f>
        <v xml:space="preserve"> - Máy đào 1,25m3</v>
      </c>
      <c r="E36" s="247" t="str">
        <f>'Giá Máy'!F14</f>
        <v>ca</v>
      </c>
      <c r="F36" s="249">
        <v>0</v>
      </c>
      <c r="G36" s="250">
        <v>4.2399999999999998E-3</v>
      </c>
      <c r="H36" s="250">
        <f>'5.Tiên lượng'!X19</f>
        <v>1</v>
      </c>
      <c r="I36" s="250">
        <f>PRODUCT(F32,G36,H36)</f>
        <v>0</v>
      </c>
      <c r="J36" s="277">
        <f>'Giá Máy'!G14</f>
        <v>3407481.1497142902</v>
      </c>
      <c r="K36" s="277">
        <f t="shared" ref="K36:K37" si="15">PRODUCT(G36,H36,J36)</f>
        <v>14447.720074788589</v>
      </c>
      <c r="L36" s="277">
        <f>'Giá Máy'!H14</f>
        <v>3723020</v>
      </c>
      <c r="M36" s="277">
        <f t="shared" ref="M36:M37" si="16">PRODUCT(G36,H36,L36)</f>
        <v>15785.604799999999</v>
      </c>
      <c r="N36" s="277">
        <v>0</v>
      </c>
      <c r="O36" s="277">
        <v>0</v>
      </c>
      <c r="P36" s="277">
        <f>'Giá Máy'!O14</f>
        <v>3496941.8057142859</v>
      </c>
      <c r="Q36" s="277">
        <f t="shared" ref="Q36:Q37" si="17">PRODUCT(G36,H36,P36)</f>
        <v>14827.033256228571</v>
      </c>
      <c r="R36" s="287">
        <v>0</v>
      </c>
    </row>
    <row r="37" spans="1:18">
      <c r="A37" s="251"/>
      <c r="B37" s="252">
        <v>0</v>
      </c>
      <c r="C37" s="679" t="s">
        <v>600</v>
      </c>
      <c r="D37" s="253" t="str">
        <f>" - "&amp;'Giá Máy'!E29</f>
        <v xml:space="preserve"> - Máy ủi 110CV</v>
      </c>
      <c r="E37" s="252" t="str">
        <f>'Giá Máy'!F29</f>
        <v>ca</v>
      </c>
      <c r="F37" s="254">
        <v>0</v>
      </c>
      <c r="G37" s="255">
        <v>5.8E-4</v>
      </c>
      <c r="H37" s="255">
        <f>'5.Tiên lượng'!X19</f>
        <v>1</v>
      </c>
      <c r="I37" s="255">
        <f>PRODUCT(F32,G37,H37)</f>
        <v>0</v>
      </c>
      <c r="J37" s="278">
        <f>'Giá Máy'!G29</f>
        <v>1758596.7608571399</v>
      </c>
      <c r="K37" s="278">
        <f t="shared" si="15"/>
        <v>1019.9861212971412</v>
      </c>
      <c r="L37" s="278">
        <f>'Giá Máy'!H29</f>
        <v>1933474</v>
      </c>
      <c r="M37" s="278">
        <f t="shared" si="16"/>
        <v>1121.4149199999999</v>
      </c>
      <c r="N37" s="278">
        <v>0</v>
      </c>
      <c r="O37" s="278">
        <v>0</v>
      </c>
      <c r="P37" s="278">
        <f>'Giá Máy'!O29</f>
        <v>1819307.232857143</v>
      </c>
      <c r="Q37" s="278">
        <f t="shared" si="17"/>
        <v>1055.198195057143</v>
      </c>
      <c r="R37" s="288">
        <v>0</v>
      </c>
    </row>
    <row r="38" spans="1:18">
      <c r="A38" s="234"/>
      <c r="B38" s="256">
        <v>6</v>
      </c>
      <c r="C38" s="234" t="str">
        <f>'5.Tiên lượng'!C21</f>
        <v>AB.31132(VD)</v>
      </c>
      <c r="D38" s="257" t="str">
        <f>'5.Tiên lượng'!D21</f>
        <v>Đào rãnh bằng máy đào 1,25m3 - Cấp đất II</v>
      </c>
      <c r="E38" s="256" t="str">
        <f>'5.Tiên lượng'!E21</f>
        <v>100m3</v>
      </c>
      <c r="F38" s="258">
        <f>'5.Tiên lượng'!M21</f>
        <v>7.2900000000000006E-2</v>
      </c>
      <c r="G38" s="259">
        <v>0</v>
      </c>
      <c r="H38" s="259">
        <v>0</v>
      </c>
      <c r="I38" s="259">
        <v>0</v>
      </c>
      <c r="J38" s="279">
        <v>0</v>
      </c>
      <c r="K38" s="279">
        <v>0</v>
      </c>
      <c r="L38" s="279">
        <v>0</v>
      </c>
      <c r="M38" s="280">
        <v>0</v>
      </c>
      <c r="N38" s="280">
        <v>0</v>
      </c>
      <c r="O38" s="280">
        <v>0</v>
      </c>
      <c r="P38" s="280">
        <v>0</v>
      </c>
      <c r="Q38" s="280">
        <v>0</v>
      </c>
      <c r="R38" s="222">
        <v>0</v>
      </c>
    </row>
    <row r="39" spans="1:18">
      <c r="A39" s="240"/>
      <c r="B39" s="260">
        <v>0</v>
      </c>
      <c r="C39" s="261" t="s">
        <v>590</v>
      </c>
      <c r="D39" s="262" t="s">
        <v>265</v>
      </c>
      <c r="E39" s="260"/>
      <c r="F39" s="263">
        <v>0</v>
      </c>
      <c r="G39" s="264">
        <v>0</v>
      </c>
      <c r="H39" s="264"/>
      <c r="I39" s="264">
        <v>0</v>
      </c>
      <c r="J39" s="281">
        <v>0</v>
      </c>
      <c r="K39" s="281">
        <f>SUM(K40:K40)</f>
        <v>740915.01</v>
      </c>
      <c r="L39" s="281">
        <v>0</v>
      </c>
      <c r="M39" s="282">
        <f>SUM(M40:M40)</f>
        <v>775015.02</v>
      </c>
      <c r="N39" s="282">
        <v>0</v>
      </c>
      <c r="O39" s="282">
        <v>0</v>
      </c>
      <c r="P39" s="282">
        <v>0</v>
      </c>
      <c r="Q39" s="282">
        <f>SUM(Q40:Q40)</f>
        <v>775015.02</v>
      </c>
      <c r="R39" s="287">
        <v>0</v>
      </c>
    </row>
    <row r="40" spans="1:18">
      <c r="A40" s="246"/>
      <c r="B40" s="265">
        <v>0</v>
      </c>
      <c r="C40" s="680" t="s">
        <v>598</v>
      </c>
      <c r="D40" s="266" t="str">
        <f>" - "&amp;'Giá NC'!E5</f>
        <v xml:space="preserve"> - Nhân công bậc 3,0/7 - Nhóm 1</v>
      </c>
      <c r="E40" s="265" t="str">
        <f>'Giá NC'!F5</f>
        <v>công</v>
      </c>
      <c r="F40" s="267">
        <v>0</v>
      </c>
      <c r="G40" s="268">
        <v>3.39</v>
      </c>
      <c r="H40" s="268">
        <f>'5.Tiên lượng'!W21</f>
        <v>1</v>
      </c>
      <c r="I40" s="268">
        <f>PRODUCT(F38,G40,H40)</f>
        <v>0.24713100000000002</v>
      </c>
      <c r="J40" s="283">
        <f>'Giá NC'!G5</f>
        <v>218559</v>
      </c>
      <c r="K40" s="283">
        <f>PRODUCT(G40,H40,J40)</f>
        <v>740915.01</v>
      </c>
      <c r="L40" s="283">
        <f>'Giá NC'!H5</f>
        <v>228618</v>
      </c>
      <c r="M40" s="284">
        <f>PRODUCT(G40,H40,L40)</f>
        <v>775015.02</v>
      </c>
      <c r="N40" s="284">
        <v>0</v>
      </c>
      <c r="O40" s="284">
        <v>0</v>
      </c>
      <c r="P40" s="284">
        <f>'Giá NC'!K5</f>
        <v>228618</v>
      </c>
      <c r="Q40" s="284">
        <f>PRODUCT(G40,H40,P40)</f>
        <v>775015.02</v>
      </c>
      <c r="R40" s="287">
        <v>0</v>
      </c>
    </row>
    <row r="41" spans="1:18">
      <c r="A41" s="240"/>
      <c r="B41" s="260">
        <v>0</v>
      </c>
      <c r="C41" s="261" t="s">
        <v>590</v>
      </c>
      <c r="D41" s="262" t="s">
        <v>267</v>
      </c>
      <c r="E41" s="260"/>
      <c r="F41" s="263">
        <v>0</v>
      </c>
      <c r="G41" s="264">
        <v>0</v>
      </c>
      <c r="H41" s="264"/>
      <c r="I41" s="264">
        <v>0</v>
      </c>
      <c r="J41" s="281">
        <v>0</v>
      </c>
      <c r="K41" s="281">
        <f>SUM(K42:K43)</f>
        <v>961125.91015457246</v>
      </c>
      <c r="L41" s="281">
        <v>0</v>
      </c>
      <c r="M41" s="282">
        <f>SUM(M42:M43)</f>
        <v>1050548.8700000001</v>
      </c>
      <c r="N41" s="282">
        <v>0</v>
      </c>
      <c r="O41" s="282">
        <v>0</v>
      </c>
      <c r="P41" s="282">
        <v>0</v>
      </c>
      <c r="Q41" s="282">
        <f>SUM(Q42:Q43)</f>
        <v>986868.38985857158</v>
      </c>
      <c r="R41" s="287">
        <v>0</v>
      </c>
    </row>
    <row r="42" spans="1:18">
      <c r="A42" s="246"/>
      <c r="B42" s="265">
        <v>0</v>
      </c>
      <c r="C42" s="680" t="s">
        <v>599</v>
      </c>
      <c r="D42" s="266" t="str">
        <f>" - "&amp;'Giá Máy'!E14</f>
        <v xml:space="preserve"> - Máy đào 1,25m3</v>
      </c>
      <c r="E42" s="265" t="str">
        <f>'Giá Máy'!F14</f>
        <v>ca</v>
      </c>
      <c r="F42" s="267">
        <v>0</v>
      </c>
      <c r="G42" s="268">
        <v>0.26400000000000001</v>
      </c>
      <c r="H42" s="268">
        <f>'5.Tiên lượng'!X21</f>
        <v>1</v>
      </c>
      <c r="I42" s="268">
        <f>PRODUCT(F38,G42,H42)</f>
        <v>1.9245600000000002E-2</v>
      </c>
      <c r="J42" s="283">
        <f>'Giá Máy'!G14</f>
        <v>3407481.1497142902</v>
      </c>
      <c r="K42" s="283">
        <f t="shared" ref="K42:K43" si="18">PRODUCT(G42,H42,J42)</f>
        <v>899575.02352457261</v>
      </c>
      <c r="L42" s="283">
        <f>'Giá Máy'!H14</f>
        <v>3723020</v>
      </c>
      <c r="M42" s="284">
        <f t="shared" ref="M42:M43" si="19">PRODUCT(G42,H42,L42)</f>
        <v>982877.28</v>
      </c>
      <c r="N42" s="284">
        <v>0</v>
      </c>
      <c r="O42" s="284">
        <v>0</v>
      </c>
      <c r="P42" s="284">
        <f>'Giá Máy'!O14</f>
        <v>3496941.8057142859</v>
      </c>
      <c r="Q42" s="284">
        <f t="shared" ref="Q42:Q43" si="20">PRODUCT(G42,H42,P42)</f>
        <v>923192.63670857158</v>
      </c>
      <c r="R42" s="287">
        <v>0</v>
      </c>
    </row>
    <row r="43" spans="1:18">
      <c r="A43" s="251"/>
      <c r="B43" s="269">
        <v>0</v>
      </c>
      <c r="C43" s="681" t="s">
        <v>600</v>
      </c>
      <c r="D43" s="270" t="str">
        <f>" - "&amp;'Giá Máy'!E29</f>
        <v xml:space="preserve"> - Máy ủi 110CV</v>
      </c>
      <c r="E43" s="269" t="str">
        <f>'Giá Máy'!F29</f>
        <v>ca</v>
      </c>
      <c r="F43" s="271">
        <v>0</v>
      </c>
      <c r="G43" s="272">
        <v>3.5000000000000003E-2</v>
      </c>
      <c r="H43" s="272">
        <f>'5.Tiên lượng'!X21</f>
        <v>1</v>
      </c>
      <c r="I43" s="272">
        <f>PRODUCT(F38,G43,H43)</f>
        <v>2.5515000000000004E-3</v>
      </c>
      <c r="J43" s="285">
        <f>'Giá Máy'!G29</f>
        <v>1758596.7608571399</v>
      </c>
      <c r="K43" s="285">
        <f t="shared" si="18"/>
        <v>61550.886629999906</v>
      </c>
      <c r="L43" s="285">
        <f>'Giá Máy'!H29</f>
        <v>1933474</v>
      </c>
      <c r="M43" s="286">
        <f t="shared" si="19"/>
        <v>67671.590000000011</v>
      </c>
      <c r="N43" s="286">
        <v>0</v>
      </c>
      <c r="O43" s="286">
        <v>0</v>
      </c>
      <c r="P43" s="286">
        <f>'Giá Máy'!O29</f>
        <v>1819307.232857143</v>
      </c>
      <c r="Q43" s="286">
        <f t="shared" si="20"/>
        <v>63675.753150000011</v>
      </c>
      <c r="R43" s="288">
        <v>0</v>
      </c>
    </row>
    <row r="44" spans="1:18">
      <c r="A44" s="234"/>
      <c r="B44" s="256">
        <v>7</v>
      </c>
      <c r="C44" s="234" t="str">
        <f>'5.Tiên lượng'!C23</f>
        <v>AB.31133(VD)</v>
      </c>
      <c r="D44" s="257" t="str">
        <f>'5.Tiên lượng'!D23</f>
        <v>Đào rãnh bằng máy đào 1,25m3 - Cấp đất III</v>
      </c>
      <c r="E44" s="256" t="str">
        <f>'5.Tiên lượng'!E23</f>
        <v>100m3</v>
      </c>
      <c r="F44" s="258">
        <f>'5.Tiên lượng'!M23</f>
        <v>0.88529999999999998</v>
      </c>
      <c r="G44" s="259">
        <v>0</v>
      </c>
      <c r="H44" s="259">
        <v>0</v>
      </c>
      <c r="I44" s="259">
        <v>0</v>
      </c>
      <c r="J44" s="279">
        <v>0</v>
      </c>
      <c r="K44" s="279">
        <v>0</v>
      </c>
      <c r="L44" s="279">
        <v>0</v>
      </c>
      <c r="M44" s="280">
        <v>0</v>
      </c>
      <c r="N44" s="280">
        <v>0</v>
      </c>
      <c r="O44" s="280">
        <v>0</v>
      </c>
      <c r="P44" s="280">
        <v>0</v>
      </c>
      <c r="Q44" s="280">
        <v>0</v>
      </c>
      <c r="R44" s="222">
        <v>0</v>
      </c>
    </row>
    <row r="45" spans="1:18">
      <c r="A45" s="240"/>
      <c r="B45" s="260">
        <v>0</v>
      </c>
      <c r="C45" s="261" t="s">
        <v>590</v>
      </c>
      <c r="D45" s="262" t="s">
        <v>265</v>
      </c>
      <c r="E45" s="260"/>
      <c r="F45" s="263">
        <v>0</v>
      </c>
      <c r="G45" s="264">
        <v>0</v>
      </c>
      <c r="H45" s="264"/>
      <c r="I45" s="264">
        <v>0</v>
      </c>
      <c r="J45" s="281">
        <v>0</v>
      </c>
      <c r="K45" s="281">
        <f>SUM(K46:K46)</f>
        <v>887349.53999999992</v>
      </c>
      <c r="L45" s="281">
        <v>0</v>
      </c>
      <c r="M45" s="282">
        <f>SUM(M46:M46)</f>
        <v>928189.08</v>
      </c>
      <c r="N45" s="282">
        <v>0</v>
      </c>
      <c r="O45" s="282">
        <v>0</v>
      </c>
      <c r="P45" s="282">
        <v>0</v>
      </c>
      <c r="Q45" s="282">
        <f>SUM(Q46:Q46)</f>
        <v>928189.08</v>
      </c>
      <c r="R45" s="287">
        <v>0</v>
      </c>
    </row>
    <row r="46" spans="1:18">
      <c r="A46" s="246"/>
      <c r="B46" s="265">
        <v>0</v>
      </c>
      <c r="C46" s="680" t="s">
        <v>598</v>
      </c>
      <c r="D46" s="266" t="str">
        <f>" - "&amp;'Giá NC'!E5</f>
        <v xml:space="preserve"> - Nhân công bậc 3,0/7 - Nhóm 1</v>
      </c>
      <c r="E46" s="265" t="str">
        <f>'Giá NC'!F5</f>
        <v>công</v>
      </c>
      <c r="F46" s="267">
        <v>0</v>
      </c>
      <c r="G46" s="268">
        <v>4.0599999999999996</v>
      </c>
      <c r="H46" s="268">
        <f>'5.Tiên lượng'!W23</f>
        <v>1</v>
      </c>
      <c r="I46" s="268">
        <f>PRODUCT(F44,G46,H46)</f>
        <v>3.5943179999999995</v>
      </c>
      <c r="J46" s="283">
        <f>'Giá NC'!G5</f>
        <v>218559</v>
      </c>
      <c r="K46" s="283">
        <f>PRODUCT(G46,H46,J46)</f>
        <v>887349.53999999992</v>
      </c>
      <c r="L46" s="283">
        <f>'Giá NC'!H5</f>
        <v>228618</v>
      </c>
      <c r="M46" s="284">
        <f>PRODUCT(G46,H46,L46)</f>
        <v>928189.08</v>
      </c>
      <c r="N46" s="284">
        <v>0</v>
      </c>
      <c r="O46" s="284">
        <v>0</v>
      </c>
      <c r="P46" s="284">
        <f>'Giá NC'!K5</f>
        <v>228618</v>
      </c>
      <c r="Q46" s="284">
        <f>PRODUCT(G46,H46,P46)</f>
        <v>928189.08</v>
      </c>
      <c r="R46" s="287">
        <v>0</v>
      </c>
    </row>
    <row r="47" spans="1:18">
      <c r="A47" s="240"/>
      <c r="B47" s="260">
        <v>0</v>
      </c>
      <c r="C47" s="261" t="s">
        <v>590</v>
      </c>
      <c r="D47" s="262" t="s">
        <v>267</v>
      </c>
      <c r="E47" s="260"/>
      <c r="F47" s="263">
        <v>0</v>
      </c>
      <c r="G47" s="264">
        <v>0</v>
      </c>
      <c r="H47" s="264"/>
      <c r="I47" s="264">
        <v>0</v>
      </c>
      <c r="J47" s="281">
        <v>0</v>
      </c>
      <c r="K47" s="281">
        <f>SUM(K48:K49)</f>
        <v>1130070.5079954299</v>
      </c>
      <c r="L47" s="281">
        <v>0</v>
      </c>
      <c r="M47" s="282">
        <f>SUM(M48:M49)</f>
        <v>1235198.18</v>
      </c>
      <c r="N47" s="282">
        <v>0</v>
      </c>
      <c r="O47" s="282">
        <v>0</v>
      </c>
      <c r="P47" s="282">
        <v>0</v>
      </c>
      <c r="Q47" s="282">
        <f>SUM(Q48:Q49)</f>
        <v>1160321.1908914286</v>
      </c>
      <c r="R47" s="287">
        <v>0</v>
      </c>
    </row>
    <row r="48" spans="1:18">
      <c r="A48" s="246"/>
      <c r="B48" s="265">
        <v>0</v>
      </c>
      <c r="C48" s="680" t="s">
        <v>599</v>
      </c>
      <c r="D48" s="266" t="str">
        <f>" - "&amp;'Giá Máy'!E14</f>
        <v xml:space="preserve"> - Máy đào 1,25m3</v>
      </c>
      <c r="E48" s="265" t="str">
        <f>'Giá Máy'!F14</f>
        <v>ca</v>
      </c>
      <c r="F48" s="267">
        <v>0</v>
      </c>
      <c r="G48" s="268">
        <v>0.311</v>
      </c>
      <c r="H48" s="268">
        <f>'5.Tiên lượng'!X23</f>
        <v>1</v>
      </c>
      <c r="I48" s="268">
        <f>PRODUCT(F44,G48,H48)</f>
        <v>0.27532829999999997</v>
      </c>
      <c r="J48" s="283">
        <f>'Giá Máy'!G14</f>
        <v>3407481.1497142902</v>
      </c>
      <c r="K48" s="283">
        <f t="shared" ref="K48:K49" si="21">PRODUCT(G48,H48,J48)</f>
        <v>1059726.6375611443</v>
      </c>
      <c r="L48" s="283">
        <f>'Giá Máy'!H14</f>
        <v>3723020</v>
      </c>
      <c r="M48" s="284">
        <f t="shared" ref="M48:M49" si="22">PRODUCT(G48,H48,L48)</f>
        <v>1157859.22</v>
      </c>
      <c r="N48" s="284">
        <v>0</v>
      </c>
      <c r="O48" s="284">
        <v>0</v>
      </c>
      <c r="P48" s="284">
        <f>'Giá Máy'!O14</f>
        <v>3496941.8057142859</v>
      </c>
      <c r="Q48" s="284">
        <f t="shared" ref="Q48:Q49" si="23">PRODUCT(G48,H48,P48)</f>
        <v>1087548.901577143</v>
      </c>
      <c r="R48" s="287">
        <v>0</v>
      </c>
    </row>
    <row r="49" spans="1:18">
      <c r="A49" s="251"/>
      <c r="B49" s="269">
        <v>0</v>
      </c>
      <c r="C49" s="681" t="s">
        <v>600</v>
      </c>
      <c r="D49" s="270" t="str">
        <f>" - "&amp;'Giá Máy'!E29</f>
        <v xml:space="preserve"> - Máy ủi 110CV</v>
      </c>
      <c r="E49" s="269" t="str">
        <f>'Giá Máy'!F29</f>
        <v>ca</v>
      </c>
      <c r="F49" s="271">
        <v>0</v>
      </c>
      <c r="G49" s="272">
        <v>0.04</v>
      </c>
      <c r="H49" s="272">
        <f>'5.Tiên lượng'!X23</f>
        <v>1</v>
      </c>
      <c r="I49" s="272">
        <f>PRODUCT(F44,G49,H49)</f>
        <v>3.5411999999999999E-2</v>
      </c>
      <c r="J49" s="285">
        <f>'Giá Máy'!G29</f>
        <v>1758596.7608571399</v>
      </c>
      <c r="K49" s="285">
        <f t="shared" si="21"/>
        <v>70343.870434285593</v>
      </c>
      <c r="L49" s="285">
        <f>'Giá Máy'!H29</f>
        <v>1933474</v>
      </c>
      <c r="M49" s="286">
        <f t="shared" si="22"/>
        <v>77338.960000000006</v>
      </c>
      <c r="N49" s="286">
        <v>0</v>
      </c>
      <c r="O49" s="286">
        <v>0</v>
      </c>
      <c r="P49" s="286">
        <f>'Giá Máy'!O29</f>
        <v>1819307.232857143</v>
      </c>
      <c r="Q49" s="286">
        <f t="shared" si="23"/>
        <v>72772.289314285721</v>
      </c>
      <c r="R49" s="288">
        <v>0</v>
      </c>
    </row>
    <row r="50" spans="1:18">
      <c r="A50" s="234"/>
      <c r="B50" s="256">
        <v>8</v>
      </c>
      <c r="C50" s="234" t="str">
        <f>'5.Tiên lượng'!C25</f>
        <v>AB.31134(VD)</v>
      </c>
      <c r="D50" s="257" t="str">
        <f>'5.Tiên lượng'!D25</f>
        <v>Đào rãnh bằng máy đào 1,25m3 - Cấp đất IV</v>
      </c>
      <c r="E50" s="256" t="str">
        <f>'5.Tiên lượng'!E25</f>
        <v>100m3</v>
      </c>
      <c r="F50" s="258">
        <f>'5.Tiên lượng'!M25</f>
        <v>1.1000000000000001E-3</v>
      </c>
      <c r="G50" s="259">
        <v>0</v>
      </c>
      <c r="H50" s="259">
        <v>0</v>
      </c>
      <c r="I50" s="259">
        <v>0</v>
      </c>
      <c r="J50" s="279">
        <v>0</v>
      </c>
      <c r="K50" s="279">
        <v>0</v>
      </c>
      <c r="L50" s="279">
        <v>0</v>
      </c>
      <c r="M50" s="280">
        <v>0</v>
      </c>
      <c r="N50" s="280">
        <v>0</v>
      </c>
      <c r="O50" s="280">
        <v>0</v>
      </c>
      <c r="P50" s="280">
        <v>0</v>
      </c>
      <c r="Q50" s="280">
        <v>0</v>
      </c>
      <c r="R50" s="222">
        <v>0</v>
      </c>
    </row>
    <row r="51" spans="1:18">
      <c r="A51" s="240"/>
      <c r="B51" s="260">
        <v>0</v>
      </c>
      <c r="C51" s="261" t="s">
        <v>590</v>
      </c>
      <c r="D51" s="262" t="s">
        <v>265</v>
      </c>
      <c r="E51" s="260"/>
      <c r="F51" s="263">
        <v>0</v>
      </c>
      <c r="G51" s="264">
        <v>0</v>
      </c>
      <c r="H51" s="264"/>
      <c r="I51" s="264">
        <v>0</v>
      </c>
      <c r="J51" s="281">
        <v>0</v>
      </c>
      <c r="K51" s="281">
        <f>SUM(K52:K52)</f>
        <v>1051268.7899999998</v>
      </c>
      <c r="L51" s="281">
        <v>0</v>
      </c>
      <c r="M51" s="282">
        <f>SUM(M52:M52)</f>
        <v>1099652.5799999998</v>
      </c>
      <c r="N51" s="282">
        <v>0</v>
      </c>
      <c r="O51" s="282">
        <v>0</v>
      </c>
      <c r="P51" s="282">
        <v>0</v>
      </c>
      <c r="Q51" s="282">
        <f>SUM(Q52:Q52)</f>
        <v>1099652.5799999998</v>
      </c>
      <c r="R51" s="287">
        <v>0</v>
      </c>
    </row>
    <row r="52" spans="1:18">
      <c r="A52" s="246"/>
      <c r="B52" s="265">
        <v>0</v>
      </c>
      <c r="C52" s="680" t="s">
        <v>598</v>
      </c>
      <c r="D52" s="266" t="str">
        <f>" - "&amp;'Giá NC'!E5</f>
        <v xml:space="preserve"> - Nhân công bậc 3,0/7 - Nhóm 1</v>
      </c>
      <c r="E52" s="265" t="str">
        <f>'Giá NC'!F5</f>
        <v>công</v>
      </c>
      <c r="F52" s="267">
        <v>0</v>
      </c>
      <c r="G52" s="268">
        <v>4.8099999999999996</v>
      </c>
      <c r="H52" s="268">
        <f>'5.Tiên lượng'!W25</f>
        <v>1</v>
      </c>
      <c r="I52" s="268">
        <f>PRODUCT(F50,G52,H52)</f>
        <v>5.2909999999999997E-3</v>
      </c>
      <c r="J52" s="283">
        <f>'Giá NC'!G5</f>
        <v>218559</v>
      </c>
      <c r="K52" s="283">
        <f>PRODUCT(G52,H52,J52)</f>
        <v>1051268.7899999998</v>
      </c>
      <c r="L52" s="283">
        <f>'Giá NC'!H5</f>
        <v>228618</v>
      </c>
      <c r="M52" s="284">
        <f>PRODUCT(G52,H52,L52)</f>
        <v>1099652.5799999998</v>
      </c>
      <c r="N52" s="284">
        <v>0</v>
      </c>
      <c r="O52" s="284">
        <v>0</v>
      </c>
      <c r="P52" s="284">
        <f>'Giá NC'!K5</f>
        <v>228618</v>
      </c>
      <c r="Q52" s="284">
        <f>PRODUCT(G52,H52,P52)</f>
        <v>1099652.5799999998</v>
      </c>
      <c r="R52" s="287">
        <v>0</v>
      </c>
    </row>
    <row r="53" spans="1:18">
      <c r="A53" s="240"/>
      <c r="B53" s="260">
        <v>0</v>
      </c>
      <c r="C53" s="261" t="s">
        <v>590</v>
      </c>
      <c r="D53" s="262" t="s">
        <v>267</v>
      </c>
      <c r="E53" s="260"/>
      <c r="F53" s="263">
        <v>0</v>
      </c>
      <c r="G53" s="264">
        <v>0</v>
      </c>
      <c r="H53" s="264"/>
      <c r="I53" s="264">
        <v>0</v>
      </c>
      <c r="J53" s="281">
        <v>0</v>
      </c>
      <c r="K53" s="281">
        <f>SUM(K54:K55)</f>
        <v>1546770.6196085731</v>
      </c>
      <c r="L53" s="281">
        <v>0</v>
      </c>
      <c r="M53" s="282">
        <f>SUM(M54:M55)</f>
        <v>1690701.9720000001</v>
      </c>
      <c r="N53" s="282">
        <v>0</v>
      </c>
      <c r="O53" s="282">
        <v>0</v>
      </c>
      <c r="P53" s="282">
        <v>0</v>
      </c>
      <c r="Q53" s="282">
        <f>SUM(Q54:Q55)</f>
        <v>1588223.1451285714</v>
      </c>
      <c r="R53" s="287">
        <v>0</v>
      </c>
    </row>
    <row r="54" spans="1:18">
      <c r="A54" s="246"/>
      <c r="B54" s="265">
        <v>0</v>
      </c>
      <c r="C54" s="680" t="s">
        <v>599</v>
      </c>
      <c r="D54" s="266" t="str">
        <f>" - "&amp;'Giá Máy'!E14</f>
        <v xml:space="preserve"> - Máy đào 1,25m3</v>
      </c>
      <c r="E54" s="265" t="str">
        <f>'Giá Máy'!F14</f>
        <v>ca</v>
      </c>
      <c r="F54" s="267">
        <v>0</v>
      </c>
      <c r="G54" s="268">
        <v>0.42399999999999999</v>
      </c>
      <c r="H54" s="268">
        <f>'5.Tiên lượng'!X25</f>
        <v>1</v>
      </c>
      <c r="I54" s="268">
        <f>PRODUCT(F50,G54,H54)</f>
        <v>4.6640000000000001E-4</v>
      </c>
      <c r="J54" s="283">
        <f>'Giá Máy'!G14</f>
        <v>3407481.1497142902</v>
      </c>
      <c r="K54" s="283">
        <f t="shared" ref="K54:K55" si="24">PRODUCT(G54,H54,J54)</f>
        <v>1444772.007478859</v>
      </c>
      <c r="L54" s="283">
        <f>'Giá Máy'!H14</f>
        <v>3723020</v>
      </c>
      <c r="M54" s="284">
        <f t="shared" ref="M54:M55" si="25">PRODUCT(G54,H54,L54)</f>
        <v>1578560.48</v>
      </c>
      <c r="N54" s="284">
        <v>0</v>
      </c>
      <c r="O54" s="284">
        <v>0</v>
      </c>
      <c r="P54" s="284">
        <f>'Giá Máy'!O14</f>
        <v>3496941.8057142859</v>
      </c>
      <c r="Q54" s="284">
        <f t="shared" ref="Q54:Q55" si="26">PRODUCT(G54,H54,P54)</f>
        <v>1482703.3256228571</v>
      </c>
      <c r="R54" s="287">
        <v>0</v>
      </c>
    </row>
    <row r="55" spans="1:18">
      <c r="A55" s="251"/>
      <c r="B55" s="269">
        <v>0</v>
      </c>
      <c r="C55" s="681" t="s">
        <v>600</v>
      </c>
      <c r="D55" s="270" t="str">
        <f>" - "&amp;'Giá Máy'!E29</f>
        <v xml:space="preserve"> - Máy ủi 110CV</v>
      </c>
      <c r="E55" s="269" t="str">
        <f>'Giá Máy'!F29</f>
        <v>ca</v>
      </c>
      <c r="F55" s="271">
        <v>0</v>
      </c>
      <c r="G55" s="272">
        <v>5.8000000000000003E-2</v>
      </c>
      <c r="H55" s="272">
        <f>'5.Tiên lượng'!X25</f>
        <v>1</v>
      </c>
      <c r="I55" s="272">
        <f>PRODUCT(F50,G55,H55)</f>
        <v>6.3800000000000006E-5</v>
      </c>
      <c r="J55" s="285">
        <f>'Giá Máy'!G29</f>
        <v>1758596.7608571399</v>
      </c>
      <c r="K55" s="285">
        <f t="shared" si="24"/>
        <v>101998.61212971412</v>
      </c>
      <c r="L55" s="285">
        <f>'Giá Máy'!H29</f>
        <v>1933474</v>
      </c>
      <c r="M55" s="286">
        <f t="shared" si="25"/>
        <v>112141.49200000001</v>
      </c>
      <c r="N55" s="286">
        <v>0</v>
      </c>
      <c r="O55" s="286">
        <v>0</v>
      </c>
      <c r="P55" s="286">
        <f>'Giá Máy'!O29</f>
        <v>1819307.232857143</v>
      </c>
      <c r="Q55" s="286">
        <f t="shared" si="26"/>
        <v>105519.8195057143</v>
      </c>
      <c r="R55" s="288">
        <v>0</v>
      </c>
    </row>
    <row r="56" spans="1:18">
      <c r="A56" s="234"/>
      <c r="B56" s="256">
        <v>9</v>
      </c>
      <c r="C56" s="234" t="str">
        <f>'5.Tiên lượng'!C27</f>
        <v>MD.QĐ792</v>
      </c>
      <c r="D56" s="257" t="str">
        <f>'5.Tiên lượng'!D27</f>
        <v>Đào rãnh đá cấp IV bằng máy đào 1,6m3</v>
      </c>
      <c r="E56" s="256" t="str">
        <f>'5.Tiên lượng'!E27</f>
        <v>m3</v>
      </c>
      <c r="F56" s="258">
        <f>'5.Tiên lượng'!M27</f>
        <v>13.28</v>
      </c>
      <c r="G56" s="259">
        <v>0</v>
      </c>
      <c r="H56" s="259">
        <v>0</v>
      </c>
      <c r="I56" s="259">
        <v>0</v>
      </c>
      <c r="J56" s="279">
        <v>0</v>
      </c>
      <c r="K56" s="279">
        <v>0</v>
      </c>
      <c r="L56" s="279">
        <v>0</v>
      </c>
      <c r="M56" s="280">
        <v>0</v>
      </c>
      <c r="N56" s="280">
        <v>0</v>
      </c>
      <c r="O56" s="280">
        <v>0</v>
      </c>
      <c r="P56" s="280">
        <v>0</v>
      </c>
      <c r="Q56" s="280">
        <v>0</v>
      </c>
      <c r="R56" s="222">
        <v>0</v>
      </c>
    </row>
    <row r="57" spans="1:18">
      <c r="A57" s="240"/>
      <c r="B57" s="260">
        <v>0</v>
      </c>
      <c r="C57" s="261" t="s">
        <v>590</v>
      </c>
      <c r="D57" s="262" t="s">
        <v>265</v>
      </c>
      <c r="E57" s="260"/>
      <c r="F57" s="263">
        <v>0</v>
      </c>
      <c r="G57" s="264">
        <v>0</v>
      </c>
      <c r="H57" s="264"/>
      <c r="I57" s="264">
        <v>0</v>
      </c>
      <c r="J57" s="281">
        <v>0</v>
      </c>
      <c r="K57" s="281">
        <f>SUM(K58:K58)</f>
        <v>9662.77</v>
      </c>
      <c r="L57" s="281">
        <v>0</v>
      </c>
      <c r="M57" s="282">
        <f>SUM(M58:M58)</f>
        <v>10107.5</v>
      </c>
      <c r="N57" s="282">
        <v>0</v>
      </c>
      <c r="O57" s="282">
        <v>0</v>
      </c>
      <c r="P57" s="282">
        <v>0</v>
      </c>
      <c r="Q57" s="282">
        <f>SUM(Q58:Q58)</f>
        <v>10107.5</v>
      </c>
      <c r="R57" s="287">
        <v>0</v>
      </c>
    </row>
    <row r="58" spans="1:18">
      <c r="A58" s="246"/>
      <c r="B58" s="265">
        <v>0</v>
      </c>
      <c r="C58" s="680" t="s">
        <v>601</v>
      </c>
      <c r="D58" s="266" t="str">
        <f>" - "&amp;'Giá NC'!E6</f>
        <v xml:space="preserve"> - Nhân công bậc 3,5/7 - Nhóm 1</v>
      </c>
      <c r="E58" s="265" t="str">
        <f>'Giá NC'!F6</f>
        <v>công</v>
      </c>
      <c r="F58" s="267">
        <v>0</v>
      </c>
      <c r="G58" s="268">
        <v>4.0430000000000001E-2</v>
      </c>
      <c r="H58" s="268">
        <f>'5.Tiên lượng'!W27</f>
        <v>1</v>
      </c>
      <c r="I58" s="268">
        <f>PRODUCT(F56,G58,H58)</f>
        <v>0.53691040000000001</v>
      </c>
      <c r="J58" s="283">
        <f>'Giá NC'!G6</f>
        <v>239000</v>
      </c>
      <c r="K58" s="283">
        <f>PRODUCT(G58,H58,J58)</f>
        <v>9662.77</v>
      </c>
      <c r="L58" s="283">
        <f>'Giá NC'!H6</f>
        <v>250000</v>
      </c>
      <c r="M58" s="284">
        <f>PRODUCT(G58,H58,L58)</f>
        <v>10107.5</v>
      </c>
      <c r="N58" s="284">
        <v>0</v>
      </c>
      <c r="O58" s="284">
        <v>0</v>
      </c>
      <c r="P58" s="284">
        <f>'Giá NC'!K6</f>
        <v>250000</v>
      </c>
      <c r="Q58" s="284">
        <f>PRODUCT(G58,H58,P58)</f>
        <v>10107.5</v>
      </c>
      <c r="R58" s="287">
        <v>0</v>
      </c>
    </row>
    <row r="59" spans="1:18">
      <c r="A59" s="240"/>
      <c r="B59" s="260">
        <v>0</v>
      </c>
      <c r="C59" s="261" t="s">
        <v>590</v>
      </c>
      <c r="D59" s="262" t="s">
        <v>267</v>
      </c>
      <c r="E59" s="260"/>
      <c r="F59" s="263">
        <v>0</v>
      </c>
      <c r="G59" s="264">
        <v>0</v>
      </c>
      <c r="H59" s="264"/>
      <c r="I59" s="264">
        <v>0</v>
      </c>
      <c r="J59" s="281">
        <v>0</v>
      </c>
      <c r="K59" s="281">
        <f>SUM(K60:K60)</f>
        <v>46847.926016920006</v>
      </c>
      <c r="L59" s="281">
        <v>0</v>
      </c>
      <c r="M59" s="282">
        <f>SUM(M60:M60)</f>
        <v>51672.21718</v>
      </c>
      <c r="N59" s="282">
        <v>0</v>
      </c>
      <c r="O59" s="282">
        <v>0</v>
      </c>
      <c r="P59" s="282">
        <v>0</v>
      </c>
      <c r="Q59" s="282">
        <f>SUM(Q60:Q60)</f>
        <v>48114.351264599994</v>
      </c>
      <c r="R59" s="287">
        <v>0</v>
      </c>
    </row>
    <row r="60" spans="1:18">
      <c r="A60" s="251"/>
      <c r="B60" s="269">
        <v>0</v>
      </c>
      <c r="C60" s="681" t="s">
        <v>602</v>
      </c>
      <c r="D60" s="270" t="str">
        <f>" - "&amp;'Giá Máy'!E15</f>
        <v xml:space="preserve"> - Máy đào 1,6m3</v>
      </c>
      <c r="E60" s="269" t="str">
        <f>'Giá Máy'!F15</f>
        <v>ca</v>
      </c>
      <c r="F60" s="271">
        <v>0</v>
      </c>
      <c r="G60" s="272">
        <v>1.123E-2</v>
      </c>
      <c r="H60" s="272">
        <f>'5.Tiên lượng'!X27</f>
        <v>1</v>
      </c>
      <c r="I60" s="272">
        <f>PRODUCT(F56,G60,H60)</f>
        <v>0.1491344</v>
      </c>
      <c r="J60" s="285">
        <f>'Giá Máy'!G15</f>
        <v>4171676.4040000001</v>
      </c>
      <c r="K60" s="285">
        <f>PRODUCT(G60,H60,J60)</f>
        <v>46847.926016920006</v>
      </c>
      <c r="L60" s="285">
        <f>'Giá Máy'!H15</f>
        <v>4601266</v>
      </c>
      <c r="M60" s="286">
        <f>PRODUCT(G60,H60,L60)</f>
        <v>51672.21718</v>
      </c>
      <c r="N60" s="286">
        <v>0</v>
      </c>
      <c r="O60" s="286">
        <v>0</v>
      </c>
      <c r="P60" s="286">
        <f>'Giá Máy'!O15</f>
        <v>4284448.0199999996</v>
      </c>
      <c r="Q60" s="286">
        <f>PRODUCT(G60,H60,P60)</f>
        <v>48114.351264599994</v>
      </c>
      <c r="R60" s="288">
        <v>0</v>
      </c>
    </row>
    <row r="61" spans="1:18">
      <c r="A61" s="234"/>
      <c r="B61" s="256">
        <v>10</v>
      </c>
      <c r="C61" s="234" t="str">
        <f>'5.Tiên lượng'!C29</f>
        <v>AB.31132(VD)</v>
      </c>
      <c r="D61" s="257" t="str">
        <f>'5.Tiên lượng'!D29</f>
        <v>Đào cấp bằng máy đào 1,25m3 - Cấp đất II</v>
      </c>
      <c r="E61" s="256" t="str">
        <f>'5.Tiên lượng'!E29</f>
        <v>100m3</v>
      </c>
      <c r="F61" s="258">
        <f>'5.Tiên lượng'!M29</f>
        <v>0.86290000000000011</v>
      </c>
      <c r="G61" s="259">
        <v>0</v>
      </c>
      <c r="H61" s="259">
        <v>0</v>
      </c>
      <c r="I61" s="259">
        <v>0</v>
      </c>
      <c r="J61" s="279">
        <v>0</v>
      </c>
      <c r="K61" s="279">
        <v>0</v>
      </c>
      <c r="L61" s="279">
        <v>0</v>
      </c>
      <c r="M61" s="280">
        <v>0</v>
      </c>
      <c r="N61" s="280">
        <v>0</v>
      </c>
      <c r="O61" s="280">
        <v>0</v>
      </c>
      <c r="P61" s="280">
        <v>0</v>
      </c>
      <c r="Q61" s="280">
        <v>0</v>
      </c>
      <c r="R61" s="222">
        <v>0</v>
      </c>
    </row>
    <row r="62" spans="1:18">
      <c r="A62" s="240"/>
      <c r="B62" s="260">
        <v>0</v>
      </c>
      <c r="C62" s="261" t="s">
        <v>590</v>
      </c>
      <c r="D62" s="262" t="s">
        <v>265</v>
      </c>
      <c r="E62" s="260"/>
      <c r="F62" s="263">
        <v>0</v>
      </c>
      <c r="G62" s="264">
        <v>0</v>
      </c>
      <c r="H62" s="264"/>
      <c r="I62" s="264">
        <v>0</v>
      </c>
      <c r="J62" s="281">
        <v>0</v>
      </c>
      <c r="K62" s="281">
        <f>SUM(K63:K63)</f>
        <v>740915.01</v>
      </c>
      <c r="L62" s="281">
        <v>0</v>
      </c>
      <c r="M62" s="282">
        <f>SUM(M63:M63)</f>
        <v>775015.02</v>
      </c>
      <c r="N62" s="282">
        <v>0</v>
      </c>
      <c r="O62" s="282">
        <v>0</v>
      </c>
      <c r="P62" s="282">
        <v>0</v>
      </c>
      <c r="Q62" s="282">
        <f>SUM(Q63:Q63)</f>
        <v>775015.02</v>
      </c>
      <c r="R62" s="287">
        <v>0</v>
      </c>
    </row>
    <row r="63" spans="1:18">
      <c r="A63" s="246"/>
      <c r="B63" s="265">
        <v>0</v>
      </c>
      <c r="C63" s="680" t="s">
        <v>598</v>
      </c>
      <c r="D63" s="266" t="str">
        <f>" - "&amp;'Giá NC'!E5</f>
        <v xml:space="preserve"> - Nhân công bậc 3,0/7 - Nhóm 1</v>
      </c>
      <c r="E63" s="265" t="str">
        <f>'Giá NC'!F5</f>
        <v>công</v>
      </c>
      <c r="F63" s="267">
        <v>0</v>
      </c>
      <c r="G63" s="268">
        <v>3.39</v>
      </c>
      <c r="H63" s="268">
        <f>'5.Tiên lượng'!W29</f>
        <v>1</v>
      </c>
      <c r="I63" s="268">
        <f>PRODUCT(F61,G63,H63)</f>
        <v>2.9252310000000006</v>
      </c>
      <c r="J63" s="283">
        <f>'Giá NC'!G5</f>
        <v>218559</v>
      </c>
      <c r="K63" s="283">
        <f>PRODUCT(G63,H63,J63)</f>
        <v>740915.01</v>
      </c>
      <c r="L63" s="283">
        <f>'Giá NC'!H5</f>
        <v>228618</v>
      </c>
      <c r="M63" s="284">
        <f>PRODUCT(G63,H63,L63)</f>
        <v>775015.02</v>
      </c>
      <c r="N63" s="284">
        <v>0</v>
      </c>
      <c r="O63" s="284">
        <v>0</v>
      </c>
      <c r="P63" s="284">
        <f>'Giá NC'!K5</f>
        <v>228618</v>
      </c>
      <c r="Q63" s="284">
        <f>PRODUCT(G63,H63,P63)</f>
        <v>775015.02</v>
      </c>
      <c r="R63" s="287">
        <v>0</v>
      </c>
    </row>
    <row r="64" spans="1:18">
      <c r="A64" s="240"/>
      <c r="B64" s="260">
        <v>0</v>
      </c>
      <c r="C64" s="261" t="s">
        <v>590</v>
      </c>
      <c r="D64" s="262" t="s">
        <v>267</v>
      </c>
      <c r="E64" s="260"/>
      <c r="F64" s="263">
        <v>0</v>
      </c>
      <c r="G64" s="264">
        <v>0</v>
      </c>
      <c r="H64" s="264"/>
      <c r="I64" s="264">
        <v>0</v>
      </c>
      <c r="J64" s="281">
        <v>0</v>
      </c>
      <c r="K64" s="281">
        <f>SUM(K65:K66)</f>
        <v>961125.91015457246</v>
      </c>
      <c r="L64" s="281">
        <v>0</v>
      </c>
      <c r="M64" s="282">
        <f>SUM(M65:M66)</f>
        <v>1050548.8700000001</v>
      </c>
      <c r="N64" s="282">
        <v>0</v>
      </c>
      <c r="O64" s="282">
        <v>0</v>
      </c>
      <c r="P64" s="282">
        <v>0</v>
      </c>
      <c r="Q64" s="282">
        <f>SUM(Q65:Q66)</f>
        <v>986868.38985857158</v>
      </c>
      <c r="R64" s="287">
        <v>0</v>
      </c>
    </row>
    <row r="65" spans="1:18">
      <c r="A65" s="246"/>
      <c r="B65" s="265">
        <v>0</v>
      </c>
      <c r="C65" s="680" t="s">
        <v>599</v>
      </c>
      <c r="D65" s="266" t="str">
        <f>" - "&amp;'Giá Máy'!E14</f>
        <v xml:space="preserve"> - Máy đào 1,25m3</v>
      </c>
      <c r="E65" s="265" t="str">
        <f>'Giá Máy'!F14</f>
        <v>ca</v>
      </c>
      <c r="F65" s="267">
        <v>0</v>
      </c>
      <c r="G65" s="268">
        <v>0.26400000000000001</v>
      </c>
      <c r="H65" s="268">
        <f>'5.Tiên lượng'!X29</f>
        <v>1</v>
      </c>
      <c r="I65" s="268">
        <f>PRODUCT(F61,G65,H65)</f>
        <v>0.22780560000000005</v>
      </c>
      <c r="J65" s="283">
        <f>'Giá Máy'!G14</f>
        <v>3407481.1497142902</v>
      </c>
      <c r="K65" s="283">
        <f t="shared" ref="K65:K66" si="27">PRODUCT(G65,H65,J65)</f>
        <v>899575.02352457261</v>
      </c>
      <c r="L65" s="283">
        <f>'Giá Máy'!H14</f>
        <v>3723020</v>
      </c>
      <c r="M65" s="284">
        <f t="shared" ref="M65:M66" si="28">PRODUCT(G65,H65,L65)</f>
        <v>982877.28</v>
      </c>
      <c r="N65" s="284">
        <v>0</v>
      </c>
      <c r="O65" s="284">
        <v>0</v>
      </c>
      <c r="P65" s="284">
        <f>'Giá Máy'!O14</f>
        <v>3496941.8057142859</v>
      </c>
      <c r="Q65" s="284">
        <f t="shared" ref="Q65:Q66" si="29">PRODUCT(G65,H65,P65)</f>
        <v>923192.63670857158</v>
      </c>
      <c r="R65" s="287">
        <v>0</v>
      </c>
    </row>
    <row r="66" spans="1:18">
      <c r="A66" s="251"/>
      <c r="B66" s="269">
        <v>0</v>
      </c>
      <c r="C66" s="681" t="s">
        <v>600</v>
      </c>
      <c r="D66" s="270" t="str">
        <f>" - "&amp;'Giá Máy'!E29</f>
        <v xml:space="preserve"> - Máy ủi 110CV</v>
      </c>
      <c r="E66" s="269" t="str">
        <f>'Giá Máy'!F29</f>
        <v>ca</v>
      </c>
      <c r="F66" s="271">
        <v>0</v>
      </c>
      <c r="G66" s="272">
        <v>3.5000000000000003E-2</v>
      </c>
      <c r="H66" s="272">
        <f>'5.Tiên lượng'!X29</f>
        <v>1</v>
      </c>
      <c r="I66" s="272">
        <f>PRODUCT(F61,G66,H66)</f>
        <v>3.0201500000000006E-2</v>
      </c>
      <c r="J66" s="285">
        <f>'Giá Máy'!G29</f>
        <v>1758596.7608571399</v>
      </c>
      <c r="K66" s="285">
        <f t="shared" si="27"/>
        <v>61550.886629999906</v>
      </c>
      <c r="L66" s="285">
        <f>'Giá Máy'!H29</f>
        <v>1933474</v>
      </c>
      <c r="M66" s="286">
        <f t="shared" si="28"/>
        <v>67671.590000000011</v>
      </c>
      <c r="N66" s="286">
        <v>0</v>
      </c>
      <c r="O66" s="286">
        <v>0</v>
      </c>
      <c r="P66" s="286">
        <f>'Giá Máy'!O29</f>
        <v>1819307.232857143</v>
      </c>
      <c r="Q66" s="286">
        <f t="shared" si="29"/>
        <v>63675.753150000011</v>
      </c>
      <c r="R66" s="288">
        <v>0</v>
      </c>
    </row>
    <row r="67" spans="1:18">
      <c r="A67" s="234"/>
      <c r="B67" s="256">
        <v>11</v>
      </c>
      <c r="C67" s="234" t="str">
        <f>'5.Tiên lượng'!C31</f>
        <v>AB.31132</v>
      </c>
      <c r="D67" s="257" t="str">
        <f>'5.Tiên lượng'!D31</f>
        <v>Đào hữu cơ bằng máy đào 1,25m3 - Cấp đất II</v>
      </c>
      <c r="E67" s="256" t="str">
        <f>'5.Tiên lượng'!E31</f>
        <v>100m3</v>
      </c>
      <c r="F67" s="258">
        <f>'5.Tiên lượng'!M31</f>
        <v>3.8552999999999997</v>
      </c>
      <c r="G67" s="259">
        <v>0</v>
      </c>
      <c r="H67" s="259">
        <v>0</v>
      </c>
      <c r="I67" s="259">
        <v>0</v>
      </c>
      <c r="J67" s="279">
        <v>0</v>
      </c>
      <c r="K67" s="279">
        <v>0</v>
      </c>
      <c r="L67" s="279">
        <v>0</v>
      </c>
      <c r="M67" s="280">
        <v>0</v>
      </c>
      <c r="N67" s="280">
        <v>0</v>
      </c>
      <c r="O67" s="280">
        <v>0</v>
      </c>
      <c r="P67" s="280">
        <v>0</v>
      </c>
      <c r="Q67" s="280">
        <v>0</v>
      </c>
      <c r="R67" s="222">
        <v>0</v>
      </c>
    </row>
    <row r="68" spans="1:18">
      <c r="A68" s="240"/>
      <c r="B68" s="260">
        <v>0</v>
      </c>
      <c r="C68" s="261" t="s">
        <v>590</v>
      </c>
      <c r="D68" s="262" t="s">
        <v>265</v>
      </c>
      <c r="E68" s="260"/>
      <c r="F68" s="263">
        <v>0</v>
      </c>
      <c r="G68" s="264">
        <v>0</v>
      </c>
      <c r="H68" s="264"/>
      <c r="I68" s="264">
        <v>0</v>
      </c>
      <c r="J68" s="281">
        <v>0</v>
      </c>
      <c r="K68" s="281">
        <f>SUM(K69:K69)</f>
        <v>740915.01</v>
      </c>
      <c r="L68" s="281">
        <v>0</v>
      </c>
      <c r="M68" s="282">
        <f>SUM(M69:M69)</f>
        <v>775015.02</v>
      </c>
      <c r="N68" s="282">
        <v>0</v>
      </c>
      <c r="O68" s="282">
        <v>0</v>
      </c>
      <c r="P68" s="282">
        <v>0</v>
      </c>
      <c r="Q68" s="282">
        <f>SUM(Q69:Q69)</f>
        <v>775015.02</v>
      </c>
      <c r="R68" s="287">
        <v>0</v>
      </c>
    </row>
    <row r="69" spans="1:18">
      <c r="A69" s="246"/>
      <c r="B69" s="265">
        <v>0</v>
      </c>
      <c r="C69" s="680" t="s">
        <v>598</v>
      </c>
      <c r="D69" s="266" t="str">
        <f>" - "&amp;'Giá NC'!E5</f>
        <v xml:space="preserve"> - Nhân công bậc 3,0/7 - Nhóm 1</v>
      </c>
      <c r="E69" s="265" t="str">
        <f>'Giá NC'!F5</f>
        <v>công</v>
      </c>
      <c r="F69" s="267">
        <v>0</v>
      </c>
      <c r="G69" s="268">
        <v>3.39</v>
      </c>
      <c r="H69" s="268">
        <f>'5.Tiên lượng'!W31</f>
        <v>1</v>
      </c>
      <c r="I69" s="268">
        <f>PRODUCT(F67,G69,H69)</f>
        <v>13.069467</v>
      </c>
      <c r="J69" s="283">
        <f>'Giá NC'!G5</f>
        <v>218559</v>
      </c>
      <c r="K69" s="283">
        <f>PRODUCT(G69,H69,J69)</f>
        <v>740915.01</v>
      </c>
      <c r="L69" s="283">
        <f>'Giá NC'!H5</f>
        <v>228618</v>
      </c>
      <c r="M69" s="284">
        <f>PRODUCT(G69,H69,L69)</f>
        <v>775015.02</v>
      </c>
      <c r="N69" s="284">
        <v>0</v>
      </c>
      <c r="O69" s="284">
        <v>0</v>
      </c>
      <c r="P69" s="284">
        <f>'Giá NC'!K5</f>
        <v>228618</v>
      </c>
      <c r="Q69" s="284">
        <f>PRODUCT(G69,H69,P69)</f>
        <v>775015.02</v>
      </c>
      <c r="R69" s="287">
        <v>0</v>
      </c>
    </row>
    <row r="70" spans="1:18">
      <c r="A70" s="240"/>
      <c r="B70" s="260">
        <v>0</v>
      </c>
      <c r="C70" s="261" t="s">
        <v>590</v>
      </c>
      <c r="D70" s="262" t="s">
        <v>267</v>
      </c>
      <c r="E70" s="260"/>
      <c r="F70" s="263">
        <v>0</v>
      </c>
      <c r="G70" s="264">
        <v>0</v>
      </c>
      <c r="H70" s="264"/>
      <c r="I70" s="264">
        <v>0</v>
      </c>
      <c r="J70" s="281">
        <v>0</v>
      </c>
      <c r="K70" s="281">
        <f>SUM(K71:K73)</f>
        <v>961125.91015457246</v>
      </c>
      <c r="L70" s="281">
        <v>0</v>
      </c>
      <c r="M70" s="282">
        <f>SUM(M71:M73)</f>
        <v>1050548.8700000001</v>
      </c>
      <c r="N70" s="282">
        <v>0</v>
      </c>
      <c r="O70" s="282">
        <v>0</v>
      </c>
      <c r="P70" s="282">
        <v>0</v>
      </c>
      <c r="Q70" s="282">
        <f>SUM(Q71:Q73)</f>
        <v>986868.38985857158</v>
      </c>
      <c r="R70" s="287">
        <v>0</v>
      </c>
    </row>
    <row r="71" spans="1:18">
      <c r="A71" s="246"/>
      <c r="B71" s="265">
        <v>0</v>
      </c>
      <c r="C71" s="680" t="s">
        <v>599</v>
      </c>
      <c r="D71" s="266" t="str">
        <f>" - "&amp;'Giá Máy'!E14</f>
        <v xml:space="preserve"> - Máy đào 1,25m3</v>
      </c>
      <c r="E71" s="265" t="str">
        <f>'Giá Máy'!F14</f>
        <v>ca</v>
      </c>
      <c r="F71" s="267">
        <v>0</v>
      </c>
      <c r="G71" s="268">
        <v>0.26400000000000001</v>
      </c>
      <c r="H71" s="268">
        <f>'5.Tiên lượng'!X31</f>
        <v>1</v>
      </c>
      <c r="I71" s="268">
        <f>PRODUCT(F67,G71,H71)</f>
        <v>1.0177992</v>
      </c>
      <c r="J71" s="283">
        <f>'Giá Máy'!G14</f>
        <v>3407481.1497142902</v>
      </c>
      <c r="K71" s="283">
        <f t="shared" ref="K71:K73" si="30">PRODUCT(G71,H71,J71)</f>
        <v>899575.02352457261</v>
      </c>
      <c r="L71" s="283">
        <f>'Giá Máy'!H14</f>
        <v>3723020</v>
      </c>
      <c r="M71" s="284">
        <f t="shared" ref="M71:M73" si="31">PRODUCT(G71,H71,L71)</f>
        <v>982877.28</v>
      </c>
      <c r="N71" s="284">
        <v>0</v>
      </c>
      <c r="O71" s="284">
        <v>0</v>
      </c>
      <c r="P71" s="284">
        <f>'Giá Máy'!O14</f>
        <v>3496941.8057142859</v>
      </c>
      <c r="Q71" s="284">
        <f t="shared" ref="Q71:Q73" si="32">PRODUCT(G71,H71,P71)</f>
        <v>923192.63670857158</v>
      </c>
      <c r="R71" s="287">
        <v>0</v>
      </c>
    </row>
    <row r="72" spans="1:18">
      <c r="A72" s="251"/>
      <c r="B72" s="269">
        <v>0</v>
      </c>
      <c r="C72" s="681" t="s">
        <v>600</v>
      </c>
      <c r="D72" s="270" t="str">
        <f>" - "&amp;'Giá Máy'!E29</f>
        <v xml:space="preserve"> - Máy ủi 110CV</v>
      </c>
      <c r="E72" s="269" t="str">
        <f>'Giá Máy'!F29</f>
        <v>ca</v>
      </c>
      <c r="F72" s="271">
        <v>0</v>
      </c>
      <c r="G72" s="272">
        <v>3.5000000000000003E-2</v>
      </c>
      <c r="H72" s="272">
        <f>'5.Tiên lượng'!X31</f>
        <v>1</v>
      </c>
      <c r="I72" s="272">
        <f>PRODUCT(F67,G72,H72)</f>
        <v>0.13493550000000001</v>
      </c>
      <c r="J72" s="285">
        <f>'Giá Máy'!G29</f>
        <v>1758596.7608571399</v>
      </c>
      <c r="K72" s="285">
        <f t="shared" si="30"/>
        <v>61550.886629999906</v>
      </c>
      <c r="L72" s="285">
        <f>'Giá Máy'!H29</f>
        <v>1933474</v>
      </c>
      <c r="M72" s="286">
        <f t="shared" si="31"/>
        <v>67671.590000000011</v>
      </c>
      <c r="N72" s="286">
        <v>0</v>
      </c>
      <c r="O72" s="286">
        <v>0</v>
      </c>
      <c r="P72" s="286">
        <f>'Giá Máy'!O29</f>
        <v>1819307.232857143</v>
      </c>
      <c r="Q72" s="286">
        <f t="shared" si="32"/>
        <v>63675.753150000011</v>
      </c>
      <c r="R72" s="288">
        <v>0</v>
      </c>
    </row>
    <row r="73" spans="1:18">
      <c r="A73" s="229"/>
      <c r="B73" s="289">
        <v>0</v>
      </c>
      <c r="C73" s="682" t="s">
        <v>339</v>
      </c>
      <c r="D73" s="290" t="s">
        <v>1069</v>
      </c>
      <c r="E73" s="289"/>
      <c r="F73" s="291">
        <v>0</v>
      </c>
      <c r="G73" s="292">
        <v>0</v>
      </c>
      <c r="H73" s="292">
        <f>'5.Tiên lượng'!X31</f>
        <v>1</v>
      </c>
      <c r="I73" s="292">
        <f>PRODUCT(F67,G73,H73)</f>
        <v>0</v>
      </c>
      <c r="J73" s="293">
        <v>0</v>
      </c>
      <c r="K73" s="294">
        <f t="shared" si="30"/>
        <v>0</v>
      </c>
      <c r="L73" s="294">
        <v>0</v>
      </c>
      <c r="M73" s="295">
        <f t="shared" si="31"/>
        <v>0</v>
      </c>
      <c r="N73" s="295">
        <v>0</v>
      </c>
      <c r="O73" s="295">
        <v>0</v>
      </c>
      <c r="P73" s="295">
        <v>0</v>
      </c>
      <c r="Q73" s="295">
        <f t="shared" si="32"/>
        <v>0</v>
      </c>
      <c r="R73" s="146">
        <v>0</v>
      </c>
    </row>
    <row r="74" spans="1:18">
      <c r="A74" s="234"/>
      <c r="B74" s="256">
        <v>12</v>
      </c>
      <c r="C74" s="234" t="str">
        <f>'5.Tiên lượng'!C34</f>
        <v>AB.67110</v>
      </c>
      <c r="D74" s="257" t="str">
        <f>'5.Tiên lượng'!D34</f>
        <v>Đắp đá hỗn hợp công trình bằng máy ủi 180CV</v>
      </c>
      <c r="E74" s="256" t="str">
        <f>'5.Tiên lượng'!E34</f>
        <v>100m3</v>
      </c>
      <c r="F74" s="258">
        <f>'5.Tiên lượng'!M34</f>
        <v>0</v>
      </c>
      <c r="G74" s="259">
        <v>0</v>
      </c>
      <c r="H74" s="259">
        <v>0</v>
      </c>
      <c r="I74" s="259">
        <v>0</v>
      </c>
      <c r="J74" s="279">
        <v>0</v>
      </c>
      <c r="K74" s="279">
        <v>0</v>
      </c>
      <c r="L74" s="279">
        <v>0</v>
      </c>
      <c r="M74" s="280">
        <v>0</v>
      </c>
      <c r="N74" s="280">
        <v>0</v>
      </c>
      <c r="O74" s="280">
        <v>0</v>
      </c>
      <c r="P74" s="280">
        <v>0</v>
      </c>
      <c r="Q74" s="280">
        <v>0</v>
      </c>
      <c r="R74" s="222">
        <v>0</v>
      </c>
    </row>
    <row r="75" spans="1:18">
      <c r="A75" s="240"/>
      <c r="B75" s="260">
        <v>0</v>
      </c>
      <c r="C75" s="261" t="s">
        <v>590</v>
      </c>
      <c r="D75" s="262" t="s">
        <v>265</v>
      </c>
      <c r="E75" s="260"/>
      <c r="F75" s="263">
        <v>0</v>
      </c>
      <c r="G75" s="264">
        <v>0</v>
      </c>
      <c r="H75" s="264"/>
      <c r="I75" s="264">
        <v>0</v>
      </c>
      <c r="J75" s="281">
        <v>0</v>
      </c>
      <c r="K75" s="281">
        <f>SUM(K76:K76)</f>
        <v>819596.25</v>
      </c>
      <c r="L75" s="281">
        <v>0</v>
      </c>
      <c r="M75" s="282">
        <f>SUM(M76:M76)</f>
        <v>857317.5</v>
      </c>
      <c r="N75" s="282">
        <v>0</v>
      </c>
      <c r="O75" s="282">
        <v>0</v>
      </c>
      <c r="P75" s="282">
        <v>0</v>
      </c>
      <c r="Q75" s="282">
        <f>SUM(Q76:Q76)</f>
        <v>857317.5</v>
      </c>
      <c r="R75" s="287">
        <v>0</v>
      </c>
    </row>
    <row r="76" spans="1:18">
      <c r="A76" s="246"/>
      <c r="B76" s="265">
        <v>0</v>
      </c>
      <c r="C76" s="680" t="s">
        <v>598</v>
      </c>
      <c r="D76" s="266" t="str">
        <f>" - "&amp;'Giá NC'!E5</f>
        <v xml:space="preserve"> - Nhân công bậc 3,0/7 - Nhóm 1</v>
      </c>
      <c r="E76" s="265" t="str">
        <f>'Giá NC'!F5</f>
        <v>công</v>
      </c>
      <c r="F76" s="267">
        <v>0</v>
      </c>
      <c r="G76" s="268">
        <v>3.75</v>
      </c>
      <c r="H76" s="268">
        <f>'5.Tiên lượng'!W34</f>
        <v>1</v>
      </c>
      <c r="I76" s="268">
        <f>PRODUCT(F74,G76,H76)</f>
        <v>0</v>
      </c>
      <c r="J76" s="283">
        <f>'Giá NC'!G5</f>
        <v>218559</v>
      </c>
      <c r="K76" s="283">
        <f>PRODUCT(G76,H76,J76)</f>
        <v>819596.25</v>
      </c>
      <c r="L76" s="283">
        <f>'Giá NC'!H5</f>
        <v>228618</v>
      </c>
      <c r="M76" s="284">
        <f>PRODUCT(G76,H76,L76)</f>
        <v>857317.5</v>
      </c>
      <c r="N76" s="284">
        <v>0</v>
      </c>
      <c r="O76" s="284">
        <v>0</v>
      </c>
      <c r="P76" s="284">
        <f>'Giá NC'!K5</f>
        <v>228618</v>
      </c>
      <c r="Q76" s="284">
        <f>PRODUCT(G76,H76,P76)</f>
        <v>857317.5</v>
      </c>
      <c r="R76" s="287">
        <v>0</v>
      </c>
    </row>
    <row r="77" spans="1:18">
      <c r="A77" s="240"/>
      <c r="B77" s="260">
        <v>0</v>
      </c>
      <c r="C77" s="261" t="s">
        <v>590</v>
      </c>
      <c r="D77" s="262" t="s">
        <v>267</v>
      </c>
      <c r="E77" s="260"/>
      <c r="F77" s="263">
        <v>0</v>
      </c>
      <c r="G77" s="264">
        <v>0</v>
      </c>
      <c r="H77" s="264"/>
      <c r="I77" s="264">
        <v>0</v>
      </c>
      <c r="J77" s="281">
        <v>0</v>
      </c>
      <c r="K77" s="281">
        <f>SUM(K78:K78)</f>
        <v>3359124.9249600004</v>
      </c>
      <c r="L77" s="281">
        <v>0</v>
      </c>
      <c r="M77" s="282">
        <f>SUM(M78:M78)</f>
        <v>3682723.5200000005</v>
      </c>
      <c r="N77" s="282">
        <v>0</v>
      </c>
      <c r="O77" s="282">
        <v>0</v>
      </c>
      <c r="P77" s="282">
        <v>0</v>
      </c>
      <c r="Q77" s="282">
        <f>SUM(Q78:Q78)</f>
        <v>3453228.9288000008</v>
      </c>
      <c r="R77" s="287">
        <v>0</v>
      </c>
    </row>
    <row r="78" spans="1:18">
      <c r="A78" s="251"/>
      <c r="B78" s="269">
        <v>0</v>
      </c>
      <c r="C78" s="681" t="s">
        <v>603</v>
      </c>
      <c r="D78" s="270" t="str">
        <f>" - "&amp;'Giá Máy'!E30</f>
        <v xml:space="preserve"> - Máy ủi 180CV</v>
      </c>
      <c r="E78" s="269" t="str">
        <f>'Giá Máy'!F30</f>
        <v>ca</v>
      </c>
      <c r="F78" s="271">
        <v>0</v>
      </c>
      <c r="G78" s="272">
        <v>1.1200000000000001</v>
      </c>
      <c r="H78" s="272">
        <f>'5.Tiên lượng'!X34</f>
        <v>1</v>
      </c>
      <c r="I78" s="272">
        <f>PRODUCT(F74,G78,H78)</f>
        <v>0</v>
      </c>
      <c r="J78" s="285">
        <f>'Giá Máy'!G30</f>
        <v>2999218.6830000002</v>
      </c>
      <c r="K78" s="285">
        <f>PRODUCT(G78,H78,J78)</f>
        <v>3359124.9249600004</v>
      </c>
      <c r="L78" s="285">
        <f>'Giá Máy'!H30</f>
        <v>3288146</v>
      </c>
      <c r="M78" s="286">
        <f>PRODUCT(G78,H78,L78)</f>
        <v>3682723.5200000005</v>
      </c>
      <c r="N78" s="286">
        <v>0</v>
      </c>
      <c r="O78" s="286">
        <v>0</v>
      </c>
      <c r="P78" s="286">
        <f>'Giá Máy'!O30</f>
        <v>3083240.1150000002</v>
      </c>
      <c r="Q78" s="286">
        <f>PRODUCT(G78,H78,P78)</f>
        <v>3453228.9288000008</v>
      </c>
      <c r="R78" s="288">
        <v>0</v>
      </c>
    </row>
    <row r="79" spans="1:18">
      <c r="A79" s="234"/>
      <c r="B79" s="256">
        <v>13</v>
      </c>
      <c r="C79" s="234" t="str">
        <f>'5.Tiên lượng'!C36</f>
        <v>AD.11212</v>
      </c>
      <c r="D79" s="257" t="str">
        <f>'5.Tiên lượng'!D36</f>
        <v>Thi công đắp cấp phối đá dăm loại 2</v>
      </c>
      <c r="E79" s="256" t="str">
        <f>'5.Tiên lượng'!E36</f>
        <v>100m3</v>
      </c>
      <c r="F79" s="258">
        <f>'5.Tiên lượng'!M36</f>
        <v>9.2337371681415927</v>
      </c>
      <c r="G79" s="259">
        <v>0</v>
      </c>
      <c r="H79" s="259">
        <v>0</v>
      </c>
      <c r="I79" s="259">
        <v>0</v>
      </c>
      <c r="J79" s="279">
        <v>0</v>
      </c>
      <c r="K79" s="279">
        <v>0</v>
      </c>
      <c r="L79" s="279">
        <v>0</v>
      </c>
      <c r="M79" s="280">
        <v>0</v>
      </c>
      <c r="N79" s="280">
        <v>0</v>
      </c>
      <c r="O79" s="280">
        <v>0</v>
      </c>
      <c r="P79" s="280">
        <v>0</v>
      </c>
      <c r="Q79" s="280">
        <v>0</v>
      </c>
      <c r="R79" s="222">
        <v>0</v>
      </c>
    </row>
    <row r="80" spans="1:18">
      <c r="A80" s="240"/>
      <c r="B80" s="260">
        <v>0</v>
      </c>
      <c r="C80" s="261" t="s">
        <v>590</v>
      </c>
      <c r="D80" s="262" t="s">
        <v>262</v>
      </c>
      <c r="E80" s="260"/>
      <c r="F80" s="263">
        <v>0</v>
      </c>
      <c r="G80" s="264">
        <v>0</v>
      </c>
      <c r="H80" s="264"/>
      <c r="I80" s="264">
        <v>0</v>
      </c>
      <c r="J80" s="281">
        <v>0</v>
      </c>
      <c r="K80" s="281">
        <f>SUM(K81:K81)</f>
        <v>12060000</v>
      </c>
      <c r="L80" s="281">
        <v>0</v>
      </c>
      <c r="M80" s="282">
        <f>SUM(M81:M81)</f>
        <v>22780000</v>
      </c>
      <c r="N80" s="282">
        <v>0</v>
      </c>
      <c r="O80" s="282">
        <v>0</v>
      </c>
      <c r="P80" s="282">
        <v>0</v>
      </c>
      <c r="Q80" s="282">
        <f>SUM(Q81:Q81)</f>
        <v>32221379.337286752</v>
      </c>
      <c r="R80" s="287">
        <v>0</v>
      </c>
    </row>
    <row r="81" spans="1:18">
      <c r="A81" s="246"/>
      <c r="B81" s="265">
        <v>0</v>
      </c>
      <c r="C81" s="680" t="s">
        <v>604</v>
      </c>
      <c r="D81" s="266" t="str">
        <f>" - "&amp;'Giá VL'!E13</f>
        <v xml:space="preserve"> - Cấp phối đá dăm loại 2</v>
      </c>
      <c r="E81" s="265" t="str">
        <f>'Giá VL'!F13</f>
        <v>m3</v>
      </c>
      <c r="F81" s="267">
        <v>0</v>
      </c>
      <c r="G81" s="268">
        <v>134</v>
      </c>
      <c r="H81" s="268">
        <f>'5.Tiên lượng'!V36</f>
        <v>1</v>
      </c>
      <c r="I81" s="268">
        <f>PRODUCT(F79,G81,H81)</f>
        <v>1237.3207805309735</v>
      </c>
      <c r="J81" s="283">
        <f>'Giá VL'!G13</f>
        <v>90000</v>
      </c>
      <c r="K81" s="283">
        <f>PRODUCT(G81,H81,J81)</f>
        <v>12060000</v>
      </c>
      <c r="L81" s="283">
        <f>'Giá VL'!J13</f>
        <v>170000</v>
      </c>
      <c r="M81" s="284">
        <f>PRODUCT(G81,H81,L81)</f>
        <v>22780000</v>
      </c>
      <c r="N81" s="284">
        <v>0</v>
      </c>
      <c r="O81" s="284">
        <v>0</v>
      </c>
      <c r="P81" s="284">
        <f>'Giá VL'!V13</f>
        <v>240458.05475587127</v>
      </c>
      <c r="Q81" s="284">
        <f>PRODUCT(G81,H81,P81)</f>
        <v>32221379.337286752</v>
      </c>
      <c r="R81" s="287">
        <v>0</v>
      </c>
    </row>
    <row r="82" spans="1:18">
      <c r="A82" s="240"/>
      <c r="B82" s="260">
        <v>0</v>
      </c>
      <c r="C82" s="261" t="s">
        <v>590</v>
      </c>
      <c r="D82" s="262" t="s">
        <v>265</v>
      </c>
      <c r="E82" s="260"/>
      <c r="F82" s="263">
        <v>0</v>
      </c>
      <c r="G82" s="264">
        <v>0</v>
      </c>
      <c r="H82" s="264"/>
      <c r="I82" s="264">
        <v>0</v>
      </c>
      <c r="J82" s="281">
        <v>0</v>
      </c>
      <c r="K82" s="281">
        <f>SUM(K83:K83)</f>
        <v>672774.96000000008</v>
      </c>
      <c r="L82" s="281">
        <v>0</v>
      </c>
      <c r="M82" s="282">
        <f>SUM(M83:M83)</f>
        <v>770352.96000000008</v>
      </c>
      <c r="N82" s="282">
        <v>0</v>
      </c>
      <c r="O82" s="282">
        <v>0</v>
      </c>
      <c r="P82" s="282">
        <v>0</v>
      </c>
      <c r="Q82" s="282">
        <f>SUM(Q83:Q83)</f>
        <v>770352.96000000008</v>
      </c>
      <c r="R82" s="287">
        <v>0</v>
      </c>
    </row>
    <row r="83" spans="1:18">
      <c r="A83" s="246"/>
      <c r="B83" s="265">
        <v>0</v>
      </c>
      <c r="C83" s="680" t="s">
        <v>605</v>
      </c>
      <c r="D83" s="266" t="str">
        <f>" - "&amp;'Giá NC'!E7</f>
        <v xml:space="preserve"> - Nhân công bậc 3,0/7 - Nhóm 2</v>
      </c>
      <c r="E83" s="265" t="str">
        <f>'Giá NC'!F7</f>
        <v>công</v>
      </c>
      <c r="F83" s="267">
        <v>0</v>
      </c>
      <c r="G83" s="268">
        <v>3.12</v>
      </c>
      <c r="H83" s="268">
        <f>'5.Tiên lượng'!W36</f>
        <v>1</v>
      </c>
      <c r="I83" s="268">
        <f>PRODUCT(F79,G83,H83)</f>
        <v>28.809259964601772</v>
      </c>
      <c r="J83" s="283">
        <f>'Giá NC'!G7</f>
        <v>215633</v>
      </c>
      <c r="K83" s="283">
        <f>PRODUCT(G83,H83,J83)</f>
        <v>672774.96000000008</v>
      </c>
      <c r="L83" s="283">
        <f>'Giá NC'!H7</f>
        <v>246908</v>
      </c>
      <c r="M83" s="284">
        <f>PRODUCT(G83,H83,L83)</f>
        <v>770352.96000000008</v>
      </c>
      <c r="N83" s="284">
        <v>0</v>
      </c>
      <c r="O83" s="284">
        <v>0</v>
      </c>
      <c r="P83" s="284">
        <f>'Giá NC'!K7</f>
        <v>246908</v>
      </c>
      <c r="Q83" s="284">
        <f>PRODUCT(G83,H83,P83)</f>
        <v>770352.96000000008</v>
      </c>
      <c r="R83" s="287">
        <v>0</v>
      </c>
    </row>
    <row r="84" spans="1:18">
      <c r="A84" s="240"/>
      <c r="B84" s="260">
        <v>0</v>
      </c>
      <c r="C84" s="261" t="s">
        <v>590</v>
      </c>
      <c r="D84" s="262" t="s">
        <v>267</v>
      </c>
      <c r="E84" s="260"/>
      <c r="F84" s="263">
        <v>0</v>
      </c>
      <c r="G84" s="264">
        <v>0</v>
      </c>
      <c r="H84" s="264"/>
      <c r="I84" s="264">
        <v>0</v>
      </c>
      <c r="J84" s="281">
        <v>0</v>
      </c>
      <c r="K84" s="281">
        <f>SUM(K85:K90)</f>
        <v>2313287.7064239779</v>
      </c>
      <c r="L84" s="281">
        <v>0</v>
      </c>
      <c r="M84" s="282">
        <f>SUM(M85:M90)</f>
        <v>198171.84959999999</v>
      </c>
      <c r="N84" s="282">
        <v>0</v>
      </c>
      <c r="O84" s="282">
        <v>0</v>
      </c>
      <c r="P84" s="282">
        <v>0</v>
      </c>
      <c r="Q84" s="282">
        <f>SUM(Q85:Q90)</f>
        <v>2369565.459726376</v>
      </c>
      <c r="R84" s="287">
        <v>0</v>
      </c>
    </row>
    <row r="85" spans="1:18">
      <c r="A85" s="246"/>
      <c r="B85" s="265">
        <v>0</v>
      </c>
      <c r="C85" s="680" t="s">
        <v>606</v>
      </c>
      <c r="D85" s="266" t="str">
        <f>" - "&amp;'Giá Máy'!E24</f>
        <v xml:space="preserve"> - Máy rải cấp phối đá dăm 50 - 60m3/h</v>
      </c>
      <c r="E85" s="265" t="str">
        <f>'Giá Máy'!F24</f>
        <v>ca</v>
      </c>
      <c r="F85" s="267">
        <v>0</v>
      </c>
      <c r="G85" s="268">
        <v>0.21</v>
      </c>
      <c r="H85" s="268">
        <f>'5.Tiên lượng'!X36</f>
        <v>1</v>
      </c>
      <c r="I85" s="268">
        <f>PRODUCT(F79,G85,H85)</f>
        <v>1.9390848053097345</v>
      </c>
      <c r="J85" s="283">
        <f>'Giá Máy'!G24</f>
        <v>3528139.6955555598</v>
      </c>
      <c r="K85" s="283">
        <f t="shared" ref="K85:K90" si="33">PRODUCT(G85,H85,J85)</f>
        <v>740909.33606666757</v>
      </c>
      <c r="L85" s="283">
        <f>'Giá Máy'!H24</f>
        <v>0</v>
      </c>
      <c r="M85" s="284">
        <f t="shared" ref="M85:M90" si="34">PRODUCT(G85,H85,L85)</f>
        <v>0</v>
      </c>
      <c r="N85" s="284">
        <v>0</v>
      </c>
      <c r="O85" s="284">
        <v>0</v>
      </c>
      <c r="P85" s="284">
        <f>'Giá Máy'!O24</f>
        <v>3572483.6555555556</v>
      </c>
      <c r="Q85" s="284">
        <f t="shared" ref="Q85:Q90" si="35">PRODUCT(G85,H85,P85)</f>
        <v>750221.5676666667</v>
      </c>
      <c r="R85" s="287">
        <v>0.5</v>
      </c>
    </row>
    <row r="86" spans="1:18">
      <c r="A86" s="246"/>
      <c r="B86" s="265">
        <v>0</v>
      </c>
      <c r="C86" s="680" t="s">
        <v>607</v>
      </c>
      <c r="D86" s="266" t="str">
        <f>" - "&amp;'Giá Máy'!E19</f>
        <v xml:space="preserve"> - Máy lu rung tự hành 25T</v>
      </c>
      <c r="E86" s="265" t="str">
        <f>'Giá Máy'!F19</f>
        <v>ca</v>
      </c>
      <c r="F86" s="267">
        <v>0</v>
      </c>
      <c r="G86" s="268">
        <v>0.32</v>
      </c>
      <c r="H86" s="268">
        <f>'5.Tiên lượng'!X36</f>
        <v>1</v>
      </c>
      <c r="I86" s="268">
        <f>PRODUCT(F79,G86,H86)</f>
        <v>2.9547958938053096</v>
      </c>
      <c r="J86" s="283">
        <f>'Giá Máy'!G19</f>
        <v>2717265.9248888898</v>
      </c>
      <c r="K86" s="283">
        <f t="shared" si="33"/>
        <v>869525.0959644448</v>
      </c>
      <c r="L86" s="283">
        <f>'Giá Máy'!H19</f>
        <v>0</v>
      </c>
      <c r="M86" s="284">
        <f t="shared" si="34"/>
        <v>0</v>
      </c>
      <c r="N86" s="284">
        <v>0</v>
      </c>
      <c r="O86" s="284">
        <v>0</v>
      </c>
      <c r="P86" s="284">
        <f>'Giá Máy'!O19</f>
        <v>2794294.0688888887</v>
      </c>
      <c r="Q86" s="284">
        <f t="shared" si="35"/>
        <v>894174.10204444441</v>
      </c>
      <c r="R86" s="287">
        <v>0.5</v>
      </c>
    </row>
    <row r="87" spans="1:18">
      <c r="A87" s="246"/>
      <c r="B87" s="265">
        <v>0</v>
      </c>
      <c r="C87" s="680" t="s">
        <v>608</v>
      </c>
      <c r="D87" s="266" t="str">
        <f>" - "&amp;'Giá Máy'!E38</f>
        <v xml:space="preserve"> - Máy lu bánh hơi tự hành 16T</v>
      </c>
      <c r="E87" s="265" t="str">
        <f>'Giá Máy'!F38</f>
        <v>ca</v>
      </c>
      <c r="F87" s="267">
        <v>0</v>
      </c>
      <c r="G87" s="268">
        <v>0.12</v>
      </c>
      <c r="H87" s="268">
        <f>'5.Tiên lượng'!X36</f>
        <v>1</v>
      </c>
      <c r="I87" s="268">
        <f>PRODUCT(F79,G87,H87)</f>
        <v>1.1080484601769911</v>
      </c>
      <c r="J87" s="283">
        <f>'Giá Máy'!G38</f>
        <v>1498752.32622222</v>
      </c>
      <c r="K87" s="283">
        <f t="shared" si="33"/>
        <v>179850.27914666638</v>
      </c>
      <c r="L87" s="283">
        <f>'Giá Máy'!H38</f>
        <v>1643216</v>
      </c>
      <c r="M87" s="284">
        <f t="shared" si="34"/>
        <v>197185.91999999998</v>
      </c>
      <c r="N87" s="284">
        <v>0</v>
      </c>
      <c r="O87" s="284">
        <v>0</v>
      </c>
      <c r="P87" s="284">
        <f>'Giá Máy'!O38</f>
        <v>1553246.5422222223</v>
      </c>
      <c r="Q87" s="284">
        <f t="shared" si="35"/>
        <v>186389.58506666668</v>
      </c>
      <c r="R87" s="287">
        <v>0.5</v>
      </c>
    </row>
    <row r="88" spans="1:18">
      <c r="A88" s="246"/>
      <c r="B88" s="265">
        <v>0</v>
      </c>
      <c r="C88" s="680" t="s">
        <v>609</v>
      </c>
      <c r="D88" s="266" t="str">
        <f>" - "&amp;'Giá Máy'!E17</f>
        <v xml:space="preserve"> - Máy lu bánh thép 10T</v>
      </c>
      <c r="E88" s="265" t="str">
        <f>'Giá Máy'!F17</f>
        <v>ca</v>
      </c>
      <c r="F88" s="267">
        <v>0</v>
      </c>
      <c r="G88" s="268">
        <v>0.26</v>
      </c>
      <c r="H88" s="268">
        <f>'5.Tiên lượng'!X36</f>
        <v>1</v>
      </c>
      <c r="I88" s="268">
        <f>PRODUCT(F79,G88,H88)</f>
        <v>2.4007716637168142</v>
      </c>
      <c r="J88" s="283">
        <f>'Giá Máy'!G17</f>
        <v>1086987.4154074099</v>
      </c>
      <c r="K88" s="283">
        <f t="shared" si="33"/>
        <v>282616.72800592659</v>
      </c>
      <c r="L88" s="283">
        <f>'Giá Máy'!H17</f>
        <v>0</v>
      </c>
      <c r="M88" s="284">
        <f t="shared" si="34"/>
        <v>0</v>
      </c>
      <c r="N88" s="284">
        <v>0</v>
      </c>
      <c r="O88" s="284">
        <v>0</v>
      </c>
      <c r="P88" s="284">
        <f>'Giá Máy'!O17</f>
        <v>1132157.2474074075</v>
      </c>
      <c r="Q88" s="284">
        <f t="shared" si="35"/>
        <v>294360.88432592596</v>
      </c>
      <c r="R88" s="287">
        <v>0.5</v>
      </c>
    </row>
    <row r="89" spans="1:18">
      <c r="A89" s="246"/>
      <c r="B89" s="265">
        <v>0</v>
      </c>
      <c r="C89" s="680" t="s">
        <v>610</v>
      </c>
      <c r="D89" s="266" t="str">
        <f>" - "&amp;'Giá Máy'!E33</f>
        <v xml:space="preserve"> - Ô tô tưới nước 5m3</v>
      </c>
      <c r="E89" s="265" t="str">
        <f>'Giá Máy'!F33</f>
        <v>ca</v>
      </c>
      <c r="F89" s="267">
        <v>0</v>
      </c>
      <c r="G89" s="268">
        <v>0.21</v>
      </c>
      <c r="H89" s="268">
        <f>'5.Tiên lượng'!X36</f>
        <v>1</v>
      </c>
      <c r="I89" s="268">
        <f>PRODUCT(F79,G89,H89)</f>
        <v>1.9390848053097345</v>
      </c>
      <c r="J89" s="283">
        <f>'Giá Máy'!G33</f>
        <v>1089892.2532307699</v>
      </c>
      <c r="K89" s="283">
        <f t="shared" si="33"/>
        <v>228877.37317846165</v>
      </c>
      <c r="L89" s="283">
        <f>'Giá Máy'!H33</f>
        <v>0</v>
      </c>
      <c r="M89" s="284">
        <f t="shared" si="34"/>
        <v>0</v>
      </c>
      <c r="N89" s="284">
        <v>0</v>
      </c>
      <c r="O89" s="284">
        <v>0</v>
      </c>
      <c r="P89" s="284">
        <f>'Giá Máy'!O33</f>
        <v>1107763.9892307692</v>
      </c>
      <c r="Q89" s="284">
        <f t="shared" si="35"/>
        <v>232630.43773846154</v>
      </c>
      <c r="R89" s="287">
        <v>0.5</v>
      </c>
    </row>
    <row r="90" spans="1:18">
      <c r="A90" s="251"/>
      <c r="B90" s="269">
        <v>0</v>
      </c>
      <c r="C90" s="681" t="s">
        <v>611</v>
      </c>
      <c r="D90" s="270" t="s">
        <v>612</v>
      </c>
      <c r="E90" s="269" t="s">
        <v>37</v>
      </c>
      <c r="F90" s="271">
        <v>0</v>
      </c>
      <c r="G90" s="272">
        <f>AVERAGE(R85:R89)</f>
        <v>0.5</v>
      </c>
      <c r="H90" s="272">
        <f>'5.Tiên lượng'!X36</f>
        <v>1</v>
      </c>
      <c r="I90" s="272">
        <f>PRODUCT(F79,G90,H90)</f>
        <v>4.6168685840707964</v>
      </c>
      <c r="J90" s="285">
        <f>(G85*J85+G86*J86+G87*J87+G88*J88+G89*J89)/100</f>
        <v>23017.788123621671</v>
      </c>
      <c r="K90" s="285">
        <f t="shared" si="33"/>
        <v>11508.894061810835</v>
      </c>
      <c r="L90" s="285">
        <f>(G85*L85+G86*L86+G87*L87+G88*L88+G89*L89)/100</f>
        <v>1971.8591999999999</v>
      </c>
      <c r="M90" s="286">
        <f t="shared" si="34"/>
        <v>985.92959999999994</v>
      </c>
      <c r="N90" s="286">
        <v>0</v>
      </c>
      <c r="O90" s="286">
        <v>0</v>
      </c>
      <c r="P90" s="286">
        <f>(G85*P85+G86*P86+G87*P87+G88*P88+G89*P89)/100</f>
        <v>23577.76576842165</v>
      </c>
      <c r="Q90" s="286">
        <f t="shared" si="35"/>
        <v>11788.882884210825</v>
      </c>
      <c r="R90" s="288">
        <v>0</v>
      </c>
    </row>
    <row r="91" spans="1:18" ht="27.6">
      <c r="A91" s="234"/>
      <c r="B91" s="256">
        <v>14</v>
      </c>
      <c r="C91" s="234" t="str">
        <f>'5.Tiên lượng'!C38</f>
        <v>AB.64123</v>
      </c>
      <c r="D91" s="257" t="str">
        <f>'5.Tiên lượng'!D38</f>
        <v>Đắp nền đường bằng máy lu bánh thép 16T, máy ủi 110CV, độ chặt Y/C K = 0,95</v>
      </c>
      <c r="E91" s="256" t="str">
        <f>'5.Tiên lượng'!E38</f>
        <v>100m3</v>
      </c>
      <c r="F91" s="258">
        <f>'5.Tiên lượng'!M38</f>
        <v>4.593362831858407</v>
      </c>
      <c r="G91" s="259">
        <v>0</v>
      </c>
      <c r="H91" s="259">
        <v>0</v>
      </c>
      <c r="I91" s="259">
        <v>0</v>
      </c>
      <c r="J91" s="279">
        <v>0</v>
      </c>
      <c r="K91" s="279">
        <v>0</v>
      </c>
      <c r="L91" s="279">
        <v>0</v>
      </c>
      <c r="M91" s="280">
        <v>0</v>
      </c>
      <c r="N91" s="280">
        <v>0</v>
      </c>
      <c r="O91" s="280">
        <v>0</v>
      </c>
      <c r="P91" s="280">
        <v>0</v>
      </c>
      <c r="Q91" s="280">
        <v>0</v>
      </c>
      <c r="R91" s="222">
        <v>0</v>
      </c>
    </row>
    <row r="92" spans="1:18">
      <c r="A92" s="240"/>
      <c r="B92" s="260">
        <v>0</v>
      </c>
      <c r="C92" s="261" t="s">
        <v>590</v>
      </c>
      <c r="D92" s="262" t="s">
        <v>265</v>
      </c>
      <c r="E92" s="260"/>
      <c r="F92" s="263">
        <v>0</v>
      </c>
      <c r="G92" s="264">
        <v>0</v>
      </c>
      <c r="H92" s="264"/>
      <c r="I92" s="264">
        <v>0</v>
      </c>
      <c r="J92" s="281">
        <v>0</v>
      </c>
      <c r="K92" s="281">
        <f>SUM(K93:K93)</f>
        <v>316910.55</v>
      </c>
      <c r="L92" s="281">
        <v>0</v>
      </c>
      <c r="M92" s="282">
        <f>SUM(M93:M93)</f>
        <v>331496.09999999998</v>
      </c>
      <c r="N92" s="282">
        <v>0</v>
      </c>
      <c r="O92" s="282">
        <v>0</v>
      </c>
      <c r="P92" s="282">
        <v>0</v>
      </c>
      <c r="Q92" s="282">
        <f>SUM(Q93:Q93)</f>
        <v>331496.09999999998</v>
      </c>
      <c r="R92" s="287">
        <v>0</v>
      </c>
    </row>
    <row r="93" spans="1:18">
      <c r="A93" s="246"/>
      <c r="B93" s="265">
        <v>0</v>
      </c>
      <c r="C93" s="680" t="s">
        <v>598</v>
      </c>
      <c r="D93" s="266" t="str">
        <f>" - "&amp;'Giá NC'!E5</f>
        <v xml:space="preserve"> - Nhân công bậc 3,0/7 - Nhóm 1</v>
      </c>
      <c r="E93" s="265" t="str">
        <f>'Giá NC'!F5</f>
        <v>công</v>
      </c>
      <c r="F93" s="267">
        <v>0</v>
      </c>
      <c r="G93" s="268">
        <v>1.45</v>
      </c>
      <c r="H93" s="268">
        <f>'5.Tiên lượng'!W38</f>
        <v>1</v>
      </c>
      <c r="I93" s="268">
        <f>PRODUCT(F91,G93,H93)</f>
        <v>6.6603761061946898</v>
      </c>
      <c r="J93" s="283">
        <f>'Giá NC'!G5</f>
        <v>218559</v>
      </c>
      <c r="K93" s="283">
        <f>PRODUCT(G93,H93,J93)</f>
        <v>316910.55</v>
      </c>
      <c r="L93" s="283">
        <f>'Giá NC'!H5</f>
        <v>228618</v>
      </c>
      <c r="M93" s="284">
        <f>PRODUCT(G93,H93,L93)</f>
        <v>331496.09999999998</v>
      </c>
      <c r="N93" s="284">
        <v>0</v>
      </c>
      <c r="O93" s="284">
        <v>0</v>
      </c>
      <c r="P93" s="284">
        <f>'Giá NC'!K5</f>
        <v>228618</v>
      </c>
      <c r="Q93" s="284">
        <f>PRODUCT(G93,H93,P93)</f>
        <v>331496.09999999998</v>
      </c>
      <c r="R93" s="287">
        <v>0</v>
      </c>
    </row>
    <row r="94" spans="1:18">
      <c r="A94" s="240"/>
      <c r="B94" s="260">
        <v>0</v>
      </c>
      <c r="C94" s="261" t="s">
        <v>590</v>
      </c>
      <c r="D94" s="262" t="s">
        <v>267</v>
      </c>
      <c r="E94" s="260"/>
      <c r="F94" s="263">
        <v>0</v>
      </c>
      <c r="G94" s="264">
        <v>0</v>
      </c>
      <c r="H94" s="264"/>
      <c r="I94" s="264">
        <v>0</v>
      </c>
      <c r="J94" s="281">
        <v>0</v>
      </c>
      <c r="K94" s="281">
        <f>SUM(K95:K99)</f>
        <v>746549.74885454471</v>
      </c>
      <c r="L94" s="281">
        <v>0</v>
      </c>
      <c r="M94" s="282">
        <f>SUM(M95:M99)</f>
        <v>824020.73939500016</v>
      </c>
      <c r="N94" s="282">
        <v>0</v>
      </c>
      <c r="O94" s="282">
        <v>0</v>
      </c>
      <c r="P94" s="282">
        <v>0</v>
      </c>
      <c r="Q94" s="282">
        <f>SUM(Q95:Q99)</f>
        <v>775105.66290050559</v>
      </c>
      <c r="R94" s="287">
        <v>0</v>
      </c>
    </row>
    <row r="95" spans="1:18">
      <c r="A95" s="246"/>
      <c r="B95" s="265">
        <v>0</v>
      </c>
      <c r="C95" s="680" t="s">
        <v>613</v>
      </c>
      <c r="D95" s="266" t="str">
        <f>" - "&amp;'Giá Máy'!E42</f>
        <v xml:space="preserve"> - Máy lu bánh thép 16T</v>
      </c>
      <c r="E95" s="265" t="str">
        <f>'Giá Máy'!F42</f>
        <v>ca</v>
      </c>
      <c r="F95" s="267">
        <v>0</v>
      </c>
      <c r="G95" s="268">
        <v>0.33500000000000002</v>
      </c>
      <c r="H95" s="268">
        <f>'5.Tiên lượng'!X38</f>
        <v>1</v>
      </c>
      <c r="I95" s="268">
        <f>PRODUCT(F91,G95,H95)</f>
        <v>1.5387765486725664</v>
      </c>
      <c r="J95" s="283">
        <f>'Giá Máy'!G42</f>
        <v>1318899.50711111</v>
      </c>
      <c r="K95" s="283">
        <f t="shared" ref="K95:K99" si="36">PRODUCT(G95,H95,J95)</f>
        <v>441831.33488222188</v>
      </c>
      <c r="L95" s="283">
        <f>'Giá Máy'!H42</f>
        <v>1459561</v>
      </c>
      <c r="M95" s="284">
        <f t="shared" ref="M95:M99" si="37">PRODUCT(G95,H95,L95)</f>
        <v>488952.93500000006</v>
      </c>
      <c r="N95" s="284">
        <v>0</v>
      </c>
      <c r="O95" s="284">
        <v>0</v>
      </c>
      <c r="P95" s="284">
        <f>'Giá Máy'!O42</f>
        <v>1372616.6911111111</v>
      </c>
      <c r="Q95" s="284">
        <f t="shared" ref="Q95:Q99" si="38">PRODUCT(G95,H95,P95)</f>
        <v>459826.59152222227</v>
      </c>
      <c r="R95" s="287">
        <v>1.5</v>
      </c>
    </row>
    <row r="96" spans="1:18">
      <c r="A96" s="246"/>
      <c r="B96" s="265">
        <v>0</v>
      </c>
      <c r="C96" s="680" t="s">
        <v>600</v>
      </c>
      <c r="D96" s="266" t="str">
        <f>" - "&amp;'Giá Máy'!E29</f>
        <v xml:space="preserve"> - Máy ủi 110CV</v>
      </c>
      <c r="E96" s="265" t="str">
        <f>'Giá Máy'!F29</f>
        <v>ca</v>
      </c>
      <c r="F96" s="267">
        <v>0</v>
      </c>
      <c r="G96" s="268">
        <v>0.16700000000000001</v>
      </c>
      <c r="H96" s="268">
        <f>'5.Tiên lượng'!X38</f>
        <v>1</v>
      </c>
      <c r="I96" s="268">
        <f>PRODUCT(F91,G96,H96)</f>
        <v>0.767091592920354</v>
      </c>
      <c r="J96" s="283">
        <f>'Giá Máy'!G29</f>
        <v>1758596.7608571399</v>
      </c>
      <c r="K96" s="283">
        <f t="shared" si="36"/>
        <v>293685.65906314238</v>
      </c>
      <c r="L96" s="283">
        <f>'Giá Máy'!H29</f>
        <v>1933474</v>
      </c>
      <c r="M96" s="284">
        <f t="shared" si="37"/>
        <v>322890.158</v>
      </c>
      <c r="N96" s="284">
        <v>0</v>
      </c>
      <c r="O96" s="284">
        <v>0</v>
      </c>
      <c r="P96" s="284">
        <f>'Giá Máy'!O29</f>
        <v>1819307.232857143</v>
      </c>
      <c r="Q96" s="284">
        <f t="shared" si="38"/>
        <v>303824.30788714293</v>
      </c>
      <c r="R96" s="287">
        <v>1.5</v>
      </c>
    </row>
    <row r="97" spans="1:18">
      <c r="A97" s="251"/>
      <c r="B97" s="269">
        <v>0</v>
      </c>
      <c r="C97" s="681" t="s">
        <v>611</v>
      </c>
      <c r="D97" s="270" t="s">
        <v>612</v>
      </c>
      <c r="E97" s="269" t="s">
        <v>37</v>
      </c>
      <c r="F97" s="271">
        <v>0</v>
      </c>
      <c r="G97" s="272">
        <f>AVERAGE(R95:R96)</f>
        <v>1.5</v>
      </c>
      <c r="H97" s="272">
        <f>'5.Tiên lượng'!X38</f>
        <v>1</v>
      </c>
      <c r="I97" s="272">
        <f>PRODUCT(F91,G97,H97)</f>
        <v>6.8900442477876105</v>
      </c>
      <c r="J97" s="285">
        <f>(G95*J95+G96*J96)/100</f>
        <v>7355.1699394536427</v>
      </c>
      <c r="K97" s="285">
        <f t="shared" si="36"/>
        <v>11032.754909180465</v>
      </c>
      <c r="L97" s="285">
        <f>(G95*L95+G96*L96)/100</f>
        <v>8118.4309300000014</v>
      </c>
      <c r="M97" s="286">
        <f t="shared" si="37"/>
        <v>12177.646395000002</v>
      </c>
      <c r="N97" s="286">
        <v>0</v>
      </c>
      <c r="O97" s="286">
        <v>0</v>
      </c>
      <c r="P97" s="286">
        <f>(G95*P95+G96*P96)/100</f>
        <v>7636.5089940936514</v>
      </c>
      <c r="Q97" s="286">
        <f t="shared" si="38"/>
        <v>11454.763491140477</v>
      </c>
      <c r="R97" s="288">
        <v>0</v>
      </c>
    </row>
    <row r="98" spans="1:18">
      <c r="A98" s="229"/>
      <c r="B98" s="289">
        <v>0</v>
      </c>
      <c r="C98" s="682" t="s">
        <v>339</v>
      </c>
      <c r="D98" s="290" t="s">
        <v>1070</v>
      </c>
      <c r="E98" s="289"/>
      <c r="F98" s="291">
        <v>0</v>
      </c>
      <c r="G98" s="292">
        <v>0</v>
      </c>
      <c r="H98" s="292">
        <f>'5.Tiên lượng'!X38</f>
        <v>1</v>
      </c>
      <c r="I98" s="292">
        <f>PRODUCT(F91,G98,H98)</f>
        <v>0</v>
      </c>
      <c r="J98" s="293">
        <v>0</v>
      </c>
      <c r="K98" s="294">
        <f t="shared" si="36"/>
        <v>0</v>
      </c>
      <c r="L98" s="294">
        <v>0</v>
      </c>
      <c r="M98" s="295">
        <f t="shared" si="37"/>
        <v>0</v>
      </c>
      <c r="N98" s="295">
        <v>0</v>
      </c>
      <c r="O98" s="295">
        <v>0</v>
      </c>
      <c r="P98" s="295">
        <v>0</v>
      </c>
      <c r="Q98" s="295">
        <f t="shared" si="38"/>
        <v>0</v>
      </c>
      <c r="R98" s="146">
        <v>0</v>
      </c>
    </row>
    <row r="99" spans="1:18">
      <c r="A99" s="229"/>
      <c r="B99" s="289">
        <v>0</v>
      </c>
      <c r="C99" s="682" t="s">
        <v>339</v>
      </c>
      <c r="D99" s="290" t="s">
        <v>1071</v>
      </c>
      <c r="E99" s="289"/>
      <c r="F99" s="291">
        <v>0</v>
      </c>
      <c r="G99" s="292">
        <v>0</v>
      </c>
      <c r="H99" s="292">
        <v>0</v>
      </c>
      <c r="I99" s="292">
        <v>0</v>
      </c>
      <c r="J99" s="293">
        <v>0</v>
      </c>
      <c r="K99" s="294">
        <f t="shared" si="36"/>
        <v>0</v>
      </c>
      <c r="L99" s="294">
        <v>0</v>
      </c>
      <c r="M99" s="295">
        <f t="shared" si="37"/>
        <v>0</v>
      </c>
      <c r="N99" s="295">
        <v>0</v>
      </c>
      <c r="O99" s="295">
        <v>0</v>
      </c>
      <c r="P99" s="295">
        <v>0</v>
      </c>
      <c r="Q99" s="295">
        <f t="shared" si="38"/>
        <v>0</v>
      </c>
      <c r="R99" s="146">
        <v>0</v>
      </c>
    </row>
    <row r="100" spans="1:18" ht="27.6">
      <c r="A100" s="234"/>
      <c r="B100" s="256">
        <v>15</v>
      </c>
      <c r="C100" s="234" t="str">
        <f>'5.Tiên lượng'!C42</f>
        <v>AB.31134VD</v>
      </c>
      <c r="D100" s="257" t="str">
        <f>'5.Tiên lượng'!D42</f>
        <v>Đào khuôn đường cũ cấp phối bằng máy đào 1,25m3</v>
      </c>
      <c r="E100" s="256" t="str">
        <f>'5.Tiên lượng'!E42</f>
        <v>m3</v>
      </c>
      <c r="F100" s="258">
        <f>'5.Tiên lượng'!M42</f>
        <v>90.77</v>
      </c>
      <c r="G100" s="259">
        <v>0</v>
      </c>
      <c r="H100" s="259">
        <v>0</v>
      </c>
      <c r="I100" s="259">
        <v>0</v>
      </c>
      <c r="J100" s="279">
        <v>0</v>
      </c>
      <c r="K100" s="279">
        <v>0</v>
      </c>
      <c r="L100" s="279">
        <v>0</v>
      </c>
      <c r="M100" s="280">
        <v>0</v>
      </c>
      <c r="N100" s="280">
        <v>0</v>
      </c>
      <c r="O100" s="280">
        <v>0</v>
      </c>
      <c r="P100" s="280">
        <v>0</v>
      </c>
      <c r="Q100" s="280">
        <v>0</v>
      </c>
      <c r="R100" s="222">
        <v>0</v>
      </c>
    </row>
    <row r="101" spans="1:18">
      <c r="A101" s="240"/>
      <c r="B101" s="260">
        <v>0</v>
      </c>
      <c r="C101" s="261" t="s">
        <v>590</v>
      </c>
      <c r="D101" s="262" t="s">
        <v>265</v>
      </c>
      <c r="E101" s="260"/>
      <c r="F101" s="263">
        <v>0</v>
      </c>
      <c r="G101" s="264">
        <v>0</v>
      </c>
      <c r="H101" s="264"/>
      <c r="I101" s="264">
        <v>0</v>
      </c>
      <c r="J101" s="281">
        <v>0</v>
      </c>
      <c r="K101" s="281">
        <f>SUM(K102:K102)</f>
        <v>10512.687899999999</v>
      </c>
      <c r="L101" s="281">
        <v>0</v>
      </c>
      <c r="M101" s="282">
        <f>SUM(M102:M102)</f>
        <v>10996.525799999999</v>
      </c>
      <c r="N101" s="282">
        <v>0</v>
      </c>
      <c r="O101" s="282">
        <v>0</v>
      </c>
      <c r="P101" s="282">
        <v>0</v>
      </c>
      <c r="Q101" s="282">
        <f>SUM(Q102:Q102)</f>
        <v>10996.525799999999</v>
      </c>
      <c r="R101" s="287">
        <v>0</v>
      </c>
    </row>
    <row r="102" spans="1:18">
      <c r="A102" s="246"/>
      <c r="B102" s="265">
        <v>0</v>
      </c>
      <c r="C102" s="680" t="s">
        <v>598</v>
      </c>
      <c r="D102" s="266" t="str">
        <f>" - "&amp;'Giá NC'!E5</f>
        <v xml:space="preserve"> - Nhân công bậc 3,0/7 - Nhóm 1</v>
      </c>
      <c r="E102" s="265" t="str">
        <f>'Giá NC'!F5</f>
        <v>công</v>
      </c>
      <c r="F102" s="267">
        <v>0</v>
      </c>
      <c r="G102" s="268">
        <v>4.8099999999999997E-2</v>
      </c>
      <c r="H102" s="268">
        <f>'5.Tiên lượng'!W42</f>
        <v>1</v>
      </c>
      <c r="I102" s="268">
        <f>PRODUCT(F100,G102,H102)</f>
        <v>4.3660369999999995</v>
      </c>
      <c r="J102" s="283">
        <f>'Giá NC'!G5</f>
        <v>218559</v>
      </c>
      <c r="K102" s="283">
        <f>PRODUCT(G102,H102,J102)</f>
        <v>10512.687899999999</v>
      </c>
      <c r="L102" s="283">
        <f>'Giá NC'!H5</f>
        <v>228618</v>
      </c>
      <c r="M102" s="284">
        <f>PRODUCT(G102,H102,L102)</f>
        <v>10996.525799999999</v>
      </c>
      <c r="N102" s="284">
        <v>0</v>
      </c>
      <c r="O102" s="284">
        <v>0</v>
      </c>
      <c r="P102" s="284">
        <f>'Giá NC'!K5</f>
        <v>228618</v>
      </c>
      <c r="Q102" s="284">
        <f>PRODUCT(G102,H102,P102)</f>
        <v>10996.525799999999</v>
      </c>
      <c r="R102" s="287">
        <v>0</v>
      </c>
    </row>
    <row r="103" spans="1:18">
      <c r="A103" s="240"/>
      <c r="B103" s="260">
        <v>0</v>
      </c>
      <c r="C103" s="261" t="s">
        <v>590</v>
      </c>
      <c r="D103" s="262" t="s">
        <v>267</v>
      </c>
      <c r="E103" s="260"/>
      <c r="F103" s="263">
        <v>0</v>
      </c>
      <c r="G103" s="264">
        <v>0</v>
      </c>
      <c r="H103" s="264"/>
      <c r="I103" s="264">
        <v>0</v>
      </c>
      <c r="J103" s="281">
        <v>0</v>
      </c>
      <c r="K103" s="281">
        <f>SUM(K104:K105)</f>
        <v>15467.70619608573</v>
      </c>
      <c r="L103" s="281">
        <v>0</v>
      </c>
      <c r="M103" s="282">
        <f>SUM(M104:M105)</f>
        <v>16907.01972</v>
      </c>
      <c r="N103" s="282">
        <v>0</v>
      </c>
      <c r="O103" s="282">
        <v>0</v>
      </c>
      <c r="P103" s="282">
        <v>0</v>
      </c>
      <c r="Q103" s="282">
        <f>SUM(Q104:Q105)</f>
        <v>15882.231451285714</v>
      </c>
      <c r="R103" s="287">
        <v>0</v>
      </c>
    </row>
    <row r="104" spans="1:18">
      <c r="A104" s="246"/>
      <c r="B104" s="265">
        <v>0</v>
      </c>
      <c r="C104" s="680" t="s">
        <v>599</v>
      </c>
      <c r="D104" s="266" t="str">
        <f>" - "&amp;'Giá Máy'!E14</f>
        <v xml:space="preserve"> - Máy đào 1,25m3</v>
      </c>
      <c r="E104" s="265" t="str">
        <f>'Giá Máy'!F14</f>
        <v>ca</v>
      </c>
      <c r="F104" s="267">
        <v>0</v>
      </c>
      <c r="G104" s="268">
        <v>4.2399999999999998E-3</v>
      </c>
      <c r="H104" s="268">
        <f>'5.Tiên lượng'!X42</f>
        <v>1</v>
      </c>
      <c r="I104" s="268">
        <f>PRODUCT(F100,G104,H104)</f>
        <v>0.38486479999999995</v>
      </c>
      <c r="J104" s="283">
        <f>'Giá Máy'!G14</f>
        <v>3407481.1497142902</v>
      </c>
      <c r="K104" s="283">
        <f t="shared" ref="K104:K105" si="39">PRODUCT(G104,H104,J104)</f>
        <v>14447.720074788589</v>
      </c>
      <c r="L104" s="283">
        <f>'Giá Máy'!H14</f>
        <v>3723020</v>
      </c>
      <c r="M104" s="284">
        <f t="shared" ref="M104:M105" si="40">PRODUCT(G104,H104,L104)</f>
        <v>15785.604799999999</v>
      </c>
      <c r="N104" s="284">
        <v>0</v>
      </c>
      <c r="O104" s="284">
        <v>0</v>
      </c>
      <c r="P104" s="284">
        <f>'Giá Máy'!O14</f>
        <v>3496941.8057142859</v>
      </c>
      <c r="Q104" s="284">
        <f t="shared" ref="Q104:Q105" si="41">PRODUCT(G104,H104,P104)</f>
        <v>14827.033256228571</v>
      </c>
      <c r="R104" s="287">
        <v>0</v>
      </c>
    </row>
    <row r="105" spans="1:18">
      <c r="A105" s="251"/>
      <c r="B105" s="269">
        <v>0</v>
      </c>
      <c r="C105" s="681" t="s">
        <v>600</v>
      </c>
      <c r="D105" s="270" t="str">
        <f>" - "&amp;'Giá Máy'!E29</f>
        <v xml:space="preserve"> - Máy ủi 110CV</v>
      </c>
      <c r="E105" s="269" t="str">
        <f>'Giá Máy'!F29</f>
        <v>ca</v>
      </c>
      <c r="F105" s="271">
        <v>0</v>
      </c>
      <c r="G105" s="272">
        <v>5.8E-4</v>
      </c>
      <c r="H105" s="272">
        <f>'5.Tiên lượng'!X42</f>
        <v>1</v>
      </c>
      <c r="I105" s="272">
        <f>PRODUCT(F100,G105,H105)</f>
        <v>5.2646599999999995E-2</v>
      </c>
      <c r="J105" s="285">
        <f>'Giá Máy'!G29</f>
        <v>1758596.7608571399</v>
      </c>
      <c r="K105" s="285">
        <f t="shared" si="39"/>
        <v>1019.9861212971412</v>
      </c>
      <c r="L105" s="285">
        <f>'Giá Máy'!H29</f>
        <v>1933474</v>
      </c>
      <c r="M105" s="286">
        <f t="shared" si="40"/>
        <v>1121.4149199999999</v>
      </c>
      <c r="N105" s="286">
        <v>0</v>
      </c>
      <c r="O105" s="286">
        <v>0</v>
      </c>
      <c r="P105" s="286">
        <f>'Giá Máy'!O29</f>
        <v>1819307.232857143</v>
      </c>
      <c r="Q105" s="286">
        <f t="shared" si="41"/>
        <v>1055.198195057143</v>
      </c>
      <c r="R105" s="288">
        <v>0</v>
      </c>
    </row>
    <row r="106" spans="1:18">
      <c r="A106" s="234"/>
      <c r="B106" s="256">
        <v>16</v>
      </c>
      <c r="C106" s="234" t="str">
        <f>'5.Tiên lượng'!C43</f>
        <v>AB.31133</v>
      </c>
      <c r="D106" s="257" t="str">
        <f>'5.Tiên lượng'!D43</f>
        <v>Đào nền đường bằng máy đào 1,25m3 - Cấp đất III</v>
      </c>
      <c r="E106" s="256" t="str">
        <f>'5.Tiên lượng'!E43</f>
        <v>100m3</v>
      </c>
      <c r="F106" s="258">
        <f>'5.Tiên lượng'!M43</f>
        <v>1.2237</v>
      </c>
      <c r="G106" s="259">
        <v>0</v>
      </c>
      <c r="H106" s="259">
        <v>0</v>
      </c>
      <c r="I106" s="259">
        <v>0</v>
      </c>
      <c r="J106" s="279">
        <v>0</v>
      </c>
      <c r="K106" s="279">
        <v>0</v>
      </c>
      <c r="L106" s="279">
        <v>0</v>
      </c>
      <c r="M106" s="280">
        <v>0</v>
      </c>
      <c r="N106" s="280">
        <v>0</v>
      </c>
      <c r="O106" s="280">
        <v>0</v>
      </c>
      <c r="P106" s="280">
        <v>0</v>
      </c>
      <c r="Q106" s="280">
        <v>0</v>
      </c>
      <c r="R106" s="222">
        <v>0</v>
      </c>
    </row>
    <row r="107" spans="1:18">
      <c r="A107" s="240"/>
      <c r="B107" s="260">
        <v>0</v>
      </c>
      <c r="C107" s="261" t="s">
        <v>590</v>
      </c>
      <c r="D107" s="262" t="s">
        <v>265</v>
      </c>
      <c r="E107" s="260"/>
      <c r="F107" s="263">
        <v>0</v>
      </c>
      <c r="G107" s="264">
        <v>0</v>
      </c>
      <c r="H107" s="264"/>
      <c r="I107" s="264">
        <v>0</v>
      </c>
      <c r="J107" s="281">
        <v>0</v>
      </c>
      <c r="K107" s="281">
        <f>SUM(K108:K108)</f>
        <v>887349.53999999992</v>
      </c>
      <c r="L107" s="281">
        <v>0</v>
      </c>
      <c r="M107" s="282">
        <f>SUM(M108:M108)</f>
        <v>928189.08</v>
      </c>
      <c r="N107" s="282">
        <v>0</v>
      </c>
      <c r="O107" s="282">
        <v>0</v>
      </c>
      <c r="P107" s="282">
        <v>0</v>
      </c>
      <c r="Q107" s="282">
        <f>SUM(Q108:Q108)</f>
        <v>928189.08</v>
      </c>
      <c r="R107" s="287">
        <v>0</v>
      </c>
    </row>
    <row r="108" spans="1:18">
      <c r="A108" s="246"/>
      <c r="B108" s="265">
        <v>0</v>
      </c>
      <c r="C108" s="680" t="s">
        <v>598</v>
      </c>
      <c r="D108" s="266" t="str">
        <f>" - "&amp;'Giá NC'!E5</f>
        <v xml:space="preserve"> - Nhân công bậc 3,0/7 - Nhóm 1</v>
      </c>
      <c r="E108" s="265" t="str">
        <f>'Giá NC'!F5</f>
        <v>công</v>
      </c>
      <c r="F108" s="267">
        <v>0</v>
      </c>
      <c r="G108" s="268">
        <v>4.0599999999999996</v>
      </c>
      <c r="H108" s="268">
        <f>'5.Tiên lượng'!W43</f>
        <v>1</v>
      </c>
      <c r="I108" s="268">
        <f>PRODUCT(F106,G108,H108)</f>
        <v>4.9682219999999999</v>
      </c>
      <c r="J108" s="283">
        <f>'Giá NC'!G5</f>
        <v>218559</v>
      </c>
      <c r="K108" s="283">
        <f>PRODUCT(G108,H108,J108)</f>
        <v>887349.53999999992</v>
      </c>
      <c r="L108" s="283">
        <f>'Giá NC'!H5</f>
        <v>228618</v>
      </c>
      <c r="M108" s="284">
        <f>PRODUCT(G108,H108,L108)</f>
        <v>928189.08</v>
      </c>
      <c r="N108" s="284">
        <v>0</v>
      </c>
      <c r="O108" s="284">
        <v>0</v>
      </c>
      <c r="P108" s="284">
        <f>'Giá NC'!K5</f>
        <v>228618</v>
      </c>
      <c r="Q108" s="284">
        <f>PRODUCT(G108,H108,P108)</f>
        <v>928189.08</v>
      </c>
      <c r="R108" s="287">
        <v>0</v>
      </c>
    </row>
    <row r="109" spans="1:18">
      <c r="A109" s="240"/>
      <c r="B109" s="260">
        <v>0</v>
      </c>
      <c r="C109" s="261" t="s">
        <v>590</v>
      </c>
      <c r="D109" s="262" t="s">
        <v>267</v>
      </c>
      <c r="E109" s="260"/>
      <c r="F109" s="263">
        <v>0</v>
      </c>
      <c r="G109" s="264">
        <v>0</v>
      </c>
      <c r="H109" s="264"/>
      <c r="I109" s="264">
        <v>0</v>
      </c>
      <c r="J109" s="281">
        <v>0</v>
      </c>
      <c r="K109" s="281">
        <f>SUM(K110:K112)</f>
        <v>1130070.5079954299</v>
      </c>
      <c r="L109" s="281">
        <v>0</v>
      </c>
      <c r="M109" s="282">
        <f>SUM(M110:M112)</f>
        <v>1235198.18</v>
      </c>
      <c r="N109" s="282">
        <v>0</v>
      </c>
      <c r="O109" s="282">
        <v>0</v>
      </c>
      <c r="P109" s="282">
        <v>0</v>
      </c>
      <c r="Q109" s="282">
        <f>SUM(Q110:Q112)</f>
        <v>1160321.1908914286</v>
      </c>
      <c r="R109" s="287">
        <v>0</v>
      </c>
    </row>
    <row r="110" spans="1:18">
      <c r="A110" s="246"/>
      <c r="B110" s="265">
        <v>0</v>
      </c>
      <c r="C110" s="680" t="s">
        <v>599</v>
      </c>
      <c r="D110" s="266" t="str">
        <f>" - "&amp;'Giá Máy'!E14</f>
        <v xml:space="preserve"> - Máy đào 1,25m3</v>
      </c>
      <c r="E110" s="265" t="str">
        <f>'Giá Máy'!F14</f>
        <v>ca</v>
      </c>
      <c r="F110" s="267">
        <v>0</v>
      </c>
      <c r="G110" s="268">
        <v>0.311</v>
      </c>
      <c r="H110" s="268">
        <f>'5.Tiên lượng'!X43</f>
        <v>1</v>
      </c>
      <c r="I110" s="268">
        <f>PRODUCT(F106,G110,H110)</f>
        <v>0.38057069999999998</v>
      </c>
      <c r="J110" s="283">
        <f>'Giá Máy'!G14</f>
        <v>3407481.1497142902</v>
      </c>
      <c r="K110" s="283">
        <f t="shared" ref="K110:K112" si="42">PRODUCT(G110,H110,J110)</f>
        <v>1059726.6375611443</v>
      </c>
      <c r="L110" s="283">
        <f>'Giá Máy'!H14</f>
        <v>3723020</v>
      </c>
      <c r="M110" s="284">
        <f t="shared" ref="M110:M112" si="43">PRODUCT(G110,H110,L110)</f>
        <v>1157859.22</v>
      </c>
      <c r="N110" s="284">
        <v>0</v>
      </c>
      <c r="O110" s="284">
        <v>0</v>
      </c>
      <c r="P110" s="284">
        <f>'Giá Máy'!O14</f>
        <v>3496941.8057142859</v>
      </c>
      <c r="Q110" s="284">
        <f t="shared" ref="Q110:Q112" si="44">PRODUCT(G110,H110,P110)</f>
        <v>1087548.901577143</v>
      </c>
      <c r="R110" s="287">
        <v>0</v>
      </c>
    </row>
    <row r="111" spans="1:18">
      <c r="A111" s="251"/>
      <c r="B111" s="269">
        <v>0</v>
      </c>
      <c r="C111" s="681" t="s">
        <v>600</v>
      </c>
      <c r="D111" s="270" t="str">
        <f>" - "&amp;'Giá Máy'!E29</f>
        <v xml:space="preserve"> - Máy ủi 110CV</v>
      </c>
      <c r="E111" s="269" t="str">
        <f>'Giá Máy'!F29</f>
        <v>ca</v>
      </c>
      <c r="F111" s="271">
        <v>0</v>
      </c>
      <c r="G111" s="272">
        <v>0.04</v>
      </c>
      <c r="H111" s="272">
        <f>'5.Tiên lượng'!X43</f>
        <v>1</v>
      </c>
      <c r="I111" s="272">
        <f>PRODUCT(F106,G111,H111)</f>
        <v>4.8947999999999998E-2</v>
      </c>
      <c r="J111" s="285">
        <f>'Giá Máy'!G29</f>
        <v>1758596.7608571399</v>
      </c>
      <c r="K111" s="285">
        <f t="shared" si="42"/>
        <v>70343.870434285593</v>
      </c>
      <c r="L111" s="285">
        <f>'Giá Máy'!H29</f>
        <v>1933474</v>
      </c>
      <c r="M111" s="286">
        <f t="shared" si="43"/>
        <v>77338.960000000006</v>
      </c>
      <c r="N111" s="286">
        <v>0</v>
      </c>
      <c r="O111" s="286">
        <v>0</v>
      </c>
      <c r="P111" s="286">
        <f>'Giá Máy'!O29</f>
        <v>1819307.232857143</v>
      </c>
      <c r="Q111" s="286">
        <f t="shared" si="44"/>
        <v>72772.289314285721</v>
      </c>
      <c r="R111" s="288">
        <v>0</v>
      </c>
    </row>
    <row r="112" spans="1:18">
      <c r="A112" s="229"/>
      <c r="B112" s="289">
        <v>0</v>
      </c>
      <c r="C112" s="682" t="s">
        <v>339</v>
      </c>
      <c r="D112" s="290" t="s">
        <v>1072</v>
      </c>
      <c r="E112" s="289"/>
      <c r="F112" s="291">
        <v>0</v>
      </c>
      <c r="G112" s="292">
        <v>0</v>
      </c>
      <c r="H112" s="292">
        <f>'5.Tiên lượng'!X43</f>
        <v>1</v>
      </c>
      <c r="I112" s="292">
        <f>PRODUCT(F106,G112,H112)</f>
        <v>0</v>
      </c>
      <c r="J112" s="293">
        <v>0</v>
      </c>
      <c r="K112" s="294">
        <f t="shared" si="42"/>
        <v>0</v>
      </c>
      <c r="L112" s="294">
        <v>0</v>
      </c>
      <c r="M112" s="295">
        <f t="shared" si="43"/>
        <v>0</v>
      </c>
      <c r="N112" s="295">
        <v>0</v>
      </c>
      <c r="O112" s="295">
        <v>0</v>
      </c>
      <c r="P112" s="295">
        <v>0</v>
      </c>
      <c r="Q112" s="295">
        <f t="shared" si="44"/>
        <v>0</v>
      </c>
      <c r="R112" s="146">
        <v>0</v>
      </c>
    </row>
    <row r="113" spans="1:18" ht="41.4">
      <c r="A113" s="234"/>
      <c r="B113" s="256">
        <v>17</v>
      </c>
      <c r="C113" s="234" t="str">
        <f>'5.Tiên lượng'!C46</f>
        <v>AF.15433</v>
      </c>
      <c r="D113" s="257" t="str">
        <f>'5.Tiên lượng'!D46</f>
        <v>Bê tông sản xuất bằng máy trộn và đổ bằng thủ công, bê tông mặt đường dày mặt đường ≤25cm, bê tông M250, đá 2x4, PCB40</v>
      </c>
      <c r="E113" s="256" t="str">
        <f>'5.Tiên lượng'!E46</f>
        <v>m3</v>
      </c>
      <c r="F113" s="258">
        <f>'5.Tiên lượng'!M46</f>
        <v>900.03599999999994</v>
      </c>
      <c r="G113" s="259">
        <v>0</v>
      </c>
      <c r="H113" s="259">
        <v>0</v>
      </c>
      <c r="I113" s="259">
        <v>0</v>
      </c>
      <c r="J113" s="279">
        <v>0</v>
      </c>
      <c r="K113" s="279">
        <v>0</v>
      </c>
      <c r="L113" s="279">
        <v>0</v>
      </c>
      <c r="M113" s="280">
        <v>0</v>
      </c>
      <c r="N113" s="280">
        <v>0</v>
      </c>
      <c r="O113" s="280">
        <v>0</v>
      </c>
      <c r="P113" s="280">
        <v>0</v>
      </c>
      <c r="Q113" s="280">
        <v>0</v>
      </c>
      <c r="R113" s="222">
        <v>0</v>
      </c>
    </row>
    <row r="114" spans="1:18">
      <c r="A114" s="240"/>
      <c r="B114" s="260">
        <v>0</v>
      </c>
      <c r="C114" s="261" t="s">
        <v>590</v>
      </c>
      <c r="D114" s="262" t="s">
        <v>262</v>
      </c>
      <c r="E114" s="260"/>
      <c r="F114" s="263">
        <v>0</v>
      </c>
      <c r="G114" s="264">
        <v>0</v>
      </c>
      <c r="H114" s="264"/>
      <c r="I114" s="264">
        <v>0</v>
      </c>
      <c r="J114" s="281">
        <v>0</v>
      </c>
      <c r="K114" s="281">
        <f>SUM(K115:K121)</f>
        <v>933559.680941717</v>
      </c>
      <c r="L114" s="281">
        <v>0</v>
      </c>
      <c r="M114" s="282">
        <f>SUM(M115:M121)</f>
        <v>1098342.538125</v>
      </c>
      <c r="N114" s="282">
        <v>0</v>
      </c>
      <c r="O114" s="282">
        <v>0</v>
      </c>
      <c r="P114" s="282">
        <v>0</v>
      </c>
      <c r="Q114" s="282">
        <f>SUM(Q115:Q121)</f>
        <v>1244486.1695588657</v>
      </c>
      <c r="R114" s="287">
        <v>0</v>
      </c>
    </row>
    <row r="115" spans="1:18">
      <c r="A115" s="246"/>
      <c r="B115" s="265">
        <v>0</v>
      </c>
      <c r="C115" s="680" t="s">
        <v>614</v>
      </c>
      <c r="D115" s="266" t="str">
        <f>" - "&amp;'Giá VL'!E45</f>
        <v xml:space="preserve"> - Xi măng PCB40</v>
      </c>
      <c r="E115" s="265" t="str">
        <f>'Giá VL'!F45</f>
        <v>kg</v>
      </c>
      <c r="F115" s="267">
        <v>0</v>
      </c>
      <c r="G115" s="268">
        <v>291.10000000000002</v>
      </c>
      <c r="H115" s="268">
        <f>'5.Tiên lượng'!V46</f>
        <v>1</v>
      </c>
      <c r="I115" s="268">
        <f>PRODUCT(F113,G115,H115)</f>
        <v>262000.47959999999</v>
      </c>
      <c r="J115" s="283">
        <f>'Giá VL'!G45</f>
        <v>1350</v>
      </c>
      <c r="K115" s="283">
        <f t="shared" ref="K115:K121" si="45">PRODUCT(G115,H115,J115)</f>
        <v>392985.00000000006</v>
      </c>
      <c r="L115" s="283">
        <f>'Giá VL'!J45</f>
        <v>1600</v>
      </c>
      <c r="M115" s="284">
        <f t="shared" ref="M115:M121" si="46">PRODUCT(G115,H115,L115)</f>
        <v>465760.00000000006</v>
      </c>
      <c r="N115" s="284">
        <v>0</v>
      </c>
      <c r="O115" s="284">
        <v>0</v>
      </c>
      <c r="P115" s="284">
        <f>'Giá VL'!V45</f>
        <v>1730</v>
      </c>
      <c r="Q115" s="284">
        <f t="shared" ref="Q115:Q121" si="47">PRODUCT(G115,H115,P115)</f>
        <v>503603.00000000006</v>
      </c>
      <c r="R115" s="287">
        <v>1.5</v>
      </c>
    </row>
    <row r="116" spans="1:18">
      <c r="A116" s="246"/>
      <c r="B116" s="265">
        <v>0</v>
      </c>
      <c r="C116" s="680" t="s">
        <v>615</v>
      </c>
      <c r="D116" s="266" t="str">
        <f>" - "&amp;'Giá VL'!E17</f>
        <v xml:space="preserve"> - Cát vàng</v>
      </c>
      <c r="E116" s="265" t="str">
        <f>'Giá VL'!F17</f>
        <v>m3</v>
      </c>
      <c r="F116" s="267">
        <v>0</v>
      </c>
      <c r="G116" s="268">
        <v>0.54325000000000001</v>
      </c>
      <c r="H116" s="268">
        <f>'5.Tiên lượng'!V46</f>
        <v>1</v>
      </c>
      <c r="I116" s="268">
        <f>PRODUCT(F113,G116,H116)</f>
        <v>488.94455699999997</v>
      </c>
      <c r="J116" s="283">
        <f>'Giá VL'!G17</f>
        <v>580000</v>
      </c>
      <c r="K116" s="283">
        <f t="shared" si="45"/>
        <v>315085</v>
      </c>
      <c r="L116" s="283">
        <f>'Giá VL'!J17</f>
        <v>580000</v>
      </c>
      <c r="M116" s="284">
        <f t="shared" si="46"/>
        <v>315085</v>
      </c>
      <c r="N116" s="284">
        <v>0</v>
      </c>
      <c r="O116" s="284">
        <v>0</v>
      </c>
      <c r="P116" s="284">
        <f>'Giá VL'!V17</f>
        <v>659026.49526849983</v>
      </c>
      <c r="Q116" s="284">
        <f t="shared" si="47"/>
        <v>358016.14355461253</v>
      </c>
      <c r="R116" s="287">
        <v>1.5</v>
      </c>
    </row>
    <row r="117" spans="1:18">
      <c r="A117" s="246"/>
      <c r="B117" s="265">
        <v>0</v>
      </c>
      <c r="C117" s="680" t="s">
        <v>616</v>
      </c>
      <c r="D117" s="266" t="str">
        <f>" - "&amp;'Giá VL'!E19</f>
        <v xml:space="preserve"> - Đá 2x4</v>
      </c>
      <c r="E117" s="265" t="str">
        <f>'Giá VL'!F19</f>
        <v>m3</v>
      </c>
      <c r="F117" s="267">
        <v>0</v>
      </c>
      <c r="G117" s="268">
        <v>0.882525</v>
      </c>
      <c r="H117" s="268">
        <f>'5.Tiên lượng'!V46</f>
        <v>1</v>
      </c>
      <c r="I117" s="268">
        <f>PRODUCT(F113,G117,H117)</f>
        <v>794.30427090000001</v>
      </c>
      <c r="J117" s="283">
        <f>'Giá VL'!G19</f>
        <v>150000</v>
      </c>
      <c r="K117" s="283">
        <f t="shared" si="45"/>
        <v>132378.75</v>
      </c>
      <c r="L117" s="283">
        <f>'Giá VL'!J19</f>
        <v>240000</v>
      </c>
      <c r="M117" s="284">
        <f t="shared" si="46"/>
        <v>211806</v>
      </c>
      <c r="N117" s="284">
        <v>0</v>
      </c>
      <c r="O117" s="284">
        <v>0</v>
      </c>
      <c r="P117" s="284">
        <f>'Giá VL'!V19</f>
        <v>310458.0547558713</v>
      </c>
      <c r="Q117" s="284">
        <f t="shared" si="47"/>
        <v>273986.99477342534</v>
      </c>
      <c r="R117" s="287">
        <v>1.5</v>
      </c>
    </row>
    <row r="118" spans="1:18">
      <c r="A118" s="246"/>
      <c r="B118" s="265">
        <v>0</v>
      </c>
      <c r="C118" s="680" t="s">
        <v>617</v>
      </c>
      <c r="D118" s="266" t="str">
        <f>" - "&amp;'Giá VL'!E33</f>
        <v xml:space="preserve"> - Nước</v>
      </c>
      <c r="E118" s="265" t="str">
        <f>'Giá VL'!F33</f>
        <v>lít</v>
      </c>
      <c r="F118" s="267">
        <v>0</v>
      </c>
      <c r="G118" s="268">
        <v>177.32499999999999</v>
      </c>
      <c r="H118" s="268">
        <f>'5.Tiên lượng'!V46</f>
        <v>1</v>
      </c>
      <c r="I118" s="268">
        <f>PRODUCT(F113,G118,H118)</f>
        <v>159598.88369999998</v>
      </c>
      <c r="J118" s="283">
        <f>'Giá VL'!G33</f>
        <v>15</v>
      </c>
      <c r="K118" s="283">
        <f t="shared" si="45"/>
        <v>2659.875</v>
      </c>
      <c r="L118" s="283">
        <f>'Giá VL'!J33</f>
        <v>15</v>
      </c>
      <c r="M118" s="284">
        <f t="shared" si="46"/>
        <v>2659.875</v>
      </c>
      <c r="N118" s="284">
        <v>0</v>
      </c>
      <c r="O118" s="284">
        <v>0</v>
      </c>
      <c r="P118" s="284">
        <f>'Giá VL'!V33</f>
        <v>15</v>
      </c>
      <c r="Q118" s="284">
        <f t="shared" si="47"/>
        <v>2659.875</v>
      </c>
      <c r="R118" s="287">
        <v>1.5</v>
      </c>
    </row>
    <row r="119" spans="1:18">
      <c r="A119" s="246"/>
      <c r="B119" s="265">
        <v>0</v>
      </c>
      <c r="C119" s="680" t="s">
        <v>618</v>
      </c>
      <c r="D119" s="266" t="str">
        <f>" - "&amp;'Giá VL'!E25</f>
        <v xml:space="preserve"> - Gỗ làm khe co dãn</v>
      </c>
      <c r="E119" s="265" t="str">
        <f>'Giá VL'!F25</f>
        <v>m3</v>
      </c>
      <c r="F119" s="267">
        <v>0</v>
      </c>
      <c r="G119" s="268">
        <v>1.4E-2</v>
      </c>
      <c r="H119" s="268">
        <f>'5.Tiên lượng'!V46</f>
        <v>1</v>
      </c>
      <c r="I119" s="268">
        <f>PRODUCT(F113,G119,H119)</f>
        <v>12.600503999999999</v>
      </c>
      <c r="J119" s="283">
        <f>'Giá VL'!G25</f>
        <v>2500000</v>
      </c>
      <c r="K119" s="283">
        <f t="shared" si="45"/>
        <v>35000</v>
      </c>
      <c r="L119" s="283">
        <f>'Giá VL'!J25</f>
        <v>2800000</v>
      </c>
      <c r="M119" s="284">
        <f t="shared" si="46"/>
        <v>39200</v>
      </c>
      <c r="N119" s="284">
        <v>0</v>
      </c>
      <c r="O119" s="284">
        <v>0</v>
      </c>
      <c r="P119" s="284">
        <f>'Giá VL'!V25</f>
        <v>2844105.8536283039</v>
      </c>
      <c r="Q119" s="284">
        <f t="shared" si="47"/>
        <v>39817.481950796253</v>
      </c>
      <c r="R119" s="287">
        <v>1.5</v>
      </c>
    </row>
    <row r="120" spans="1:18">
      <c r="A120" s="246"/>
      <c r="B120" s="265">
        <v>0</v>
      </c>
      <c r="C120" s="680" t="s">
        <v>619</v>
      </c>
      <c r="D120" s="266" t="str">
        <f>" - "&amp;'Giá VL'!E31</f>
        <v xml:space="preserve"> - Nhựa đường</v>
      </c>
      <c r="E120" s="265" t="str">
        <f>'Giá VL'!F31</f>
        <v>kg</v>
      </c>
      <c r="F120" s="267">
        <v>0</v>
      </c>
      <c r="G120" s="268">
        <v>3.5</v>
      </c>
      <c r="H120" s="268">
        <f>'5.Tiên lượng'!V46</f>
        <v>1</v>
      </c>
      <c r="I120" s="268">
        <f>PRODUCT(F113,G120,H120)</f>
        <v>3150.1259999999997</v>
      </c>
      <c r="J120" s="283">
        <f>'Giá VL'!G31</f>
        <v>11901.316415683899</v>
      </c>
      <c r="K120" s="283">
        <f t="shared" si="45"/>
        <v>41654.607454893645</v>
      </c>
      <c r="L120" s="283">
        <f>'Giá VL'!J31</f>
        <v>13600</v>
      </c>
      <c r="M120" s="284">
        <f t="shared" si="46"/>
        <v>47600</v>
      </c>
      <c r="N120" s="284">
        <v>0</v>
      </c>
      <c r="O120" s="284">
        <v>0</v>
      </c>
      <c r="P120" s="284">
        <f>'Giá VL'!V31</f>
        <v>13717.500872863939</v>
      </c>
      <c r="Q120" s="284">
        <f t="shared" si="47"/>
        <v>48011.253055023786</v>
      </c>
      <c r="R120" s="287">
        <v>1.5</v>
      </c>
    </row>
    <row r="121" spans="1:18">
      <c r="A121" s="246"/>
      <c r="B121" s="265">
        <v>0</v>
      </c>
      <c r="C121" s="680" t="s">
        <v>620</v>
      </c>
      <c r="D121" s="266" t="s">
        <v>621</v>
      </c>
      <c r="E121" s="265" t="s">
        <v>37</v>
      </c>
      <c r="F121" s="267">
        <v>0</v>
      </c>
      <c r="G121" s="268">
        <f>AVERAGE(R115:R120)</f>
        <v>1.5</v>
      </c>
      <c r="H121" s="268">
        <f>'5.Tiên lượng'!V46</f>
        <v>1</v>
      </c>
      <c r="I121" s="268">
        <f>PRODUCT(F113,G121,H121)</f>
        <v>1350.0539999999999</v>
      </c>
      <c r="J121" s="283">
        <f>(G115*J115+G116*J116+G117*J117+G118*J118+G119*J119+G120*J120)/100</f>
        <v>9197.6323245489366</v>
      </c>
      <c r="K121" s="283">
        <f t="shared" si="45"/>
        <v>13796.448486823405</v>
      </c>
      <c r="L121" s="283">
        <f>(G115*L115+G116*L116+G117*L117+G118*L118+G119*L119+G120*L120)/100</f>
        <v>10821.108749999999</v>
      </c>
      <c r="M121" s="284">
        <f t="shared" si="46"/>
        <v>16231.663124999999</v>
      </c>
      <c r="N121" s="284">
        <v>0</v>
      </c>
      <c r="O121" s="284">
        <v>0</v>
      </c>
      <c r="P121" s="284">
        <f>(G115*P115+G116*P116+G117*P117+G118*P118+G119*P119+G120*P120)/100</f>
        <v>12260.947483338579</v>
      </c>
      <c r="Q121" s="284">
        <f t="shared" si="47"/>
        <v>18391.421225007871</v>
      </c>
      <c r="R121" s="287">
        <v>0</v>
      </c>
    </row>
    <row r="122" spans="1:18">
      <c r="A122" s="240"/>
      <c r="B122" s="260">
        <v>0</v>
      </c>
      <c r="C122" s="261" t="s">
        <v>590</v>
      </c>
      <c r="D122" s="262" t="s">
        <v>265</v>
      </c>
      <c r="E122" s="260"/>
      <c r="F122" s="263">
        <v>0</v>
      </c>
      <c r="G122" s="264">
        <v>0</v>
      </c>
      <c r="H122" s="264"/>
      <c r="I122" s="264">
        <v>0</v>
      </c>
      <c r="J122" s="281">
        <v>0</v>
      </c>
      <c r="K122" s="281">
        <f>SUM(K123:K123)</f>
        <v>304551</v>
      </c>
      <c r="L122" s="281">
        <v>0</v>
      </c>
      <c r="M122" s="282">
        <f>SUM(M123:M123)</f>
        <v>332910</v>
      </c>
      <c r="N122" s="282">
        <v>0</v>
      </c>
      <c r="O122" s="282">
        <v>0</v>
      </c>
      <c r="P122" s="282">
        <v>0</v>
      </c>
      <c r="Q122" s="282">
        <f>SUM(Q123:Q123)</f>
        <v>332910</v>
      </c>
      <c r="R122" s="287">
        <v>0</v>
      </c>
    </row>
    <row r="123" spans="1:18">
      <c r="A123" s="246"/>
      <c r="B123" s="265">
        <v>0</v>
      </c>
      <c r="C123" s="680" t="s">
        <v>622</v>
      </c>
      <c r="D123" s="266" t="str">
        <f>" - "&amp;'Giá NC'!E9</f>
        <v xml:space="preserve"> - Nhân công bậc 3,5/7 - Nhóm 2</v>
      </c>
      <c r="E123" s="265" t="str">
        <f>'Giá NC'!F9</f>
        <v>công</v>
      </c>
      <c r="F123" s="267">
        <v>0</v>
      </c>
      <c r="G123" s="268">
        <v>1.37</v>
      </c>
      <c r="H123" s="268">
        <f>'5.Tiên lượng'!W46</f>
        <v>0.9</v>
      </c>
      <c r="I123" s="268">
        <f>PRODUCT(F113,G123,H123)</f>
        <v>1109.7443880000001</v>
      </c>
      <c r="J123" s="283">
        <f>'Giá NC'!G9</f>
        <v>247000</v>
      </c>
      <c r="K123" s="283">
        <f>PRODUCT(G123,H123,J123)</f>
        <v>304551</v>
      </c>
      <c r="L123" s="283">
        <f>'Giá NC'!H9</f>
        <v>270000</v>
      </c>
      <c r="M123" s="284">
        <f>PRODUCT(G123,H123,L123)</f>
        <v>332910</v>
      </c>
      <c r="N123" s="284">
        <v>0</v>
      </c>
      <c r="O123" s="284">
        <v>0</v>
      </c>
      <c r="P123" s="284">
        <f>'Giá NC'!K9</f>
        <v>270000</v>
      </c>
      <c r="Q123" s="284">
        <f>PRODUCT(G123,H123,P123)</f>
        <v>332910</v>
      </c>
      <c r="R123" s="287">
        <v>0</v>
      </c>
    </row>
    <row r="124" spans="1:18">
      <c r="A124" s="240"/>
      <c r="B124" s="260">
        <v>0</v>
      </c>
      <c r="C124" s="261" t="s">
        <v>590</v>
      </c>
      <c r="D124" s="262" t="s">
        <v>267</v>
      </c>
      <c r="E124" s="260"/>
      <c r="F124" s="263">
        <v>0</v>
      </c>
      <c r="G124" s="264">
        <v>0</v>
      </c>
      <c r="H124" s="264"/>
      <c r="I124" s="264">
        <v>0</v>
      </c>
      <c r="J124" s="281">
        <v>0</v>
      </c>
      <c r="K124" s="281">
        <f>SUM(K125:K128)</f>
        <v>76017.512664183596</v>
      </c>
      <c r="L124" s="281">
        <v>0</v>
      </c>
      <c r="M124" s="282">
        <f>SUM(M125:M128)</f>
        <v>75890.930459999989</v>
      </c>
      <c r="N124" s="282">
        <v>0</v>
      </c>
      <c r="O124" s="282">
        <v>0</v>
      </c>
      <c r="P124" s="282">
        <v>0</v>
      </c>
      <c r="Q124" s="282">
        <f>SUM(Q125:Q128)</f>
        <v>82287.912777365709</v>
      </c>
      <c r="R124" s="287">
        <v>0</v>
      </c>
    </row>
    <row r="125" spans="1:18">
      <c r="A125" s="246"/>
      <c r="B125" s="265">
        <v>0</v>
      </c>
      <c r="C125" s="680" t="s">
        <v>623</v>
      </c>
      <c r="D125" s="266" t="str">
        <f>" - "&amp;'Giá Máy'!E27</f>
        <v xml:space="preserve"> - Máy trộn bê tông 250 lít</v>
      </c>
      <c r="E125" s="265" t="str">
        <f>'Giá Máy'!F27</f>
        <v>ca</v>
      </c>
      <c r="F125" s="267">
        <v>0</v>
      </c>
      <c r="G125" s="268">
        <v>9.5000000000000001E-2</v>
      </c>
      <c r="H125" s="268">
        <f>'5.Tiên lượng'!X46</f>
        <v>1</v>
      </c>
      <c r="I125" s="268">
        <f>PRODUCT(F113,G125,H125)</f>
        <v>85.503419999999991</v>
      </c>
      <c r="J125" s="283">
        <f>'Giá Máy'!G27</f>
        <v>303162.31046000001</v>
      </c>
      <c r="K125" s="283">
        <f t="shared" ref="K125:K128" si="48">PRODUCT(G125,H125,J125)</f>
        <v>28800.419493699999</v>
      </c>
      <c r="L125" s="283">
        <f>'Giá Máy'!H27</f>
        <v>302516</v>
      </c>
      <c r="M125" s="284">
        <f t="shared" ref="M125:M128" si="49">PRODUCT(G125,H125,L125)</f>
        <v>28739.02</v>
      </c>
      <c r="N125" s="284">
        <v>0</v>
      </c>
      <c r="O125" s="284">
        <v>0</v>
      </c>
      <c r="P125" s="284">
        <f>'Giá Máy'!O27</f>
        <v>326305.98864499998</v>
      </c>
      <c r="Q125" s="284">
        <f t="shared" ref="Q125:Q128" si="50">PRODUCT(G125,H125,P125)</f>
        <v>30999.068921274997</v>
      </c>
      <c r="R125" s="287">
        <v>2</v>
      </c>
    </row>
    <row r="126" spans="1:18">
      <c r="A126" s="246"/>
      <c r="B126" s="265">
        <v>0</v>
      </c>
      <c r="C126" s="680" t="s">
        <v>624</v>
      </c>
      <c r="D126" s="266" t="str">
        <f>" - "&amp;'Giá Máy'!E10</f>
        <v xml:space="preserve"> - Máy đầm bàn 1kW</v>
      </c>
      <c r="E126" s="265" t="str">
        <f>'Giá Máy'!F10</f>
        <v>ca</v>
      </c>
      <c r="F126" s="267">
        <v>0</v>
      </c>
      <c r="G126" s="268">
        <v>8.8999999999999996E-2</v>
      </c>
      <c r="H126" s="268">
        <f>'5.Tiên lượng'!X46</f>
        <v>1</v>
      </c>
      <c r="I126" s="268">
        <f>PRODUCT(F113,G126,H126)</f>
        <v>80.103203999999991</v>
      </c>
      <c r="J126" s="283">
        <f>'Giá Máy'!G10</f>
        <v>254878.35930000001</v>
      </c>
      <c r="K126" s="283">
        <f t="shared" si="48"/>
        <v>22684.1739777</v>
      </c>
      <c r="L126" s="283">
        <f>'Giá Máy'!H10</f>
        <v>254585</v>
      </c>
      <c r="M126" s="284">
        <f t="shared" si="49"/>
        <v>22658.064999999999</v>
      </c>
      <c r="N126" s="284">
        <v>0</v>
      </c>
      <c r="O126" s="284">
        <v>0</v>
      </c>
      <c r="P126" s="284">
        <f>'Giá Máy'!O10</f>
        <v>276870.75847500004</v>
      </c>
      <c r="Q126" s="284">
        <f t="shared" si="50"/>
        <v>24641.497504275001</v>
      </c>
      <c r="R126" s="287">
        <v>2</v>
      </c>
    </row>
    <row r="127" spans="1:18">
      <c r="A127" s="246"/>
      <c r="B127" s="265">
        <v>0</v>
      </c>
      <c r="C127" s="680" t="s">
        <v>625</v>
      </c>
      <c r="D127" s="266" t="str">
        <f>" - "&amp;'Giá Máy'!E12</f>
        <v xml:space="preserve"> - Máy đầm dùi 1,5kW</v>
      </c>
      <c r="E127" s="265" t="str">
        <f>'Giá Máy'!F12</f>
        <v>ca</v>
      </c>
      <c r="F127" s="267">
        <v>0</v>
      </c>
      <c r="G127" s="268">
        <v>8.8999999999999996E-2</v>
      </c>
      <c r="H127" s="268">
        <f>'5.Tiên lượng'!X46</f>
        <v>1</v>
      </c>
      <c r="I127" s="268">
        <f>PRODUCT(F113,G127,H127)</f>
        <v>80.103203999999991</v>
      </c>
      <c r="J127" s="283">
        <f>'Giá Máy'!G12</f>
        <v>258903.14301999999</v>
      </c>
      <c r="K127" s="283">
        <f t="shared" si="48"/>
        <v>23042.379728779997</v>
      </c>
      <c r="L127" s="283">
        <f>'Giá Máy'!H12</f>
        <v>258492</v>
      </c>
      <c r="M127" s="284">
        <f t="shared" si="49"/>
        <v>23005.788</v>
      </c>
      <c r="N127" s="284">
        <v>0</v>
      </c>
      <c r="O127" s="284">
        <v>0</v>
      </c>
      <c r="P127" s="284">
        <f>'Giá Máy'!O12</f>
        <v>281279.30186500004</v>
      </c>
      <c r="Q127" s="284">
        <f t="shared" si="50"/>
        <v>25033.857865985003</v>
      </c>
      <c r="R127" s="287">
        <v>2</v>
      </c>
    </row>
    <row r="128" spans="1:18">
      <c r="A128" s="251"/>
      <c r="B128" s="269">
        <v>0</v>
      </c>
      <c r="C128" s="681" t="s">
        <v>611</v>
      </c>
      <c r="D128" s="270" t="s">
        <v>612</v>
      </c>
      <c r="E128" s="269" t="s">
        <v>37</v>
      </c>
      <c r="F128" s="271">
        <v>0</v>
      </c>
      <c r="G128" s="272">
        <f>AVERAGE(R125:R127)</f>
        <v>2</v>
      </c>
      <c r="H128" s="272">
        <f>'5.Tiên lượng'!X46</f>
        <v>1</v>
      </c>
      <c r="I128" s="272">
        <f>PRODUCT(F113,G128,H128)</f>
        <v>1800.0719999999999</v>
      </c>
      <c r="J128" s="285">
        <f>(G125*J125+G126*J126+G127*J127)/100</f>
        <v>745.26973200179998</v>
      </c>
      <c r="K128" s="285">
        <f t="shared" si="48"/>
        <v>1490.5394640036</v>
      </c>
      <c r="L128" s="285">
        <f>(G125*L125+G126*L126+G127*L127)/100</f>
        <v>744.02872999999988</v>
      </c>
      <c r="M128" s="286">
        <f t="shared" si="49"/>
        <v>1488.0574599999998</v>
      </c>
      <c r="N128" s="286">
        <v>0</v>
      </c>
      <c r="O128" s="286">
        <v>0</v>
      </c>
      <c r="P128" s="286">
        <f>(G125*P125+G126*P126+G127*P127)/100</f>
        <v>806.74424291535001</v>
      </c>
      <c r="Q128" s="286">
        <f t="shared" si="50"/>
        <v>1613.4884858307</v>
      </c>
      <c r="R128" s="288">
        <v>0</v>
      </c>
    </row>
    <row r="129" spans="1:18">
      <c r="A129" s="234"/>
      <c r="B129" s="256">
        <v>18</v>
      </c>
      <c r="C129" s="234" t="str">
        <f>'5.Tiên lượng'!C49</f>
        <v>AL.16201</v>
      </c>
      <c r="D129" s="257" t="str">
        <f>'5.Tiên lượng'!D49</f>
        <v>Ni lông chống thấm</v>
      </c>
      <c r="E129" s="256" t="str">
        <f>'5.Tiên lượng'!E49</f>
        <v>100m2</v>
      </c>
      <c r="F129" s="258">
        <f>'5.Tiên lượng'!M49</f>
        <v>45.001800000000003</v>
      </c>
      <c r="G129" s="259">
        <v>0</v>
      </c>
      <c r="H129" s="259">
        <v>0</v>
      </c>
      <c r="I129" s="259">
        <v>0</v>
      </c>
      <c r="J129" s="279">
        <v>0</v>
      </c>
      <c r="K129" s="279">
        <v>0</v>
      </c>
      <c r="L129" s="279">
        <v>0</v>
      </c>
      <c r="M129" s="280">
        <v>0</v>
      </c>
      <c r="N129" s="280">
        <v>0</v>
      </c>
      <c r="O129" s="280">
        <v>0</v>
      </c>
      <c r="P129" s="280">
        <v>0</v>
      </c>
      <c r="Q129" s="280">
        <v>0</v>
      </c>
      <c r="R129" s="222">
        <v>0</v>
      </c>
    </row>
    <row r="130" spans="1:18">
      <c r="A130" s="240"/>
      <c r="B130" s="260">
        <v>0</v>
      </c>
      <c r="C130" s="261" t="s">
        <v>590</v>
      </c>
      <c r="D130" s="262" t="s">
        <v>262</v>
      </c>
      <c r="E130" s="260"/>
      <c r="F130" s="263">
        <v>0</v>
      </c>
      <c r="G130" s="264">
        <v>0</v>
      </c>
      <c r="H130" s="264"/>
      <c r="I130" s="264">
        <v>0</v>
      </c>
      <c r="J130" s="281">
        <v>0</v>
      </c>
      <c r="K130" s="281">
        <f>SUM(K131:K132)</f>
        <v>220440</v>
      </c>
      <c r="L130" s="281">
        <v>0</v>
      </c>
      <c r="M130" s="282">
        <f>SUM(M131:M132)</f>
        <v>220440</v>
      </c>
      <c r="N130" s="282">
        <v>0</v>
      </c>
      <c r="O130" s="282">
        <v>0</v>
      </c>
      <c r="P130" s="282">
        <v>0</v>
      </c>
      <c r="Q130" s="282">
        <f>SUM(Q131:Q132)</f>
        <v>220440</v>
      </c>
      <c r="R130" s="287">
        <v>0</v>
      </c>
    </row>
    <row r="131" spans="1:18">
      <c r="A131" s="246"/>
      <c r="B131" s="265">
        <v>0</v>
      </c>
      <c r="C131" s="680" t="s">
        <v>626</v>
      </c>
      <c r="D131" s="266" t="str">
        <f>" - "&amp;'Giá VL'!E24</f>
        <v xml:space="preserve"> - Ni Lông</v>
      </c>
      <c r="E131" s="265" t="str">
        <f>'Giá VL'!F24</f>
        <v>m2</v>
      </c>
      <c r="F131" s="267">
        <v>0</v>
      </c>
      <c r="G131" s="268">
        <v>110</v>
      </c>
      <c r="H131" s="268">
        <f>'5.Tiên lượng'!V49</f>
        <v>1</v>
      </c>
      <c r="I131" s="268">
        <f>PRODUCT(F129,G131,H131)</f>
        <v>4950.1980000000003</v>
      </c>
      <c r="J131" s="283">
        <f>'Giá VL'!G24</f>
        <v>2000</v>
      </c>
      <c r="K131" s="283">
        <f t="shared" ref="K131:K132" si="51">PRODUCT(G131,H131,J131)</f>
        <v>220000</v>
      </c>
      <c r="L131" s="283">
        <f>'Giá VL'!J24</f>
        <v>2000</v>
      </c>
      <c r="M131" s="284">
        <f t="shared" ref="M131:M132" si="52">PRODUCT(G131,H131,L131)</f>
        <v>220000</v>
      </c>
      <c r="N131" s="284">
        <v>0</v>
      </c>
      <c r="O131" s="284">
        <v>0</v>
      </c>
      <c r="P131" s="284">
        <f>'Giá VL'!V24</f>
        <v>2000</v>
      </c>
      <c r="Q131" s="284">
        <f t="shared" ref="Q131:Q132" si="53">PRODUCT(G131,H131,P131)</f>
        <v>220000</v>
      </c>
      <c r="R131" s="287">
        <v>0.2</v>
      </c>
    </row>
    <row r="132" spans="1:18">
      <c r="A132" s="246"/>
      <c r="B132" s="265">
        <v>0</v>
      </c>
      <c r="C132" s="680" t="s">
        <v>620</v>
      </c>
      <c r="D132" s="266" t="s">
        <v>621</v>
      </c>
      <c r="E132" s="265" t="s">
        <v>37</v>
      </c>
      <c r="F132" s="267">
        <v>0</v>
      </c>
      <c r="G132" s="268">
        <f>AVERAGE(R131:R131)</f>
        <v>0.2</v>
      </c>
      <c r="H132" s="268">
        <f>'5.Tiên lượng'!V49</f>
        <v>1</v>
      </c>
      <c r="I132" s="268">
        <f>PRODUCT(F129,G132,H132)</f>
        <v>9.0003600000000006</v>
      </c>
      <c r="J132" s="283">
        <f>(G131*J131)/100</f>
        <v>2200</v>
      </c>
      <c r="K132" s="283">
        <f t="shared" si="51"/>
        <v>440</v>
      </c>
      <c r="L132" s="283">
        <f>(G131*L131)/100</f>
        <v>2200</v>
      </c>
      <c r="M132" s="284">
        <f t="shared" si="52"/>
        <v>440</v>
      </c>
      <c r="N132" s="284">
        <v>0</v>
      </c>
      <c r="O132" s="284">
        <v>0</v>
      </c>
      <c r="P132" s="284">
        <f>(G131*P131)/100</f>
        <v>2200</v>
      </c>
      <c r="Q132" s="284">
        <f t="shared" si="53"/>
        <v>440</v>
      </c>
      <c r="R132" s="287">
        <v>0</v>
      </c>
    </row>
    <row r="133" spans="1:18">
      <c r="A133" s="240"/>
      <c r="B133" s="260">
        <v>0</v>
      </c>
      <c r="C133" s="261" t="s">
        <v>590</v>
      </c>
      <c r="D133" s="262" t="s">
        <v>265</v>
      </c>
      <c r="E133" s="260"/>
      <c r="F133" s="263">
        <v>0</v>
      </c>
      <c r="G133" s="264">
        <v>0</v>
      </c>
      <c r="H133" s="264"/>
      <c r="I133" s="264">
        <v>0</v>
      </c>
      <c r="J133" s="281">
        <v>0</v>
      </c>
      <c r="K133" s="281">
        <f>SUM(K134:K134)</f>
        <v>37050</v>
      </c>
      <c r="L133" s="281">
        <v>0</v>
      </c>
      <c r="M133" s="282">
        <f>SUM(M134:M134)</f>
        <v>40500</v>
      </c>
      <c r="N133" s="282">
        <v>0</v>
      </c>
      <c r="O133" s="282">
        <v>0</v>
      </c>
      <c r="P133" s="282">
        <v>0</v>
      </c>
      <c r="Q133" s="282">
        <f>SUM(Q134:Q134)</f>
        <v>40500</v>
      </c>
      <c r="R133" s="287">
        <v>0</v>
      </c>
    </row>
    <row r="134" spans="1:18">
      <c r="A134" s="251"/>
      <c r="B134" s="269">
        <v>0</v>
      </c>
      <c r="C134" s="681" t="s">
        <v>622</v>
      </c>
      <c r="D134" s="270" t="str">
        <f>" - "&amp;'Giá NC'!E9</f>
        <v xml:space="preserve"> - Nhân công bậc 3,5/7 - Nhóm 2</v>
      </c>
      <c r="E134" s="269" t="str">
        <f>'Giá NC'!F9</f>
        <v>công</v>
      </c>
      <c r="F134" s="271">
        <v>0</v>
      </c>
      <c r="G134" s="272">
        <v>0.15</v>
      </c>
      <c r="H134" s="272">
        <f>'5.Tiên lượng'!W49</f>
        <v>1</v>
      </c>
      <c r="I134" s="272">
        <f>PRODUCT(F129,G134,H134)</f>
        <v>6.7502700000000004</v>
      </c>
      <c r="J134" s="285">
        <f>'Giá NC'!G9</f>
        <v>247000</v>
      </c>
      <c r="K134" s="285">
        <f>PRODUCT(G134,H134,J134)</f>
        <v>37050</v>
      </c>
      <c r="L134" s="285">
        <f>'Giá NC'!H9</f>
        <v>270000</v>
      </c>
      <c r="M134" s="286">
        <f>PRODUCT(G134,H134,L134)</f>
        <v>40500</v>
      </c>
      <c r="N134" s="286">
        <v>0</v>
      </c>
      <c r="O134" s="286">
        <v>0</v>
      </c>
      <c r="P134" s="286">
        <f>'Giá NC'!K9</f>
        <v>270000</v>
      </c>
      <c r="Q134" s="286">
        <f>PRODUCT(G134,H134,P134)</f>
        <v>40500</v>
      </c>
      <c r="R134" s="288">
        <v>0</v>
      </c>
    </row>
    <row r="135" spans="1:18">
      <c r="A135" s="234"/>
      <c r="B135" s="256">
        <v>19</v>
      </c>
      <c r="C135" s="234" t="str">
        <f>'5.Tiên lượng'!C51</f>
        <v>AD.11212</v>
      </c>
      <c r="D135" s="257" t="str">
        <f>'5.Tiên lượng'!D51</f>
        <v xml:space="preserve">Thi công móng cấp phối đá dăm lớp dưới </v>
      </c>
      <c r="E135" s="256" t="str">
        <f>'5.Tiên lượng'!E51</f>
        <v>100m3</v>
      </c>
      <c r="F135" s="258">
        <f>'5.Tiên lượng'!M51</f>
        <v>1.3379759999999998</v>
      </c>
      <c r="G135" s="259">
        <v>0</v>
      </c>
      <c r="H135" s="259">
        <v>0</v>
      </c>
      <c r="I135" s="259">
        <v>0</v>
      </c>
      <c r="J135" s="279">
        <v>0</v>
      </c>
      <c r="K135" s="279">
        <v>0</v>
      </c>
      <c r="L135" s="279">
        <v>0</v>
      </c>
      <c r="M135" s="280">
        <v>0</v>
      </c>
      <c r="N135" s="280">
        <v>0</v>
      </c>
      <c r="O135" s="280">
        <v>0</v>
      </c>
      <c r="P135" s="280">
        <v>0</v>
      </c>
      <c r="Q135" s="280">
        <v>0</v>
      </c>
      <c r="R135" s="222">
        <v>0</v>
      </c>
    </row>
    <row r="136" spans="1:18">
      <c r="A136" s="240"/>
      <c r="B136" s="260">
        <v>0</v>
      </c>
      <c r="C136" s="261" t="s">
        <v>590</v>
      </c>
      <c r="D136" s="262" t="s">
        <v>262</v>
      </c>
      <c r="E136" s="260"/>
      <c r="F136" s="263">
        <v>0</v>
      </c>
      <c r="G136" s="264">
        <v>0</v>
      </c>
      <c r="H136" s="264"/>
      <c r="I136" s="264">
        <v>0</v>
      </c>
      <c r="J136" s="281">
        <v>0</v>
      </c>
      <c r="K136" s="281">
        <f>SUM(K137:K137)</f>
        <v>12060000</v>
      </c>
      <c r="L136" s="281">
        <v>0</v>
      </c>
      <c r="M136" s="282">
        <f>SUM(M137:M137)</f>
        <v>22780000</v>
      </c>
      <c r="N136" s="282">
        <v>0</v>
      </c>
      <c r="O136" s="282">
        <v>0</v>
      </c>
      <c r="P136" s="282">
        <v>0</v>
      </c>
      <c r="Q136" s="282">
        <f>SUM(Q137:Q137)</f>
        <v>32221379.337286752</v>
      </c>
      <c r="R136" s="287">
        <v>0</v>
      </c>
    </row>
    <row r="137" spans="1:18">
      <c r="A137" s="246"/>
      <c r="B137" s="265">
        <v>0</v>
      </c>
      <c r="C137" s="680" t="s">
        <v>604</v>
      </c>
      <c r="D137" s="266" t="str">
        <f>" - "&amp;'Giá VL'!E13</f>
        <v xml:space="preserve"> - Cấp phối đá dăm loại 2</v>
      </c>
      <c r="E137" s="265" t="str">
        <f>'Giá VL'!F13</f>
        <v>m3</v>
      </c>
      <c r="F137" s="267">
        <v>0</v>
      </c>
      <c r="G137" s="268">
        <v>134</v>
      </c>
      <c r="H137" s="268">
        <f>'5.Tiên lượng'!V51</f>
        <v>1</v>
      </c>
      <c r="I137" s="268">
        <f>PRODUCT(F135,G137,H137)</f>
        <v>179.28878399999996</v>
      </c>
      <c r="J137" s="283">
        <f>'Giá VL'!G13</f>
        <v>90000</v>
      </c>
      <c r="K137" s="283">
        <f>PRODUCT(G137,H137,J137)</f>
        <v>12060000</v>
      </c>
      <c r="L137" s="283">
        <f>'Giá VL'!J13</f>
        <v>170000</v>
      </c>
      <c r="M137" s="284">
        <f>PRODUCT(G137,H137,L137)</f>
        <v>22780000</v>
      </c>
      <c r="N137" s="284">
        <v>0</v>
      </c>
      <c r="O137" s="284">
        <v>0</v>
      </c>
      <c r="P137" s="284">
        <f>'Giá VL'!V13</f>
        <v>240458.05475587127</v>
      </c>
      <c r="Q137" s="284">
        <f>PRODUCT(G137,H137,P137)</f>
        <v>32221379.337286752</v>
      </c>
      <c r="R137" s="287">
        <v>0</v>
      </c>
    </row>
    <row r="138" spans="1:18">
      <c r="A138" s="240"/>
      <c r="B138" s="260">
        <v>0</v>
      </c>
      <c r="C138" s="261" t="s">
        <v>590</v>
      </c>
      <c r="D138" s="262" t="s">
        <v>265</v>
      </c>
      <c r="E138" s="260"/>
      <c r="F138" s="263">
        <v>0</v>
      </c>
      <c r="G138" s="264">
        <v>0</v>
      </c>
      <c r="H138" s="264"/>
      <c r="I138" s="264">
        <v>0</v>
      </c>
      <c r="J138" s="281">
        <v>0</v>
      </c>
      <c r="K138" s="281">
        <f>SUM(K139:K139)</f>
        <v>704730</v>
      </c>
      <c r="L138" s="281">
        <v>0</v>
      </c>
      <c r="M138" s="282">
        <f>SUM(M139:M139)</f>
        <v>770352.96000000008</v>
      </c>
      <c r="N138" s="282">
        <v>0</v>
      </c>
      <c r="O138" s="282">
        <v>0</v>
      </c>
      <c r="P138" s="282">
        <v>0</v>
      </c>
      <c r="Q138" s="282">
        <f>SUM(Q139:Q139)</f>
        <v>770352.96000000008</v>
      </c>
      <c r="R138" s="287">
        <v>0</v>
      </c>
    </row>
    <row r="139" spans="1:18">
      <c r="A139" s="246"/>
      <c r="B139" s="265">
        <v>0</v>
      </c>
      <c r="C139" s="680" t="s">
        <v>605</v>
      </c>
      <c r="D139" s="266" t="str">
        <f>" - "&amp;'Giá NC'!E8</f>
        <v xml:space="preserve"> - Nhân công bậc 3,0/7 - Nhóm 2</v>
      </c>
      <c r="E139" s="265" t="str">
        <f>'Giá NC'!F8</f>
        <v>công</v>
      </c>
      <c r="F139" s="267">
        <v>0</v>
      </c>
      <c r="G139" s="268">
        <v>3.12</v>
      </c>
      <c r="H139" s="268">
        <f>'5.Tiên lượng'!W51</f>
        <v>1</v>
      </c>
      <c r="I139" s="268">
        <f>PRODUCT(F135,G139,H139)</f>
        <v>4.1744851199999999</v>
      </c>
      <c r="J139" s="283">
        <f>'Giá NC'!G8</f>
        <v>225875</v>
      </c>
      <c r="K139" s="283">
        <f>PRODUCT(G139,H139,J139)</f>
        <v>704730</v>
      </c>
      <c r="L139" s="283">
        <f>'Giá NC'!H8</f>
        <v>246908</v>
      </c>
      <c r="M139" s="284">
        <f>PRODUCT(G139,H139,L139)</f>
        <v>770352.96000000008</v>
      </c>
      <c r="N139" s="284">
        <v>0</v>
      </c>
      <c r="O139" s="284">
        <v>0</v>
      </c>
      <c r="P139" s="284">
        <f>'Giá NC'!K8</f>
        <v>246908</v>
      </c>
      <c r="Q139" s="284">
        <f>PRODUCT(G139,H139,P139)</f>
        <v>770352.96000000008</v>
      </c>
      <c r="R139" s="287">
        <v>0</v>
      </c>
    </row>
    <row r="140" spans="1:18">
      <c r="A140" s="240"/>
      <c r="B140" s="260">
        <v>0</v>
      </c>
      <c r="C140" s="261" t="s">
        <v>590</v>
      </c>
      <c r="D140" s="262" t="s">
        <v>267</v>
      </c>
      <c r="E140" s="260"/>
      <c r="F140" s="263">
        <v>0</v>
      </c>
      <c r="G140" s="264">
        <v>0</v>
      </c>
      <c r="H140" s="264"/>
      <c r="I140" s="264">
        <v>0</v>
      </c>
      <c r="J140" s="281">
        <v>0</v>
      </c>
      <c r="K140" s="281">
        <f>SUM(K141:K146)</f>
        <v>2313287.7064239779</v>
      </c>
      <c r="L140" s="281">
        <v>0</v>
      </c>
      <c r="M140" s="282">
        <f>SUM(M141:M146)</f>
        <v>198171.84959999999</v>
      </c>
      <c r="N140" s="282">
        <v>0</v>
      </c>
      <c r="O140" s="282">
        <v>0</v>
      </c>
      <c r="P140" s="282">
        <v>0</v>
      </c>
      <c r="Q140" s="282">
        <f>SUM(Q141:Q146)</f>
        <v>2369565.459726376</v>
      </c>
      <c r="R140" s="287">
        <v>0</v>
      </c>
    </row>
    <row r="141" spans="1:18">
      <c r="A141" s="246"/>
      <c r="B141" s="265">
        <v>0</v>
      </c>
      <c r="C141" s="680" t="s">
        <v>606</v>
      </c>
      <c r="D141" s="266" t="str">
        <f>" - "&amp;'Giá Máy'!E24</f>
        <v xml:space="preserve"> - Máy rải cấp phối đá dăm 50 - 60m3/h</v>
      </c>
      <c r="E141" s="265" t="str">
        <f>'Giá Máy'!F24</f>
        <v>ca</v>
      </c>
      <c r="F141" s="267">
        <v>0</v>
      </c>
      <c r="G141" s="268">
        <v>0.21</v>
      </c>
      <c r="H141" s="268">
        <f>'5.Tiên lượng'!X51</f>
        <v>1</v>
      </c>
      <c r="I141" s="268">
        <f>PRODUCT(F135,G141,H141)</f>
        <v>0.28097495999999994</v>
      </c>
      <c r="J141" s="283">
        <f>'Giá Máy'!G24</f>
        <v>3528139.6955555598</v>
      </c>
      <c r="K141" s="283">
        <f t="shared" ref="K141:K146" si="54">PRODUCT(G141,H141,J141)</f>
        <v>740909.33606666757</v>
      </c>
      <c r="L141" s="283">
        <f>'Giá Máy'!H24</f>
        <v>0</v>
      </c>
      <c r="M141" s="284">
        <f t="shared" ref="M141:M146" si="55">PRODUCT(G141,H141,L141)</f>
        <v>0</v>
      </c>
      <c r="N141" s="284">
        <v>0</v>
      </c>
      <c r="O141" s="284">
        <v>0</v>
      </c>
      <c r="P141" s="284">
        <f>'Giá Máy'!O24</f>
        <v>3572483.6555555556</v>
      </c>
      <c r="Q141" s="284">
        <f t="shared" ref="Q141:Q146" si="56">PRODUCT(G141,H141,P141)</f>
        <v>750221.5676666667</v>
      </c>
      <c r="R141" s="287">
        <v>0.5</v>
      </c>
    </row>
    <row r="142" spans="1:18">
      <c r="A142" s="246"/>
      <c r="B142" s="265">
        <v>0</v>
      </c>
      <c r="C142" s="680" t="s">
        <v>607</v>
      </c>
      <c r="D142" s="266" t="str">
        <f>" - "&amp;'Giá Máy'!E19</f>
        <v xml:space="preserve"> - Máy lu rung tự hành 25T</v>
      </c>
      <c r="E142" s="265" t="str">
        <f>'Giá Máy'!F19</f>
        <v>ca</v>
      </c>
      <c r="F142" s="267">
        <v>0</v>
      </c>
      <c r="G142" s="268">
        <v>0.32</v>
      </c>
      <c r="H142" s="268">
        <f>'5.Tiên lượng'!X51</f>
        <v>1</v>
      </c>
      <c r="I142" s="268">
        <f>PRODUCT(F135,G142,H142)</f>
        <v>0.42815231999999998</v>
      </c>
      <c r="J142" s="283">
        <f>'Giá Máy'!G19</f>
        <v>2717265.9248888898</v>
      </c>
      <c r="K142" s="283">
        <f t="shared" si="54"/>
        <v>869525.0959644448</v>
      </c>
      <c r="L142" s="283">
        <f>'Giá Máy'!H19</f>
        <v>0</v>
      </c>
      <c r="M142" s="284">
        <f t="shared" si="55"/>
        <v>0</v>
      </c>
      <c r="N142" s="284">
        <v>0</v>
      </c>
      <c r="O142" s="284">
        <v>0</v>
      </c>
      <c r="P142" s="284">
        <f>'Giá Máy'!O19</f>
        <v>2794294.0688888887</v>
      </c>
      <c r="Q142" s="284">
        <f t="shared" si="56"/>
        <v>894174.10204444441</v>
      </c>
      <c r="R142" s="287">
        <v>0.5</v>
      </c>
    </row>
    <row r="143" spans="1:18">
      <c r="A143" s="246"/>
      <c r="B143" s="265">
        <v>0</v>
      </c>
      <c r="C143" s="680" t="s">
        <v>608</v>
      </c>
      <c r="D143" s="266" t="str">
        <f>" - "&amp;'Giá Máy'!E38</f>
        <v xml:space="preserve"> - Máy lu bánh hơi tự hành 16T</v>
      </c>
      <c r="E143" s="265" t="str">
        <f>'Giá Máy'!F38</f>
        <v>ca</v>
      </c>
      <c r="F143" s="267">
        <v>0</v>
      </c>
      <c r="G143" s="268">
        <v>0.12</v>
      </c>
      <c r="H143" s="268">
        <f>'5.Tiên lượng'!X51</f>
        <v>1</v>
      </c>
      <c r="I143" s="268">
        <f>PRODUCT(F135,G143,H143)</f>
        <v>0.16055711999999997</v>
      </c>
      <c r="J143" s="283">
        <f>'Giá Máy'!G38</f>
        <v>1498752.32622222</v>
      </c>
      <c r="K143" s="283">
        <f t="shared" si="54"/>
        <v>179850.27914666638</v>
      </c>
      <c r="L143" s="283">
        <f>'Giá Máy'!H38</f>
        <v>1643216</v>
      </c>
      <c r="M143" s="284">
        <f t="shared" si="55"/>
        <v>197185.91999999998</v>
      </c>
      <c r="N143" s="284">
        <v>0</v>
      </c>
      <c r="O143" s="284">
        <v>0</v>
      </c>
      <c r="P143" s="284">
        <f>'Giá Máy'!O38</f>
        <v>1553246.5422222223</v>
      </c>
      <c r="Q143" s="284">
        <f t="shared" si="56"/>
        <v>186389.58506666668</v>
      </c>
      <c r="R143" s="287">
        <v>0.5</v>
      </c>
    </row>
    <row r="144" spans="1:18">
      <c r="A144" s="246"/>
      <c r="B144" s="265">
        <v>0</v>
      </c>
      <c r="C144" s="680" t="s">
        <v>609</v>
      </c>
      <c r="D144" s="266" t="str">
        <f>" - "&amp;'Giá Máy'!E17</f>
        <v xml:space="preserve"> - Máy lu bánh thép 10T</v>
      </c>
      <c r="E144" s="265" t="str">
        <f>'Giá Máy'!F17</f>
        <v>ca</v>
      </c>
      <c r="F144" s="267">
        <v>0</v>
      </c>
      <c r="G144" s="268">
        <v>0.26</v>
      </c>
      <c r="H144" s="268">
        <f>'5.Tiên lượng'!X51</f>
        <v>1</v>
      </c>
      <c r="I144" s="268">
        <f>PRODUCT(F135,G144,H144)</f>
        <v>0.34787375999999998</v>
      </c>
      <c r="J144" s="283">
        <f>'Giá Máy'!G17</f>
        <v>1086987.4154074099</v>
      </c>
      <c r="K144" s="283">
        <f t="shared" si="54"/>
        <v>282616.72800592659</v>
      </c>
      <c r="L144" s="283">
        <f>'Giá Máy'!H17</f>
        <v>0</v>
      </c>
      <c r="M144" s="284">
        <f t="shared" si="55"/>
        <v>0</v>
      </c>
      <c r="N144" s="284">
        <v>0</v>
      </c>
      <c r="O144" s="284">
        <v>0</v>
      </c>
      <c r="P144" s="284">
        <f>'Giá Máy'!O17</f>
        <v>1132157.2474074075</v>
      </c>
      <c r="Q144" s="284">
        <f t="shared" si="56"/>
        <v>294360.88432592596</v>
      </c>
      <c r="R144" s="287">
        <v>0.5</v>
      </c>
    </row>
    <row r="145" spans="1:18">
      <c r="A145" s="246"/>
      <c r="B145" s="265">
        <v>0</v>
      </c>
      <c r="C145" s="680" t="s">
        <v>610</v>
      </c>
      <c r="D145" s="266" t="str">
        <f>" - "&amp;'Giá Máy'!E33</f>
        <v xml:space="preserve"> - Ô tô tưới nước 5m3</v>
      </c>
      <c r="E145" s="265" t="str">
        <f>'Giá Máy'!F33</f>
        <v>ca</v>
      </c>
      <c r="F145" s="267">
        <v>0</v>
      </c>
      <c r="G145" s="268">
        <v>0.21</v>
      </c>
      <c r="H145" s="268">
        <f>'5.Tiên lượng'!X51</f>
        <v>1</v>
      </c>
      <c r="I145" s="268">
        <f>PRODUCT(F135,G145,H145)</f>
        <v>0.28097495999999994</v>
      </c>
      <c r="J145" s="283">
        <f>'Giá Máy'!G33</f>
        <v>1089892.2532307699</v>
      </c>
      <c r="K145" s="283">
        <f t="shared" si="54"/>
        <v>228877.37317846165</v>
      </c>
      <c r="L145" s="283">
        <f>'Giá Máy'!H33</f>
        <v>0</v>
      </c>
      <c r="M145" s="284">
        <f t="shared" si="55"/>
        <v>0</v>
      </c>
      <c r="N145" s="284">
        <v>0</v>
      </c>
      <c r="O145" s="284">
        <v>0</v>
      </c>
      <c r="P145" s="284">
        <f>'Giá Máy'!O33</f>
        <v>1107763.9892307692</v>
      </c>
      <c r="Q145" s="284">
        <f t="shared" si="56"/>
        <v>232630.43773846154</v>
      </c>
      <c r="R145" s="287">
        <v>0.5</v>
      </c>
    </row>
    <row r="146" spans="1:18">
      <c r="A146" s="251"/>
      <c r="B146" s="269">
        <v>0</v>
      </c>
      <c r="C146" s="681" t="s">
        <v>611</v>
      </c>
      <c r="D146" s="270" t="s">
        <v>612</v>
      </c>
      <c r="E146" s="269" t="s">
        <v>37</v>
      </c>
      <c r="F146" s="271">
        <v>0</v>
      </c>
      <c r="G146" s="272">
        <f>AVERAGE(R141:R145)</f>
        <v>0.5</v>
      </c>
      <c r="H146" s="272">
        <f>'5.Tiên lượng'!X51</f>
        <v>1</v>
      </c>
      <c r="I146" s="272">
        <f>PRODUCT(F135,G146,H146)</f>
        <v>0.66898799999999992</v>
      </c>
      <c r="J146" s="285">
        <f>(G141*J141+G142*J142+G143*J143+G144*J144+G145*J145)/100</f>
        <v>23017.788123621671</v>
      </c>
      <c r="K146" s="285">
        <f t="shared" si="54"/>
        <v>11508.894061810835</v>
      </c>
      <c r="L146" s="285">
        <f>(G141*L141+G142*L142+G143*L143+G144*L144+G145*L145)/100</f>
        <v>1971.8591999999999</v>
      </c>
      <c r="M146" s="286">
        <f t="shared" si="55"/>
        <v>985.92959999999994</v>
      </c>
      <c r="N146" s="286">
        <v>0</v>
      </c>
      <c r="O146" s="286">
        <v>0</v>
      </c>
      <c r="P146" s="286">
        <f>(G141*P141+G142*P142+G143*P143+G144*P144+G145*P145)/100</f>
        <v>23577.76576842165</v>
      </c>
      <c r="Q146" s="286">
        <f t="shared" si="56"/>
        <v>11788.882884210825</v>
      </c>
      <c r="R146" s="288">
        <v>0</v>
      </c>
    </row>
    <row r="147" spans="1:18">
      <c r="A147" s="234"/>
      <c r="B147" s="256">
        <v>20</v>
      </c>
      <c r="C147" s="234" t="str">
        <f>'5.Tiên lượng'!C53</f>
        <v>AD.11212</v>
      </c>
      <c r="D147" s="257" t="str">
        <f>'5.Tiên lượng'!D53</f>
        <v xml:space="preserve">Thi công móng cấp phối đá dăm lớp dưới </v>
      </c>
      <c r="E147" s="256" t="str">
        <f>'5.Tiên lượng'!E53</f>
        <v>100m3</v>
      </c>
      <c r="F147" s="258">
        <f>'5.Tiên lượng'!M53</f>
        <v>1.7016</v>
      </c>
      <c r="G147" s="259">
        <v>0</v>
      </c>
      <c r="H147" s="259">
        <v>0</v>
      </c>
      <c r="I147" s="259">
        <v>0</v>
      </c>
      <c r="J147" s="279">
        <v>0</v>
      </c>
      <c r="K147" s="279">
        <v>0</v>
      </c>
      <c r="L147" s="279">
        <v>0</v>
      </c>
      <c r="M147" s="280">
        <v>0</v>
      </c>
      <c r="N147" s="280">
        <v>0</v>
      </c>
      <c r="O147" s="280">
        <v>0</v>
      </c>
      <c r="P147" s="280">
        <v>0</v>
      </c>
      <c r="Q147" s="280">
        <v>0</v>
      </c>
      <c r="R147" s="222">
        <v>0</v>
      </c>
    </row>
    <row r="148" spans="1:18">
      <c r="A148" s="240"/>
      <c r="B148" s="260">
        <v>0</v>
      </c>
      <c r="C148" s="261" t="s">
        <v>590</v>
      </c>
      <c r="D148" s="262" t="s">
        <v>262</v>
      </c>
      <c r="E148" s="260"/>
      <c r="F148" s="263">
        <v>0</v>
      </c>
      <c r="G148" s="264">
        <v>0</v>
      </c>
      <c r="H148" s="264"/>
      <c r="I148" s="264">
        <v>0</v>
      </c>
      <c r="J148" s="281">
        <v>0</v>
      </c>
      <c r="K148" s="281">
        <f>SUM(K149:K149)</f>
        <v>12060000</v>
      </c>
      <c r="L148" s="281">
        <v>0</v>
      </c>
      <c r="M148" s="282">
        <f>SUM(M149:M149)</f>
        <v>22780000</v>
      </c>
      <c r="N148" s="282">
        <v>0</v>
      </c>
      <c r="O148" s="282">
        <v>0</v>
      </c>
      <c r="P148" s="282">
        <v>0</v>
      </c>
      <c r="Q148" s="282">
        <f>SUM(Q149:Q149)</f>
        <v>32221379.337286752</v>
      </c>
      <c r="R148" s="287">
        <v>0</v>
      </c>
    </row>
    <row r="149" spans="1:18">
      <c r="A149" s="246"/>
      <c r="B149" s="265">
        <v>0</v>
      </c>
      <c r="C149" s="680" t="s">
        <v>604</v>
      </c>
      <c r="D149" s="266" t="str">
        <f>" - "&amp;'Giá VL'!E13</f>
        <v xml:space="preserve"> - Cấp phối đá dăm loại 2</v>
      </c>
      <c r="E149" s="265" t="str">
        <f>'Giá VL'!F13</f>
        <v>m3</v>
      </c>
      <c r="F149" s="267">
        <v>0</v>
      </c>
      <c r="G149" s="268">
        <v>134</v>
      </c>
      <c r="H149" s="268">
        <f>'5.Tiên lượng'!V53</f>
        <v>1</v>
      </c>
      <c r="I149" s="268">
        <f>PRODUCT(F147,G149,H149)</f>
        <v>228.01439999999999</v>
      </c>
      <c r="J149" s="283">
        <f>'Giá VL'!G13</f>
        <v>90000</v>
      </c>
      <c r="K149" s="283">
        <f>PRODUCT(G149,H149,J149)</f>
        <v>12060000</v>
      </c>
      <c r="L149" s="283">
        <f>'Giá VL'!J13</f>
        <v>170000</v>
      </c>
      <c r="M149" s="284">
        <f>PRODUCT(G149,H149,L149)</f>
        <v>22780000</v>
      </c>
      <c r="N149" s="284">
        <v>0</v>
      </c>
      <c r="O149" s="284">
        <v>0</v>
      </c>
      <c r="P149" s="284">
        <f>'Giá VL'!V13</f>
        <v>240458.05475587127</v>
      </c>
      <c r="Q149" s="284">
        <f>PRODUCT(G149,H149,P149)</f>
        <v>32221379.337286752</v>
      </c>
      <c r="R149" s="287">
        <v>0</v>
      </c>
    </row>
    <row r="150" spans="1:18">
      <c r="A150" s="240"/>
      <c r="B150" s="260">
        <v>0</v>
      </c>
      <c r="C150" s="261" t="s">
        <v>590</v>
      </c>
      <c r="D150" s="262" t="s">
        <v>265</v>
      </c>
      <c r="E150" s="260"/>
      <c r="F150" s="263">
        <v>0</v>
      </c>
      <c r="G150" s="264">
        <v>0</v>
      </c>
      <c r="H150" s="264"/>
      <c r="I150" s="264">
        <v>0</v>
      </c>
      <c r="J150" s="281">
        <v>0</v>
      </c>
      <c r="K150" s="281">
        <f>SUM(K151:K151)</f>
        <v>704730</v>
      </c>
      <c r="L150" s="281">
        <v>0</v>
      </c>
      <c r="M150" s="282">
        <f>SUM(M151:M151)</f>
        <v>770352.96000000008</v>
      </c>
      <c r="N150" s="282">
        <v>0</v>
      </c>
      <c r="O150" s="282">
        <v>0</v>
      </c>
      <c r="P150" s="282">
        <v>0</v>
      </c>
      <c r="Q150" s="282">
        <f>SUM(Q151:Q151)</f>
        <v>770352.96000000008</v>
      </c>
      <c r="R150" s="287">
        <v>0</v>
      </c>
    </row>
    <row r="151" spans="1:18">
      <c r="A151" s="246"/>
      <c r="B151" s="265">
        <v>0</v>
      </c>
      <c r="C151" s="680" t="s">
        <v>605</v>
      </c>
      <c r="D151" s="266" t="str">
        <f>" - "&amp;'Giá NC'!E8</f>
        <v xml:space="preserve"> - Nhân công bậc 3,0/7 - Nhóm 2</v>
      </c>
      <c r="E151" s="265" t="str">
        <f>'Giá NC'!F8</f>
        <v>công</v>
      </c>
      <c r="F151" s="267">
        <v>0</v>
      </c>
      <c r="G151" s="268">
        <v>3.12</v>
      </c>
      <c r="H151" s="268">
        <f>'5.Tiên lượng'!W53</f>
        <v>1</v>
      </c>
      <c r="I151" s="268">
        <f>PRODUCT(F147,G151,H151)</f>
        <v>5.3089919999999999</v>
      </c>
      <c r="J151" s="283">
        <f>'Giá NC'!G8</f>
        <v>225875</v>
      </c>
      <c r="K151" s="283">
        <f>PRODUCT(G151,H151,J151)</f>
        <v>704730</v>
      </c>
      <c r="L151" s="283">
        <f>'Giá NC'!H8</f>
        <v>246908</v>
      </c>
      <c r="M151" s="284">
        <f>PRODUCT(G151,H151,L151)</f>
        <v>770352.96000000008</v>
      </c>
      <c r="N151" s="284">
        <v>0</v>
      </c>
      <c r="O151" s="284">
        <v>0</v>
      </c>
      <c r="P151" s="284">
        <f>'Giá NC'!K8</f>
        <v>246908</v>
      </c>
      <c r="Q151" s="284">
        <f>PRODUCT(G151,H151,P151)</f>
        <v>770352.96000000008</v>
      </c>
      <c r="R151" s="287">
        <v>0</v>
      </c>
    </row>
    <row r="152" spans="1:18">
      <c r="A152" s="240"/>
      <c r="B152" s="260">
        <v>0</v>
      </c>
      <c r="C152" s="261" t="s">
        <v>590</v>
      </c>
      <c r="D152" s="262" t="s">
        <v>267</v>
      </c>
      <c r="E152" s="260"/>
      <c r="F152" s="263">
        <v>0</v>
      </c>
      <c r="G152" s="264">
        <v>0</v>
      </c>
      <c r="H152" s="264"/>
      <c r="I152" s="264">
        <v>0</v>
      </c>
      <c r="J152" s="281">
        <v>0</v>
      </c>
      <c r="K152" s="281">
        <f>SUM(K153:K158)</f>
        <v>2313287.7064239779</v>
      </c>
      <c r="L152" s="281">
        <v>0</v>
      </c>
      <c r="M152" s="282">
        <f>SUM(M153:M158)</f>
        <v>198171.84959999999</v>
      </c>
      <c r="N152" s="282">
        <v>0</v>
      </c>
      <c r="O152" s="282">
        <v>0</v>
      </c>
      <c r="P152" s="282">
        <v>0</v>
      </c>
      <c r="Q152" s="282">
        <f>SUM(Q153:Q158)</f>
        <v>2369565.459726376</v>
      </c>
      <c r="R152" s="287">
        <v>0</v>
      </c>
    </row>
    <row r="153" spans="1:18">
      <c r="A153" s="246"/>
      <c r="B153" s="265">
        <v>0</v>
      </c>
      <c r="C153" s="680" t="s">
        <v>606</v>
      </c>
      <c r="D153" s="266" t="str">
        <f>" - "&amp;'Giá Máy'!E24</f>
        <v xml:space="preserve"> - Máy rải cấp phối đá dăm 50 - 60m3/h</v>
      </c>
      <c r="E153" s="265" t="str">
        <f>'Giá Máy'!F24</f>
        <v>ca</v>
      </c>
      <c r="F153" s="267">
        <v>0</v>
      </c>
      <c r="G153" s="268">
        <v>0.21</v>
      </c>
      <c r="H153" s="268">
        <f>'5.Tiên lượng'!X53</f>
        <v>1</v>
      </c>
      <c r="I153" s="268">
        <f>PRODUCT(F147,G153,H153)</f>
        <v>0.35733599999999999</v>
      </c>
      <c r="J153" s="283">
        <f>'Giá Máy'!G24</f>
        <v>3528139.6955555598</v>
      </c>
      <c r="K153" s="283">
        <f t="shared" ref="K153:K158" si="57">PRODUCT(G153,H153,J153)</f>
        <v>740909.33606666757</v>
      </c>
      <c r="L153" s="283">
        <f>'Giá Máy'!H24</f>
        <v>0</v>
      </c>
      <c r="M153" s="284">
        <f t="shared" ref="M153:M158" si="58">PRODUCT(G153,H153,L153)</f>
        <v>0</v>
      </c>
      <c r="N153" s="284">
        <v>0</v>
      </c>
      <c r="O153" s="284">
        <v>0</v>
      </c>
      <c r="P153" s="284">
        <f>'Giá Máy'!O24</f>
        <v>3572483.6555555556</v>
      </c>
      <c r="Q153" s="284">
        <f t="shared" ref="Q153:Q158" si="59">PRODUCT(G153,H153,P153)</f>
        <v>750221.5676666667</v>
      </c>
      <c r="R153" s="287">
        <v>0.5</v>
      </c>
    </row>
    <row r="154" spans="1:18">
      <c r="A154" s="246"/>
      <c r="B154" s="265">
        <v>0</v>
      </c>
      <c r="C154" s="680" t="s">
        <v>607</v>
      </c>
      <c r="D154" s="266" t="str">
        <f>" - "&amp;'Giá Máy'!E19</f>
        <v xml:space="preserve"> - Máy lu rung tự hành 25T</v>
      </c>
      <c r="E154" s="265" t="str">
        <f>'Giá Máy'!F19</f>
        <v>ca</v>
      </c>
      <c r="F154" s="267">
        <v>0</v>
      </c>
      <c r="G154" s="268">
        <v>0.32</v>
      </c>
      <c r="H154" s="268">
        <f>'5.Tiên lượng'!X53</f>
        <v>1</v>
      </c>
      <c r="I154" s="268">
        <f>PRODUCT(F147,G154,H154)</f>
        <v>0.544512</v>
      </c>
      <c r="J154" s="283">
        <f>'Giá Máy'!G19</f>
        <v>2717265.9248888898</v>
      </c>
      <c r="K154" s="283">
        <f t="shared" si="57"/>
        <v>869525.0959644448</v>
      </c>
      <c r="L154" s="283">
        <f>'Giá Máy'!H19</f>
        <v>0</v>
      </c>
      <c r="M154" s="284">
        <f t="shared" si="58"/>
        <v>0</v>
      </c>
      <c r="N154" s="284">
        <v>0</v>
      </c>
      <c r="O154" s="284">
        <v>0</v>
      </c>
      <c r="P154" s="284">
        <f>'Giá Máy'!O19</f>
        <v>2794294.0688888887</v>
      </c>
      <c r="Q154" s="284">
        <f t="shared" si="59"/>
        <v>894174.10204444441</v>
      </c>
      <c r="R154" s="287">
        <v>0.5</v>
      </c>
    </row>
    <row r="155" spans="1:18">
      <c r="A155" s="246"/>
      <c r="B155" s="265">
        <v>0</v>
      </c>
      <c r="C155" s="680" t="s">
        <v>608</v>
      </c>
      <c r="D155" s="266" t="str">
        <f>" - "&amp;'Giá Máy'!E38</f>
        <v xml:space="preserve"> - Máy lu bánh hơi tự hành 16T</v>
      </c>
      <c r="E155" s="265" t="str">
        <f>'Giá Máy'!F38</f>
        <v>ca</v>
      </c>
      <c r="F155" s="267">
        <v>0</v>
      </c>
      <c r="G155" s="268">
        <v>0.12</v>
      </c>
      <c r="H155" s="268">
        <f>'5.Tiên lượng'!X53</f>
        <v>1</v>
      </c>
      <c r="I155" s="268">
        <f>PRODUCT(F147,G155,H155)</f>
        <v>0.20419199999999998</v>
      </c>
      <c r="J155" s="283">
        <f>'Giá Máy'!G38</f>
        <v>1498752.32622222</v>
      </c>
      <c r="K155" s="283">
        <f t="shared" si="57"/>
        <v>179850.27914666638</v>
      </c>
      <c r="L155" s="283">
        <f>'Giá Máy'!H38</f>
        <v>1643216</v>
      </c>
      <c r="M155" s="284">
        <f t="shared" si="58"/>
        <v>197185.91999999998</v>
      </c>
      <c r="N155" s="284">
        <v>0</v>
      </c>
      <c r="O155" s="284">
        <v>0</v>
      </c>
      <c r="P155" s="284">
        <f>'Giá Máy'!O38</f>
        <v>1553246.5422222223</v>
      </c>
      <c r="Q155" s="284">
        <f t="shared" si="59"/>
        <v>186389.58506666668</v>
      </c>
      <c r="R155" s="287">
        <v>0.5</v>
      </c>
    </row>
    <row r="156" spans="1:18">
      <c r="A156" s="246"/>
      <c r="B156" s="265">
        <v>0</v>
      </c>
      <c r="C156" s="680" t="s">
        <v>609</v>
      </c>
      <c r="D156" s="266" t="str">
        <f>" - "&amp;'Giá Máy'!E17</f>
        <v xml:space="preserve"> - Máy lu bánh thép 10T</v>
      </c>
      <c r="E156" s="265" t="str">
        <f>'Giá Máy'!F17</f>
        <v>ca</v>
      </c>
      <c r="F156" s="267">
        <v>0</v>
      </c>
      <c r="G156" s="268">
        <v>0.26</v>
      </c>
      <c r="H156" s="268">
        <f>'5.Tiên lượng'!X53</f>
        <v>1</v>
      </c>
      <c r="I156" s="268">
        <f>PRODUCT(F147,G156,H156)</f>
        <v>0.44241600000000003</v>
      </c>
      <c r="J156" s="283">
        <f>'Giá Máy'!G17</f>
        <v>1086987.4154074099</v>
      </c>
      <c r="K156" s="283">
        <f t="shared" si="57"/>
        <v>282616.72800592659</v>
      </c>
      <c r="L156" s="283">
        <f>'Giá Máy'!H17</f>
        <v>0</v>
      </c>
      <c r="M156" s="284">
        <f t="shared" si="58"/>
        <v>0</v>
      </c>
      <c r="N156" s="284">
        <v>0</v>
      </c>
      <c r="O156" s="284">
        <v>0</v>
      </c>
      <c r="P156" s="284">
        <f>'Giá Máy'!O17</f>
        <v>1132157.2474074075</v>
      </c>
      <c r="Q156" s="284">
        <f t="shared" si="59"/>
        <v>294360.88432592596</v>
      </c>
      <c r="R156" s="287">
        <v>0.5</v>
      </c>
    </row>
    <row r="157" spans="1:18">
      <c r="A157" s="246"/>
      <c r="B157" s="265">
        <v>0</v>
      </c>
      <c r="C157" s="680" t="s">
        <v>610</v>
      </c>
      <c r="D157" s="266" t="str">
        <f>" - "&amp;'Giá Máy'!E33</f>
        <v xml:space="preserve"> - Ô tô tưới nước 5m3</v>
      </c>
      <c r="E157" s="265" t="str">
        <f>'Giá Máy'!F33</f>
        <v>ca</v>
      </c>
      <c r="F157" s="267">
        <v>0</v>
      </c>
      <c r="G157" s="268">
        <v>0.21</v>
      </c>
      <c r="H157" s="268">
        <f>'5.Tiên lượng'!X53</f>
        <v>1</v>
      </c>
      <c r="I157" s="268">
        <f>PRODUCT(F147,G157,H157)</f>
        <v>0.35733599999999999</v>
      </c>
      <c r="J157" s="283">
        <f>'Giá Máy'!G33</f>
        <v>1089892.2532307699</v>
      </c>
      <c r="K157" s="283">
        <f t="shared" si="57"/>
        <v>228877.37317846165</v>
      </c>
      <c r="L157" s="283">
        <f>'Giá Máy'!H33</f>
        <v>0</v>
      </c>
      <c r="M157" s="284">
        <f t="shared" si="58"/>
        <v>0</v>
      </c>
      <c r="N157" s="284">
        <v>0</v>
      </c>
      <c r="O157" s="284">
        <v>0</v>
      </c>
      <c r="P157" s="284">
        <f>'Giá Máy'!O33</f>
        <v>1107763.9892307692</v>
      </c>
      <c r="Q157" s="284">
        <f t="shared" si="59"/>
        <v>232630.43773846154</v>
      </c>
      <c r="R157" s="287">
        <v>0.5</v>
      </c>
    </row>
    <row r="158" spans="1:18">
      <c r="A158" s="251"/>
      <c r="B158" s="269">
        <v>0</v>
      </c>
      <c r="C158" s="681" t="s">
        <v>611</v>
      </c>
      <c r="D158" s="270" t="s">
        <v>612</v>
      </c>
      <c r="E158" s="269" t="s">
        <v>37</v>
      </c>
      <c r="F158" s="271">
        <v>0</v>
      </c>
      <c r="G158" s="272">
        <f>AVERAGE(R153:R157)</f>
        <v>0.5</v>
      </c>
      <c r="H158" s="272">
        <f>'5.Tiên lượng'!X53</f>
        <v>1</v>
      </c>
      <c r="I158" s="272">
        <f>PRODUCT(F147,G158,H158)</f>
        <v>0.8508</v>
      </c>
      <c r="J158" s="285">
        <f>(G153*J153+G154*J154+G155*J155+G156*J156+G157*J157)/100</f>
        <v>23017.788123621671</v>
      </c>
      <c r="K158" s="285">
        <f t="shared" si="57"/>
        <v>11508.894061810835</v>
      </c>
      <c r="L158" s="285">
        <f>(G153*L153+G154*L154+G155*L155+G156*L156+G157*L157)/100</f>
        <v>1971.8591999999999</v>
      </c>
      <c r="M158" s="286">
        <f t="shared" si="58"/>
        <v>985.92959999999994</v>
      </c>
      <c r="N158" s="286">
        <v>0</v>
      </c>
      <c r="O158" s="286">
        <v>0</v>
      </c>
      <c r="P158" s="286">
        <f>(G153*P153+G154*P154+G155*P155+G156*P156+G157*P157)/100</f>
        <v>23577.76576842165</v>
      </c>
      <c r="Q158" s="286">
        <f t="shared" si="59"/>
        <v>11788.882884210825</v>
      </c>
      <c r="R158" s="288">
        <v>0</v>
      </c>
    </row>
    <row r="159" spans="1:18">
      <c r="A159" s="234"/>
      <c r="B159" s="256">
        <v>21</v>
      </c>
      <c r="C159" s="234" t="str">
        <f>'5.Tiên lượng'!C56</f>
        <v>AF.82411</v>
      </c>
      <c r="D159" s="257" t="str">
        <f>'5.Tiên lượng'!D56</f>
        <v>Ván khuôn thép mặt đường bê tông</v>
      </c>
      <c r="E159" s="256" t="str">
        <f>'5.Tiên lượng'!E56</f>
        <v>100m2</v>
      </c>
      <c r="F159" s="258">
        <f>'5.Tiên lượng'!M56</f>
        <v>3.6397000000000004</v>
      </c>
      <c r="G159" s="259">
        <v>0</v>
      </c>
      <c r="H159" s="259">
        <v>0</v>
      </c>
      <c r="I159" s="259">
        <v>0</v>
      </c>
      <c r="J159" s="279">
        <v>0</v>
      </c>
      <c r="K159" s="279">
        <v>0</v>
      </c>
      <c r="L159" s="279">
        <v>0</v>
      </c>
      <c r="M159" s="280">
        <v>0</v>
      </c>
      <c r="N159" s="280">
        <v>0</v>
      </c>
      <c r="O159" s="280">
        <v>0</v>
      </c>
      <c r="P159" s="280">
        <v>0</v>
      </c>
      <c r="Q159" s="280">
        <v>0</v>
      </c>
      <c r="R159" s="222">
        <v>0</v>
      </c>
    </row>
    <row r="160" spans="1:18">
      <c r="A160" s="240"/>
      <c r="B160" s="260">
        <v>0</v>
      </c>
      <c r="C160" s="261" t="s">
        <v>590</v>
      </c>
      <c r="D160" s="262" t="s">
        <v>262</v>
      </c>
      <c r="E160" s="260"/>
      <c r="F160" s="263">
        <v>0</v>
      </c>
      <c r="G160" s="264">
        <v>0</v>
      </c>
      <c r="H160" s="264"/>
      <c r="I160" s="264">
        <v>0</v>
      </c>
      <c r="J160" s="281">
        <v>0</v>
      </c>
      <c r="K160" s="281">
        <f>SUM(K161:K163)</f>
        <v>615310.5</v>
      </c>
      <c r="L160" s="281">
        <v>0</v>
      </c>
      <c r="M160" s="282">
        <f>SUM(M161:M163)</f>
        <v>615310.5</v>
      </c>
      <c r="N160" s="282">
        <v>0</v>
      </c>
      <c r="O160" s="282">
        <v>0</v>
      </c>
      <c r="P160" s="282">
        <v>0</v>
      </c>
      <c r="Q160" s="282">
        <f>SUM(Q161:Q163)</f>
        <v>618210.99161675188</v>
      </c>
      <c r="R160" s="287">
        <v>0</v>
      </c>
    </row>
    <row r="161" spans="1:18">
      <c r="A161" s="246"/>
      <c r="B161" s="265">
        <v>0</v>
      </c>
      <c r="C161" s="680" t="s">
        <v>627</v>
      </c>
      <c r="D161" s="266" t="str">
        <f>" - "&amp;'Giá VL'!E40</f>
        <v xml:space="preserve"> - Thép hình, thép tấm</v>
      </c>
      <c r="E161" s="265" t="str">
        <f>'Giá VL'!F40</f>
        <v>kg</v>
      </c>
      <c r="F161" s="267">
        <v>0</v>
      </c>
      <c r="G161" s="268">
        <v>31.5</v>
      </c>
      <c r="H161" s="268">
        <f>'5.Tiên lượng'!V56</f>
        <v>1</v>
      </c>
      <c r="I161" s="268">
        <f>PRODUCT(F159,G161,H161)</f>
        <v>114.65055000000001</v>
      </c>
      <c r="J161" s="283">
        <f>'Giá VL'!G40</f>
        <v>17500</v>
      </c>
      <c r="K161" s="283">
        <f t="shared" ref="K161:K163" si="60">PRODUCT(G161,H161,J161)</f>
        <v>551250</v>
      </c>
      <c r="L161" s="283">
        <f>'Giá VL'!J40</f>
        <v>17500</v>
      </c>
      <c r="M161" s="284">
        <f t="shared" ref="M161:M163" si="61">PRODUCT(G161,H161,L161)</f>
        <v>551250</v>
      </c>
      <c r="N161" s="284">
        <v>0</v>
      </c>
      <c r="O161" s="284">
        <v>0</v>
      </c>
      <c r="P161" s="284">
        <f>'Giá VL'!V40</f>
        <v>17587.694379947148</v>
      </c>
      <c r="Q161" s="284">
        <f t="shared" ref="Q161:Q163" si="62">PRODUCT(G161,H161,P161)</f>
        <v>554012.37296833517</v>
      </c>
      <c r="R161" s="287">
        <v>5</v>
      </c>
    </row>
    <row r="162" spans="1:18">
      <c r="A162" s="246"/>
      <c r="B162" s="265">
        <v>0</v>
      </c>
      <c r="C162" s="680" t="s">
        <v>628</v>
      </c>
      <c r="D162" s="266" t="str">
        <f>" - "&amp;'Giá VL'!E37</f>
        <v xml:space="preserve"> - Que hàn</v>
      </c>
      <c r="E162" s="265" t="str">
        <f>'Giá VL'!F37</f>
        <v>kg</v>
      </c>
      <c r="F162" s="267">
        <v>0</v>
      </c>
      <c r="G162" s="268">
        <v>1.58</v>
      </c>
      <c r="H162" s="268">
        <f>'5.Tiên lượng'!V56</f>
        <v>1</v>
      </c>
      <c r="I162" s="268">
        <f>PRODUCT(F159,G162,H162)</f>
        <v>5.7507260000000011</v>
      </c>
      <c r="J162" s="283">
        <f>'Giá VL'!G37</f>
        <v>22000</v>
      </c>
      <c r="K162" s="283">
        <f t="shared" si="60"/>
        <v>34760</v>
      </c>
      <c r="L162" s="283">
        <f>'Giá VL'!J37</f>
        <v>22000</v>
      </c>
      <c r="M162" s="284">
        <f t="shared" si="61"/>
        <v>34760</v>
      </c>
      <c r="N162" s="284">
        <v>0</v>
      </c>
      <c r="O162" s="284">
        <v>0</v>
      </c>
      <c r="P162" s="284">
        <f>'Giá VL'!V37</f>
        <v>22000</v>
      </c>
      <c r="Q162" s="284">
        <f t="shared" si="62"/>
        <v>34760</v>
      </c>
      <c r="R162" s="287">
        <v>5</v>
      </c>
    </row>
    <row r="163" spans="1:18">
      <c r="A163" s="246"/>
      <c r="B163" s="265">
        <v>0</v>
      </c>
      <c r="C163" s="680" t="s">
        <v>620</v>
      </c>
      <c r="D163" s="266" t="s">
        <v>621</v>
      </c>
      <c r="E163" s="265" t="s">
        <v>37</v>
      </c>
      <c r="F163" s="267">
        <v>0</v>
      </c>
      <c r="G163" s="268">
        <f>AVERAGE(R161:R162)</f>
        <v>5</v>
      </c>
      <c r="H163" s="268">
        <f>'5.Tiên lượng'!V56</f>
        <v>1</v>
      </c>
      <c r="I163" s="268">
        <f>PRODUCT(F159,G163,H163)</f>
        <v>18.198500000000003</v>
      </c>
      <c r="J163" s="283">
        <f>(G161*J161+G162*J162)/100</f>
        <v>5860.1</v>
      </c>
      <c r="K163" s="283">
        <f t="shared" si="60"/>
        <v>29300.5</v>
      </c>
      <c r="L163" s="283">
        <f>(G161*L161+G162*L162)/100</f>
        <v>5860.1</v>
      </c>
      <c r="M163" s="284">
        <f t="shared" si="61"/>
        <v>29300.5</v>
      </c>
      <c r="N163" s="284">
        <v>0</v>
      </c>
      <c r="O163" s="284">
        <v>0</v>
      </c>
      <c r="P163" s="284">
        <f>(G161*P161+G162*P162)/100</f>
        <v>5887.7237296833518</v>
      </c>
      <c r="Q163" s="284">
        <f t="shared" si="62"/>
        <v>29438.618648416759</v>
      </c>
      <c r="R163" s="287">
        <v>0</v>
      </c>
    </row>
    <row r="164" spans="1:18">
      <c r="A164" s="240"/>
      <c r="B164" s="260">
        <v>0</v>
      </c>
      <c r="C164" s="261" t="s">
        <v>590</v>
      </c>
      <c r="D164" s="262" t="s">
        <v>265</v>
      </c>
      <c r="E164" s="260"/>
      <c r="F164" s="263">
        <v>0</v>
      </c>
      <c r="G164" s="264">
        <v>0</v>
      </c>
      <c r="H164" s="264"/>
      <c r="I164" s="264">
        <v>0</v>
      </c>
      <c r="J164" s="281">
        <v>0</v>
      </c>
      <c r="K164" s="281">
        <f>SUM(K165:K165)</f>
        <v>3083437.5</v>
      </c>
      <c r="L164" s="281">
        <v>0</v>
      </c>
      <c r="M164" s="282">
        <f>SUM(M165:M165)</f>
        <v>3370558</v>
      </c>
      <c r="N164" s="282">
        <v>0</v>
      </c>
      <c r="O164" s="282">
        <v>0</v>
      </c>
      <c r="P164" s="282">
        <v>0</v>
      </c>
      <c r="Q164" s="282">
        <f>SUM(Q165:Q165)</f>
        <v>3370558</v>
      </c>
      <c r="R164" s="287">
        <v>0</v>
      </c>
    </row>
    <row r="165" spans="1:18">
      <c r="A165" s="246"/>
      <c r="B165" s="265">
        <v>0</v>
      </c>
      <c r="C165" s="680" t="s">
        <v>629</v>
      </c>
      <c r="D165" s="266" t="str">
        <f>" - "&amp;'Giá NC'!E10</f>
        <v xml:space="preserve"> - Nhân công bậc 4,0/7 - Nhóm 2</v>
      </c>
      <c r="E165" s="265" t="str">
        <f>'Giá NC'!F10</f>
        <v>công</v>
      </c>
      <c r="F165" s="267">
        <v>0</v>
      </c>
      <c r="G165" s="268">
        <v>11.5</v>
      </c>
      <c r="H165" s="268">
        <f>'5.Tiên lượng'!W56</f>
        <v>1</v>
      </c>
      <c r="I165" s="268">
        <f>PRODUCT(F159,G165,H165)</f>
        <v>41.856550000000006</v>
      </c>
      <c r="J165" s="283">
        <f>'Giá NC'!G10</f>
        <v>268125</v>
      </c>
      <c r="K165" s="283">
        <f>PRODUCT(G165,H165,J165)</f>
        <v>3083437.5</v>
      </c>
      <c r="L165" s="283">
        <f>'Giá NC'!H10</f>
        <v>293092</v>
      </c>
      <c r="M165" s="284">
        <f>PRODUCT(G165,H165,L165)</f>
        <v>3370558</v>
      </c>
      <c r="N165" s="284">
        <v>0</v>
      </c>
      <c r="O165" s="284">
        <v>0</v>
      </c>
      <c r="P165" s="284">
        <f>'Giá NC'!K10</f>
        <v>293092</v>
      </c>
      <c r="Q165" s="284">
        <f>PRODUCT(G165,H165,P165)</f>
        <v>3370558</v>
      </c>
      <c r="R165" s="287">
        <v>0</v>
      </c>
    </row>
    <row r="166" spans="1:18">
      <c r="A166" s="240"/>
      <c r="B166" s="260">
        <v>0</v>
      </c>
      <c r="C166" s="261" t="s">
        <v>590</v>
      </c>
      <c r="D166" s="262" t="s">
        <v>267</v>
      </c>
      <c r="E166" s="260"/>
      <c r="F166" s="263">
        <v>0</v>
      </c>
      <c r="G166" s="264">
        <v>0</v>
      </c>
      <c r="H166" s="264"/>
      <c r="I166" s="264">
        <v>0</v>
      </c>
      <c r="J166" s="281">
        <v>0</v>
      </c>
      <c r="K166" s="281">
        <f>SUM(K167:K169)</f>
        <v>168279.29389555199</v>
      </c>
      <c r="L166" s="281">
        <v>0</v>
      </c>
      <c r="M166" s="282">
        <f>SUM(M167:M169)</f>
        <v>167071.71599999999</v>
      </c>
      <c r="N166" s="282">
        <v>0</v>
      </c>
      <c r="O166" s="282">
        <v>0</v>
      </c>
      <c r="P166" s="282">
        <v>0</v>
      </c>
      <c r="Q166" s="282">
        <f>SUM(Q167:Q169)</f>
        <v>182920.82011862399</v>
      </c>
      <c r="R166" s="287">
        <v>0</v>
      </c>
    </row>
    <row r="167" spans="1:18">
      <c r="A167" s="246"/>
      <c r="B167" s="265">
        <v>0</v>
      </c>
      <c r="C167" s="680" t="s">
        <v>630</v>
      </c>
      <c r="D167" s="266" t="str">
        <f>" - "&amp;'Giá Máy'!E16</f>
        <v xml:space="preserve"> - Máy hàn điện 23kW</v>
      </c>
      <c r="E167" s="265" t="str">
        <f>'Giá Máy'!F16</f>
        <v>ca</v>
      </c>
      <c r="F167" s="267">
        <v>0</v>
      </c>
      <c r="G167" s="268">
        <v>0.42</v>
      </c>
      <c r="H167" s="268">
        <f>'5.Tiên lượng'!X56</f>
        <v>1</v>
      </c>
      <c r="I167" s="268">
        <f>PRODUCT(F159,G167,H167)</f>
        <v>1.5286740000000001</v>
      </c>
      <c r="J167" s="283">
        <f>'Giá Máy'!G16</f>
        <v>392808.80927999999</v>
      </c>
      <c r="K167" s="283">
        <f t="shared" ref="K167:K169" si="63">PRODUCT(G167,H167,J167)</f>
        <v>164979.69989759999</v>
      </c>
      <c r="L167" s="283">
        <f>'Giá Máy'!H16</f>
        <v>389990</v>
      </c>
      <c r="M167" s="284">
        <f t="shared" ref="M167:M169" si="64">PRODUCT(G167,H167,L167)</f>
        <v>163795.79999999999</v>
      </c>
      <c r="N167" s="284">
        <v>0</v>
      </c>
      <c r="O167" s="284">
        <v>0</v>
      </c>
      <c r="P167" s="284">
        <f>'Giá Máy'!O16</f>
        <v>426986.04135999997</v>
      </c>
      <c r="Q167" s="284">
        <f t="shared" ref="Q167:Q169" si="65">PRODUCT(G167,H167,P167)</f>
        <v>179334.13737119999</v>
      </c>
      <c r="R167" s="287">
        <v>2</v>
      </c>
    </row>
    <row r="168" spans="1:18">
      <c r="A168" s="251"/>
      <c r="B168" s="269">
        <v>0</v>
      </c>
      <c r="C168" s="681" t="s">
        <v>611</v>
      </c>
      <c r="D168" s="270" t="s">
        <v>612</v>
      </c>
      <c r="E168" s="269" t="s">
        <v>37</v>
      </c>
      <c r="F168" s="271">
        <v>0</v>
      </c>
      <c r="G168" s="272">
        <f>AVERAGE(R167:R167)</f>
        <v>2</v>
      </c>
      <c r="H168" s="272">
        <f>'5.Tiên lượng'!X56</f>
        <v>1</v>
      </c>
      <c r="I168" s="272">
        <f>PRODUCT(F159,G168,H168)</f>
        <v>7.2794000000000008</v>
      </c>
      <c r="J168" s="285">
        <f>(G167*J167)/100</f>
        <v>1649.7969989759999</v>
      </c>
      <c r="K168" s="285">
        <f t="shared" si="63"/>
        <v>3299.5939979519999</v>
      </c>
      <c r="L168" s="285">
        <f>(G167*L167)/100</f>
        <v>1637.9579999999999</v>
      </c>
      <c r="M168" s="286">
        <f t="shared" si="64"/>
        <v>3275.9159999999997</v>
      </c>
      <c r="N168" s="286">
        <v>0</v>
      </c>
      <c r="O168" s="286">
        <v>0</v>
      </c>
      <c r="P168" s="286">
        <f>(G167*P167)/100</f>
        <v>1793.3413737119999</v>
      </c>
      <c r="Q168" s="286">
        <f t="shared" si="65"/>
        <v>3586.6827474239999</v>
      </c>
      <c r="R168" s="288">
        <v>0</v>
      </c>
    </row>
    <row r="169" spans="1:18">
      <c r="A169" s="229"/>
      <c r="B169" s="289">
        <v>0</v>
      </c>
      <c r="C169" s="682" t="s">
        <v>339</v>
      </c>
      <c r="D169" s="290" t="s">
        <v>1073</v>
      </c>
      <c r="E169" s="289"/>
      <c r="F169" s="291">
        <v>0</v>
      </c>
      <c r="G169" s="292">
        <v>0</v>
      </c>
      <c r="H169" s="292">
        <f>'5.Tiên lượng'!X56</f>
        <v>1</v>
      </c>
      <c r="I169" s="292">
        <f>PRODUCT(F159,G169,H169)</f>
        <v>0</v>
      </c>
      <c r="J169" s="293">
        <v>0</v>
      </c>
      <c r="K169" s="294">
        <f t="shared" si="63"/>
        <v>0</v>
      </c>
      <c r="L169" s="294">
        <v>0</v>
      </c>
      <c r="M169" s="295">
        <f t="shared" si="64"/>
        <v>0</v>
      </c>
      <c r="N169" s="295">
        <v>0</v>
      </c>
      <c r="O169" s="295">
        <v>0</v>
      </c>
      <c r="P169" s="295">
        <v>0</v>
      </c>
      <c r="Q169" s="295">
        <f t="shared" si="65"/>
        <v>0</v>
      </c>
      <c r="R169" s="146">
        <v>0</v>
      </c>
    </row>
    <row r="170" spans="1:18" ht="41.4">
      <c r="A170" s="234"/>
      <c r="B170" s="256">
        <v>22</v>
      </c>
      <c r="C170" s="234" t="str">
        <f>'5.Tiên lượng'!C59</f>
        <v>AF.15433</v>
      </c>
      <c r="D170" s="257" t="str">
        <f>'5.Tiên lượng'!D59</f>
        <v>Bê tông sản xuất bằng máy trộn và đổ bằng thủ công, bê tông mặt đường dày mặt đường ≤25cm, bê tông M250, đá 2x4, PCB40</v>
      </c>
      <c r="E170" s="256" t="str">
        <f>'5.Tiên lượng'!E59</f>
        <v>m3</v>
      </c>
      <c r="F170" s="258">
        <f>'5.Tiên lượng'!M59</f>
        <v>12.764000000000001</v>
      </c>
      <c r="G170" s="259">
        <v>0</v>
      </c>
      <c r="H170" s="259">
        <v>0</v>
      </c>
      <c r="I170" s="259">
        <v>0</v>
      </c>
      <c r="J170" s="279">
        <v>0</v>
      </c>
      <c r="K170" s="279">
        <v>0</v>
      </c>
      <c r="L170" s="279">
        <v>0</v>
      </c>
      <c r="M170" s="280">
        <v>0</v>
      </c>
      <c r="N170" s="280">
        <v>0</v>
      </c>
      <c r="O170" s="280">
        <v>0</v>
      </c>
      <c r="P170" s="280">
        <v>0</v>
      </c>
      <c r="Q170" s="280">
        <v>0</v>
      </c>
      <c r="R170" s="222">
        <v>0</v>
      </c>
    </row>
    <row r="171" spans="1:18">
      <c r="A171" s="240"/>
      <c r="B171" s="260">
        <v>0</v>
      </c>
      <c r="C171" s="261" t="s">
        <v>590</v>
      </c>
      <c r="D171" s="262" t="s">
        <v>262</v>
      </c>
      <c r="E171" s="260"/>
      <c r="F171" s="263">
        <v>0</v>
      </c>
      <c r="G171" s="264">
        <v>0</v>
      </c>
      <c r="H171" s="264"/>
      <c r="I171" s="264">
        <v>0</v>
      </c>
      <c r="J171" s="281">
        <v>0</v>
      </c>
      <c r="K171" s="281">
        <f>SUM(K172:K178)</f>
        <v>933559.680941717</v>
      </c>
      <c r="L171" s="281">
        <v>0</v>
      </c>
      <c r="M171" s="282">
        <f>SUM(M172:M178)</f>
        <v>1098342.538125</v>
      </c>
      <c r="N171" s="282">
        <v>0</v>
      </c>
      <c r="O171" s="282">
        <v>0</v>
      </c>
      <c r="P171" s="282">
        <v>0</v>
      </c>
      <c r="Q171" s="282">
        <f>SUM(Q172:Q178)</f>
        <v>1244486.1695588657</v>
      </c>
      <c r="R171" s="287">
        <v>0</v>
      </c>
    </row>
    <row r="172" spans="1:18">
      <c r="A172" s="246"/>
      <c r="B172" s="265">
        <v>0</v>
      </c>
      <c r="C172" s="680" t="s">
        <v>614</v>
      </c>
      <c r="D172" s="266" t="str">
        <f>" - "&amp;'Giá VL'!E45</f>
        <v xml:space="preserve"> - Xi măng PCB40</v>
      </c>
      <c r="E172" s="265" t="str">
        <f>'Giá VL'!F45</f>
        <v>kg</v>
      </c>
      <c r="F172" s="267">
        <v>0</v>
      </c>
      <c r="G172" s="268">
        <v>291.10000000000002</v>
      </c>
      <c r="H172" s="268">
        <f>'5.Tiên lượng'!V59</f>
        <v>1</v>
      </c>
      <c r="I172" s="268">
        <f>PRODUCT(F170,G172,H172)</f>
        <v>3715.6004000000007</v>
      </c>
      <c r="J172" s="283">
        <f>'Giá VL'!G45</f>
        <v>1350</v>
      </c>
      <c r="K172" s="283">
        <f t="shared" ref="K172:K178" si="66">PRODUCT(G172,H172,J172)</f>
        <v>392985.00000000006</v>
      </c>
      <c r="L172" s="283">
        <f>'Giá VL'!J45</f>
        <v>1600</v>
      </c>
      <c r="M172" s="284">
        <f t="shared" ref="M172:M178" si="67">PRODUCT(G172,H172,L172)</f>
        <v>465760.00000000006</v>
      </c>
      <c r="N172" s="284">
        <v>0</v>
      </c>
      <c r="O172" s="284">
        <v>0</v>
      </c>
      <c r="P172" s="284">
        <f>'Giá VL'!V45</f>
        <v>1730</v>
      </c>
      <c r="Q172" s="284">
        <f t="shared" ref="Q172:Q178" si="68">PRODUCT(G172,H172,P172)</f>
        <v>503603.00000000006</v>
      </c>
      <c r="R172" s="287">
        <v>1.5</v>
      </c>
    </row>
    <row r="173" spans="1:18">
      <c r="A173" s="246"/>
      <c r="B173" s="265">
        <v>0</v>
      </c>
      <c r="C173" s="680" t="s">
        <v>615</v>
      </c>
      <c r="D173" s="266" t="str">
        <f>" - "&amp;'Giá VL'!E17</f>
        <v xml:space="preserve"> - Cát vàng</v>
      </c>
      <c r="E173" s="265" t="str">
        <f>'Giá VL'!F17</f>
        <v>m3</v>
      </c>
      <c r="F173" s="267">
        <v>0</v>
      </c>
      <c r="G173" s="268">
        <v>0.54325000000000001</v>
      </c>
      <c r="H173" s="268">
        <f>'5.Tiên lượng'!V59</f>
        <v>1</v>
      </c>
      <c r="I173" s="268">
        <f>PRODUCT(F170,G173,H173)</f>
        <v>6.9340430000000008</v>
      </c>
      <c r="J173" s="283">
        <f>'Giá VL'!G17</f>
        <v>580000</v>
      </c>
      <c r="K173" s="283">
        <f t="shared" si="66"/>
        <v>315085</v>
      </c>
      <c r="L173" s="283">
        <f>'Giá VL'!J17</f>
        <v>580000</v>
      </c>
      <c r="M173" s="284">
        <f t="shared" si="67"/>
        <v>315085</v>
      </c>
      <c r="N173" s="284">
        <v>0</v>
      </c>
      <c r="O173" s="284">
        <v>0</v>
      </c>
      <c r="P173" s="284">
        <f>'Giá VL'!V17</f>
        <v>659026.49526849983</v>
      </c>
      <c r="Q173" s="284">
        <f t="shared" si="68"/>
        <v>358016.14355461253</v>
      </c>
      <c r="R173" s="287">
        <v>1.5</v>
      </c>
    </row>
    <row r="174" spans="1:18">
      <c r="A174" s="246"/>
      <c r="B174" s="265">
        <v>0</v>
      </c>
      <c r="C174" s="680" t="s">
        <v>616</v>
      </c>
      <c r="D174" s="266" t="str">
        <f>" - "&amp;'Giá VL'!E19</f>
        <v xml:space="preserve"> - Đá 2x4</v>
      </c>
      <c r="E174" s="265" t="str">
        <f>'Giá VL'!F19</f>
        <v>m3</v>
      </c>
      <c r="F174" s="267">
        <v>0</v>
      </c>
      <c r="G174" s="268">
        <v>0.882525</v>
      </c>
      <c r="H174" s="268">
        <f>'5.Tiên lượng'!V59</f>
        <v>1</v>
      </c>
      <c r="I174" s="268">
        <f>PRODUCT(F170,G174,H174)</f>
        <v>11.264549100000002</v>
      </c>
      <c r="J174" s="283">
        <f>'Giá VL'!G19</f>
        <v>150000</v>
      </c>
      <c r="K174" s="283">
        <f t="shared" si="66"/>
        <v>132378.75</v>
      </c>
      <c r="L174" s="283">
        <f>'Giá VL'!J19</f>
        <v>240000</v>
      </c>
      <c r="M174" s="284">
        <f t="shared" si="67"/>
        <v>211806</v>
      </c>
      <c r="N174" s="284">
        <v>0</v>
      </c>
      <c r="O174" s="284">
        <v>0</v>
      </c>
      <c r="P174" s="284">
        <f>'Giá VL'!V19</f>
        <v>310458.0547558713</v>
      </c>
      <c r="Q174" s="284">
        <f t="shared" si="68"/>
        <v>273986.99477342534</v>
      </c>
      <c r="R174" s="287">
        <v>1.5</v>
      </c>
    </row>
    <row r="175" spans="1:18">
      <c r="A175" s="246"/>
      <c r="B175" s="265">
        <v>0</v>
      </c>
      <c r="C175" s="680" t="s">
        <v>617</v>
      </c>
      <c r="D175" s="266" t="str">
        <f>" - "&amp;'Giá VL'!E33</f>
        <v xml:space="preserve"> - Nước</v>
      </c>
      <c r="E175" s="265" t="str">
        <f>'Giá VL'!F33</f>
        <v>lít</v>
      </c>
      <c r="F175" s="267">
        <v>0</v>
      </c>
      <c r="G175" s="268">
        <v>177.32499999999999</v>
      </c>
      <c r="H175" s="268">
        <f>'5.Tiên lượng'!V59</f>
        <v>1</v>
      </c>
      <c r="I175" s="268">
        <f>PRODUCT(F170,G175,H175)</f>
        <v>2263.3762999999999</v>
      </c>
      <c r="J175" s="283">
        <f>'Giá VL'!G33</f>
        <v>15</v>
      </c>
      <c r="K175" s="283">
        <f t="shared" si="66"/>
        <v>2659.875</v>
      </c>
      <c r="L175" s="283">
        <f>'Giá VL'!J33</f>
        <v>15</v>
      </c>
      <c r="M175" s="284">
        <f t="shared" si="67"/>
        <v>2659.875</v>
      </c>
      <c r="N175" s="284">
        <v>0</v>
      </c>
      <c r="O175" s="284">
        <v>0</v>
      </c>
      <c r="P175" s="284">
        <f>'Giá VL'!V33</f>
        <v>15</v>
      </c>
      <c r="Q175" s="284">
        <f t="shared" si="68"/>
        <v>2659.875</v>
      </c>
      <c r="R175" s="287">
        <v>1.5</v>
      </c>
    </row>
    <row r="176" spans="1:18">
      <c r="A176" s="246"/>
      <c r="B176" s="265">
        <v>0</v>
      </c>
      <c r="C176" s="680" t="s">
        <v>618</v>
      </c>
      <c r="D176" s="266" t="str">
        <f>" - "&amp;'Giá VL'!E25</f>
        <v xml:space="preserve"> - Gỗ làm khe co dãn</v>
      </c>
      <c r="E176" s="265" t="str">
        <f>'Giá VL'!F25</f>
        <v>m3</v>
      </c>
      <c r="F176" s="267">
        <v>0</v>
      </c>
      <c r="G176" s="268">
        <v>1.4E-2</v>
      </c>
      <c r="H176" s="268">
        <f>'5.Tiên lượng'!V59</f>
        <v>1</v>
      </c>
      <c r="I176" s="268">
        <f>PRODUCT(F170,G176,H176)</f>
        <v>0.17869600000000002</v>
      </c>
      <c r="J176" s="283">
        <f>'Giá VL'!G25</f>
        <v>2500000</v>
      </c>
      <c r="K176" s="283">
        <f t="shared" si="66"/>
        <v>35000</v>
      </c>
      <c r="L176" s="283">
        <f>'Giá VL'!J25</f>
        <v>2800000</v>
      </c>
      <c r="M176" s="284">
        <f t="shared" si="67"/>
        <v>39200</v>
      </c>
      <c r="N176" s="284">
        <v>0</v>
      </c>
      <c r="O176" s="284">
        <v>0</v>
      </c>
      <c r="P176" s="284">
        <f>'Giá VL'!V25</f>
        <v>2844105.8536283039</v>
      </c>
      <c r="Q176" s="284">
        <f t="shared" si="68"/>
        <v>39817.481950796253</v>
      </c>
      <c r="R176" s="287">
        <v>1.5</v>
      </c>
    </row>
    <row r="177" spans="1:18">
      <c r="A177" s="246"/>
      <c r="B177" s="265">
        <v>0</v>
      </c>
      <c r="C177" s="680" t="s">
        <v>619</v>
      </c>
      <c r="D177" s="266" t="str">
        <f>" - "&amp;'Giá VL'!E31</f>
        <v xml:space="preserve"> - Nhựa đường</v>
      </c>
      <c r="E177" s="265" t="str">
        <f>'Giá VL'!F31</f>
        <v>kg</v>
      </c>
      <c r="F177" s="267">
        <v>0</v>
      </c>
      <c r="G177" s="268">
        <v>3.5</v>
      </c>
      <c r="H177" s="268">
        <f>'5.Tiên lượng'!V59</f>
        <v>1</v>
      </c>
      <c r="I177" s="268">
        <f>PRODUCT(F170,G177,H177)</f>
        <v>44.674000000000007</v>
      </c>
      <c r="J177" s="283">
        <f>'Giá VL'!G31</f>
        <v>11901.316415683899</v>
      </c>
      <c r="K177" s="283">
        <f t="shared" si="66"/>
        <v>41654.607454893645</v>
      </c>
      <c r="L177" s="283">
        <f>'Giá VL'!J31</f>
        <v>13600</v>
      </c>
      <c r="M177" s="284">
        <f t="shared" si="67"/>
        <v>47600</v>
      </c>
      <c r="N177" s="284">
        <v>0</v>
      </c>
      <c r="O177" s="284">
        <v>0</v>
      </c>
      <c r="P177" s="284">
        <f>'Giá VL'!V31</f>
        <v>13717.500872863939</v>
      </c>
      <c r="Q177" s="284">
        <f t="shared" si="68"/>
        <v>48011.253055023786</v>
      </c>
      <c r="R177" s="287">
        <v>1.5</v>
      </c>
    </row>
    <row r="178" spans="1:18">
      <c r="A178" s="246"/>
      <c r="B178" s="265">
        <v>0</v>
      </c>
      <c r="C178" s="680" t="s">
        <v>620</v>
      </c>
      <c r="D178" s="266" t="s">
        <v>621</v>
      </c>
      <c r="E178" s="265" t="s">
        <v>37</v>
      </c>
      <c r="F178" s="267">
        <v>0</v>
      </c>
      <c r="G178" s="268">
        <f>AVERAGE(R172:R177)</f>
        <v>1.5</v>
      </c>
      <c r="H178" s="268">
        <f>'5.Tiên lượng'!V59</f>
        <v>1</v>
      </c>
      <c r="I178" s="268">
        <f>PRODUCT(F170,G178,H178)</f>
        <v>19.146000000000001</v>
      </c>
      <c r="J178" s="283">
        <f>(G172*J172+G173*J173+G174*J174+G175*J175+G176*J176+G177*J177)/100</f>
        <v>9197.6323245489366</v>
      </c>
      <c r="K178" s="283">
        <f t="shared" si="66"/>
        <v>13796.448486823405</v>
      </c>
      <c r="L178" s="283">
        <f>(G172*L172+G173*L173+G174*L174+G175*L175+G176*L176+G177*L177)/100</f>
        <v>10821.108749999999</v>
      </c>
      <c r="M178" s="284">
        <f t="shared" si="67"/>
        <v>16231.663124999999</v>
      </c>
      <c r="N178" s="284">
        <v>0</v>
      </c>
      <c r="O178" s="284">
        <v>0</v>
      </c>
      <c r="P178" s="284">
        <f>(G172*P172+G173*P173+G174*P174+G175*P175+G176*P176+G177*P177)/100</f>
        <v>12260.947483338579</v>
      </c>
      <c r="Q178" s="284">
        <f t="shared" si="68"/>
        <v>18391.421225007871</v>
      </c>
      <c r="R178" s="287">
        <v>0</v>
      </c>
    </row>
    <row r="179" spans="1:18">
      <c r="A179" s="240"/>
      <c r="B179" s="260">
        <v>0</v>
      </c>
      <c r="C179" s="261" t="s">
        <v>590</v>
      </c>
      <c r="D179" s="262" t="s">
        <v>265</v>
      </c>
      <c r="E179" s="260"/>
      <c r="F179" s="263">
        <v>0</v>
      </c>
      <c r="G179" s="264">
        <v>0</v>
      </c>
      <c r="H179" s="264"/>
      <c r="I179" s="264">
        <v>0</v>
      </c>
      <c r="J179" s="281">
        <v>0</v>
      </c>
      <c r="K179" s="281">
        <f>SUM(K180:K180)</f>
        <v>304551</v>
      </c>
      <c r="L179" s="281">
        <v>0</v>
      </c>
      <c r="M179" s="282">
        <f>SUM(M180:M180)</f>
        <v>332910</v>
      </c>
      <c r="N179" s="282">
        <v>0</v>
      </c>
      <c r="O179" s="282">
        <v>0</v>
      </c>
      <c r="P179" s="282">
        <v>0</v>
      </c>
      <c r="Q179" s="282">
        <f>SUM(Q180:Q180)</f>
        <v>332910</v>
      </c>
      <c r="R179" s="287">
        <v>0</v>
      </c>
    </row>
    <row r="180" spans="1:18">
      <c r="A180" s="246"/>
      <c r="B180" s="265">
        <v>0</v>
      </c>
      <c r="C180" s="680" t="s">
        <v>622</v>
      </c>
      <c r="D180" s="266" t="str">
        <f>" - "&amp;'Giá NC'!E9</f>
        <v xml:space="preserve"> - Nhân công bậc 3,5/7 - Nhóm 2</v>
      </c>
      <c r="E180" s="265" t="str">
        <f>'Giá NC'!F9</f>
        <v>công</v>
      </c>
      <c r="F180" s="267">
        <v>0</v>
      </c>
      <c r="G180" s="268">
        <v>1.37</v>
      </c>
      <c r="H180" s="268">
        <f>'5.Tiên lượng'!W59</f>
        <v>0.9</v>
      </c>
      <c r="I180" s="268">
        <f>PRODUCT(F170,G180,H180)</f>
        <v>15.738012000000003</v>
      </c>
      <c r="J180" s="283">
        <f>'Giá NC'!G9</f>
        <v>247000</v>
      </c>
      <c r="K180" s="283">
        <f>PRODUCT(G180,H180,J180)</f>
        <v>304551</v>
      </c>
      <c r="L180" s="283">
        <f>'Giá NC'!H9</f>
        <v>270000</v>
      </c>
      <c r="M180" s="284">
        <f>PRODUCT(G180,H180,L180)</f>
        <v>332910</v>
      </c>
      <c r="N180" s="284">
        <v>0</v>
      </c>
      <c r="O180" s="284">
        <v>0</v>
      </c>
      <c r="P180" s="284">
        <f>'Giá NC'!K9</f>
        <v>270000</v>
      </c>
      <c r="Q180" s="284">
        <f>PRODUCT(G180,H180,P180)</f>
        <v>332910</v>
      </c>
      <c r="R180" s="287">
        <v>0</v>
      </c>
    </row>
    <row r="181" spans="1:18">
      <c r="A181" s="240"/>
      <c r="B181" s="260">
        <v>0</v>
      </c>
      <c r="C181" s="261" t="s">
        <v>590</v>
      </c>
      <c r="D181" s="262" t="s">
        <v>267</v>
      </c>
      <c r="E181" s="260"/>
      <c r="F181" s="263">
        <v>0</v>
      </c>
      <c r="G181" s="264">
        <v>0</v>
      </c>
      <c r="H181" s="264"/>
      <c r="I181" s="264">
        <v>0</v>
      </c>
      <c r="J181" s="281">
        <v>0</v>
      </c>
      <c r="K181" s="281">
        <f>SUM(K182:K185)</f>
        <v>76017.512664183596</v>
      </c>
      <c r="L181" s="281">
        <v>0</v>
      </c>
      <c r="M181" s="282">
        <f>SUM(M182:M185)</f>
        <v>75890.930459999989</v>
      </c>
      <c r="N181" s="282">
        <v>0</v>
      </c>
      <c r="O181" s="282">
        <v>0</v>
      </c>
      <c r="P181" s="282">
        <v>0</v>
      </c>
      <c r="Q181" s="282">
        <f>SUM(Q182:Q185)</f>
        <v>82287.912777365709</v>
      </c>
      <c r="R181" s="287">
        <v>0</v>
      </c>
    </row>
    <row r="182" spans="1:18">
      <c r="A182" s="246"/>
      <c r="B182" s="265">
        <v>0</v>
      </c>
      <c r="C182" s="680" t="s">
        <v>623</v>
      </c>
      <c r="D182" s="266" t="str">
        <f>" - "&amp;'Giá Máy'!E27</f>
        <v xml:space="preserve"> - Máy trộn bê tông 250 lít</v>
      </c>
      <c r="E182" s="265" t="str">
        <f>'Giá Máy'!F27</f>
        <v>ca</v>
      </c>
      <c r="F182" s="267">
        <v>0</v>
      </c>
      <c r="G182" s="268">
        <v>9.5000000000000001E-2</v>
      </c>
      <c r="H182" s="268">
        <f>'5.Tiên lượng'!X59</f>
        <v>1</v>
      </c>
      <c r="I182" s="268">
        <f>PRODUCT(F170,G182,H182)</f>
        <v>1.2125800000000002</v>
      </c>
      <c r="J182" s="283">
        <f>'Giá Máy'!G27</f>
        <v>303162.31046000001</v>
      </c>
      <c r="K182" s="283">
        <f t="shared" ref="K182:K185" si="69">PRODUCT(G182,H182,J182)</f>
        <v>28800.419493699999</v>
      </c>
      <c r="L182" s="283">
        <f>'Giá Máy'!H27</f>
        <v>302516</v>
      </c>
      <c r="M182" s="284">
        <f t="shared" ref="M182:M185" si="70">PRODUCT(G182,H182,L182)</f>
        <v>28739.02</v>
      </c>
      <c r="N182" s="284">
        <v>0</v>
      </c>
      <c r="O182" s="284">
        <v>0</v>
      </c>
      <c r="P182" s="284">
        <f>'Giá Máy'!O27</f>
        <v>326305.98864499998</v>
      </c>
      <c r="Q182" s="284">
        <f t="shared" ref="Q182:Q185" si="71">PRODUCT(G182,H182,P182)</f>
        <v>30999.068921274997</v>
      </c>
      <c r="R182" s="287">
        <v>2</v>
      </c>
    </row>
    <row r="183" spans="1:18">
      <c r="A183" s="246"/>
      <c r="B183" s="265">
        <v>0</v>
      </c>
      <c r="C183" s="680" t="s">
        <v>624</v>
      </c>
      <c r="D183" s="266" t="str">
        <f>" - "&amp;'Giá Máy'!E10</f>
        <v xml:space="preserve"> - Máy đầm bàn 1kW</v>
      </c>
      <c r="E183" s="265" t="str">
        <f>'Giá Máy'!F10</f>
        <v>ca</v>
      </c>
      <c r="F183" s="267">
        <v>0</v>
      </c>
      <c r="G183" s="268">
        <v>8.8999999999999996E-2</v>
      </c>
      <c r="H183" s="268">
        <f>'5.Tiên lượng'!X59</f>
        <v>1</v>
      </c>
      <c r="I183" s="268">
        <f>PRODUCT(F170,G183,H183)</f>
        <v>1.135996</v>
      </c>
      <c r="J183" s="283">
        <f>'Giá Máy'!G10</f>
        <v>254878.35930000001</v>
      </c>
      <c r="K183" s="283">
        <f t="shared" si="69"/>
        <v>22684.1739777</v>
      </c>
      <c r="L183" s="283">
        <f>'Giá Máy'!H10</f>
        <v>254585</v>
      </c>
      <c r="M183" s="284">
        <f t="shared" si="70"/>
        <v>22658.064999999999</v>
      </c>
      <c r="N183" s="284">
        <v>0</v>
      </c>
      <c r="O183" s="284">
        <v>0</v>
      </c>
      <c r="P183" s="284">
        <f>'Giá Máy'!O10</f>
        <v>276870.75847500004</v>
      </c>
      <c r="Q183" s="284">
        <f t="shared" si="71"/>
        <v>24641.497504275001</v>
      </c>
      <c r="R183" s="287">
        <v>2</v>
      </c>
    </row>
    <row r="184" spans="1:18">
      <c r="A184" s="246"/>
      <c r="B184" s="265">
        <v>0</v>
      </c>
      <c r="C184" s="680" t="s">
        <v>625</v>
      </c>
      <c r="D184" s="266" t="str">
        <f>" - "&amp;'Giá Máy'!E12</f>
        <v xml:space="preserve"> - Máy đầm dùi 1,5kW</v>
      </c>
      <c r="E184" s="265" t="str">
        <f>'Giá Máy'!F12</f>
        <v>ca</v>
      </c>
      <c r="F184" s="267">
        <v>0</v>
      </c>
      <c r="G184" s="268">
        <v>8.8999999999999996E-2</v>
      </c>
      <c r="H184" s="268">
        <f>'5.Tiên lượng'!X59</f>
        <v>1</v>
      </c>
      <c r="I184" s="268">
        <f>PRODUCT(F170,G184,H184)</f>
        <v>1.135996</v>
      </c>
      <c r="J184" s="283">
        <f>'Giá Máy'!G12</f>
        <v>258903.14301999999</v>
      </c>
      <c r="K184" s="283">
        <f t="shared" si="69"/>
        <v>23042.379728779997</v>
      </c>
      <c r="L184" s="283">
        <f>'Giá Máy'!H12</f>
        <v>258492</v>
      </c>
      <c r="M184" s="284">
        <f t="shared" si="70"/>
        <v>23005.788</v>
      </c>
      <c r="N184" s="284">
        <v>0</v>
      </c>
      <c r="O184" s="284">
        <v>0</v>
      </c>
      <c r="P184" s="284">
        <f>'Giá Máy'!O12</f>
        <v>281279.30186500004</v>
      </c>
      <c r="Q184" s="284">
        <f t="shared" si="71"/>
        <v>25033.857865985003</v>
      </c>
      <c r="R184" s="287">
        <v>2</v>
      </c>
    </row>
    <row r="185" spans="1:18">
      <c r="A185" s="251"/>
      <c r="B185" s="269">
        <v>0</v>
      </c>
      <c r="C185" s="681" t="s">
        <v>611</v>
      </c>
      <c r="D185" s="270" t="s">
        <v>612</v>
      </c>
      <c r="E185" s="269" t="s">
        <v>37</v>
      </c>
      <c r="F185" s="271">
        <v>0</v>
      </c>
      <c r="G185" s="272">
        <f>AVERAGE(R182:R184)</f>
        <v>2</v>
      </c>
      <c r="H185" s="272">
        <f>'5.Tiên lượng'!X59</f>
        <v>1</v>
      </c>
      <c r="I185" s="272">
        <f>PRODUCT(F170,G185,H185)</f>
        <v>25.528000000000002</v>
      </c>
      <c r="J185" s="285">
        <f>(G182*J182+G183*J183+G184*J184)/100</f>
        <v>745.26973200179998</v>
      </c>
      <c r="K185" s="285">
        <f t="shared" si="69"/>
        <v>1490.5394640036</v>
      </c>
      <c r="L185" s="285">
        <f>(G182*L182+G183*L183+G184*L184)/100</f>
        <v>744.02872999999988</v>
      </c>
      <c r="M185" s="286">
        <f t="shared" si="70"/>
        <v>1488.0574599999998</v>
      </c>
      <c r="N185" s="286">
        <v>0</v>
      </c>
      <c r="O185" s="286">
        <v>0</v>
      </c>
      <c r="P185" s="286">
        <f>(G182*P182+G183*P183+G184*P184)/100</f>
        <v>806.74424291535001</v>
      </c>
      <c r="Q185" s="286">
        <f t="shared" si="71"/>
        <v>1613.4884858307</v>
      </c>
      <c r="R185" s="288">
        <v>0</v>
      </c>
    </row>
    <row r="186" spans="1:18">
      <c r="A186" s="234"/>
      <c r="B186" s="256">
        <v>23</v>
      </c>
      <c r="C186" s="234" t="str">
        <f>'5.Tiên lượng'!C61</f>
        <v>AL.16201</v>
      </c>
      <c r="D186" s="257" t="str">
        <f>'5.Tiên lượng'!D61</f>
        <v>Rải giấy dầu lớp cách ly</v>
      </c>
      <c r="E186" s="256" t="str">
        <f>'5.Tiên lượng'!E61</f>
        <v>100m2</v>
      </c>
      <c r="F186" s="258">
        <f>'5.Tiên lượng'!M61</f>
        <v>0.63819999999999999</v>
      </c>
      <c r="G186" s="259">
        <v>0</v>
      </c>
      <c r="H186" s="259">
        <v>0</v>
      </c>
      <c r="I186" s="259">
        <v>0</v>
      </c>
      <c r="J186" s="279">
        <v>0</v>
      </c>
      <c r="K186" s="279">
        <v>0</v>
      </c>
      <c r="L186" s="279">
        <v>0</v>
      </c>
      <c r="M186" s="280">
        <v>0</v>
      </c>
      <c r="N186" s="280">
        <v>0</v>
      </c>
      <c r="O186" s="280">
        <v>0</v>
      </c>
      <c r="P186" s="280">
        <v>0</v>
      </c>
      <c r="Q186" s="280">
        <v>0</v>
      </c>
      <c r="R186" s="222">
        <v>0</v>
      </c>
    </row>
    <row r="187" spans="1:18">
      <c r="A187" s="240"/>
      <c r="B187" s="260">
        <v>0</v>
      </c>
      <c r="C187" s="261" t="s">
        <v>590</v>
      </c>
      <c r="D187" s="262" t="s">
        <v>262</v>
      </c>
      <c r="E187" s="260"/>
      <c r="F187" s="263">
        <v>0</v>
      </c>
      <c r="G187" s="264">
        <v>0</v>
      </c>
      <c r="H187" s="264"/>
      <c r="I187" s="264">
        <v>0</v>
      </c>
      <c r="J187" s="281">
        <v>0</v>
      </c>
      <c r="K187" s="281">
        <f>SUM(K188:K189)</f>
        <v>220440</v>
      </c>
      <c r="L187" s="281">
        <v>0</v>
      </c>
      <c r="M187" s="282">
        <f>SUM(M188:M189)</f>
        <v>220440</v>
      </c>
      <c r="N187" s="282">
        <v>0</v>
      </c>
      <c r="O187" s="282">
        <v>0</v>
      </c>
      <c r="P187" s="282">
        <v>0</v>
      </c>
      <c r="Q187" s="282">
        <f>SUM(Q188:Q189)</f>
        <v>220440</v>
      </c>
      <c r="R187" s="287">
        <v>0</v>
      </c>
    </row>
    <row r="188" spans="1:18">
      <c r="A188" s="246"/>
      <c r="B188" s="265">
        <v>0</v>
      </c>
      <c r="C188" s="680" t="s">
        <v>626</v>
      </c>
      <c r="D188" s="266" t="str">
        <f>" - "&amp;'Giá VL'!E24</f>
        <v xml:space="preserve"> - Ni Lông</v>
      </c>
      <c r="E188" s="265" t="str">
        <f>'Giá VL'!F24</f>
        <v>m2</v>
      </c>
      <c r="F188" s="267">
        <v>0</v>
      </c>
      <c r="G188" s="268">
        <v>110</v>
      </c>
      <c r="H188" s="268">
        <f>'5.Tiên lượng'!V61</f>
        <v>1</v>
      </c>
      <c r="I188" s="268">
        <f>PRODUCT(F186,G188,H188)</f>
        <v>70.201999999999998</v>
      </c>
      <c r="J188" s="283">
        <f>'Giá VL'!G24</f>
        <v>2000</v>
      </c>
      <c r="K188" s="283">
        <f t="shared" ref="K188:K189" si="72">PRODUCT(G188,H188,J188)</f>
        <v>220000</v>
      </c>
      <c r="L188" s="283">
        <f>'Giá VL'!J24</f>
        <v>2000</v>
      </c>
      <c r="M188" s="284">
        <f t="shared" ref="M188:M189" si="73">PRODUCT(G188,H188,L188)</f>
        <v>220000</v>
      </c>
      <c r="N188" s="284">
        <v>0</v>
      </c>
      <c r="O188" s="284">
        <v>0</v>
      </c>
      <c r="P188" s="284">
        <f>'Giá VL'!V24</f>
        <v>2000</v>
      </c>
      <c r="Q188" s="284">
        <f t="shared" ref="Q188:Q189" si="74">PRODUCT(G188,H188,P188)</f>
        <v>220000</v>
      </c>
      <c r="R188" s="287">
        <v>0.2</v>
      </c>
    </row>
    <row r="189" spans="1:18">
      <c r="A189" s="246"/>
      <c r="B189" s="265">
        <v>0</v>
      </c>
      <c r="C189" s="680" t="s">
        <v>620</v>
      </c>
      <c r="D189" s="266" t="s">
        <v>621</v>
      </c>
      <c r="E189" s="265" t="s">
        <v>37</v>
      </c>
      <c r="F189" s="267">
        <v>0</v>
      </c>
      <c r="G189" s="268">
        <f>AVERAGE(R188:R188)</f>
        <v>0.2</v>
      </c>
      <c r="H189" s="268">
        <f>'5.Tiên lượng'!V61</f>
        <v>1</v>
      </c>
      <c r="I189" s="268">
        <f>PRODUCT(F186,G189,H189)</f>
        <v>0.12764</v>
      </c>
      <c r="J189" s="283">
        <f>(G188*J188)/100</f>
        <v>2200</v>
      </c>
      <c r="K189" s="283">
        <f t="shared" si="72"/>
        <v>440</v>
      </c>
      <c r="L189" s="283">
        <f>(G188*L188)/100</f>
        <v>2200</v>
      </c>
      <c r="M189" s="284">
        <f t="shared" si="73"/>
        <v>440</v>
      </c>
      <c r="N189" s="284">
        <v>0</v>
      </c>
      <c r="O189" s="284">
        <v>0</v>
      </c>
      <c r="P189" s="284">
        <f>(G188*P188)/100</f>
        <v>2200</v>
      </c>
      <c r="Q189" s="284">
        <f t="shared" si="74"/>
        <v>440</v>
      </c>
      <c r="R189" s="287">
        <v>0</v>
      </c>
    </row>
    <row r="190" spans="1:18">
      <c r="A190" s="240"/>
      <c r="B190" s="260">
        <v>0</v>
      </c>
      <c r="C190" s="261" t="s">
        <v>590</v>
      </c>
      <c r="D190" s="262" t="s">
        <v>265</v>
      </c>
      <c r="E190" s="260"/>
      <c r="F190" s="263">
        <v>0</v>
      </c>
      <c r="G190" s="264">
        <v>0</v>
      </c>
      <c r="H190" s="264"/>
      <c r="I190" s="264">
        <v>0</v>
      </c>
      <c r="J190" s="281">
        <v>0</v>
      </c>
      <c r="K190" s="281">
        <f>SUM(K191:K191)</f>
        <v>37050</v>
      </c>
      <c r="L190" s="281">
        <v>0</v>
      </c>
      <c r="M190" s="282">
        <f>SUM(M191:M191)</f>
        <v>40500</v>
      </c>
      <c r="N190" s="282">
        <v>0</v>
      </c>
      <c r="O190" s="282">
        <v>0</v>
      </c>
      <c r="P190" s="282">
        <v>0</v>
      </c>
      <c r="Q190" s="282">
        <f>SUM(Q191:Q191)</f>
        <v>40500</v>
      </c>
      <c r="R190" s="287">
        <v>0</v>
      </c>
    </row>
    <row r="191" spans="1:18">
      <c r="A191" s="251"/>
      <c r="B191" s="269">
        <v>0</v>
      </c>
      <c r="C191" s="681" t="s">
        <v>622</v>
      </c>
      <c r="D191" s="270" t="str">
        <f>" - "&amp;'Giá NC'!E9</f>
        <v xml:space="preserve"> - Nhân công bậc 3,5/7 - Nhóm 2</v>
      </c>
      <c r="E191" s="269" t="str">
        <f>'Giá NC'!F9</f>
        <v>công</v>
      </c>
      <c r="F191" s="271">
        <v>0</v>
      </c>
      <c r="G191" s="272">
        <v>0.15</v>
      </c>
      <c r="H191" s="272">
        <f>'5.Tiên lượng'!W61</f>
        <v>1</v>
      </c>
      <c r="I191" s="272">
        <f>PRODUCT(F186,G191,H191)</f>
        <v>9.5729999999999996E-2</v>
      </c>
      <c r="J191" s="285">
        <f>'Giá NC'!G9</f>
        <v>247000</v>
      </c>
      <c r="K191" s="285">
        <f>PRODUCT(G191,H191,J191)</f>
        <v>37050</v>
      </c>
      <c r="L191" s="285">
        <f>'Giá NC'!H9</f>
        <v>270000</v>
      </c>
      <c r="M191" s="286">
        <f>PRODUCT(G191,H191,L191)</f>
        <v>40500</v>
      </c>
      <c r="N191" s="286">
        <v>0</v>
      </c>
      <c r="O191" s="286">
        <v>0</v>
      </c>
      <c r="P191" s="286">
        <f>'Giá NC'!K9</f>
        <v>270000</v>
      </c>
      <c r="Q191" s="286">
        <f>PRODUCT(G191,H191,P191)</f>
        <v>40500</v>
      </c>
      <c r="R191" s="288">
        <v>0</v>
      </c>
    </row>
    <row r="192" spans="1:18">
      <c r="A192" s="234"/>
      <c r="B192" s="256">
        <v>24</v>
      </c>
      <c r="C192" s="234" t="str">
        <f>'5.Tiên lượng'!C63</f>
        <v>AD.11212</v>
      </c>
      <c r="D192" s="257" t="str">
        <f>'5.Tiên lượng'!D63</f>
        <v xml:space="preserve">Thi công móng cấp phối đá dăm lớp dưới </v>
      </c>
      <c r="E192" s="256" t="str">
        <f>'5.Tiên lượng'!E63</f>
        <v>100m3</v>
      </c>
      <c r="F192" s="258">
        <f>'5.Tiên lượng'!M63</f>
        <v>7.6583999999999999E-2</v>
      </c>
      <c r="G192" s="259">
        <v>0</v>
      </c>
      <c r="H192" s="259">
        <v>0</v>
      </c>
      <c r="I192" s="259">
        <v>0</v>
      </c>
      <c r="J192" s="279">
        <v>0</v>
      </c>
      <c r="K192" s="279">
        <v>0</v>
      </c>
      <c r="L192" s="279">
        <v>0</v>
      </c>
      <c r="M192" s="280">
        <v>0</v>
      </c>
      <c r="N192" s="280">
        <v>0</v>
      </c>
      <c r="O192" s="280">
        <v>0</v>
      </c>
      <c r="P192" s="280">
        <v>0</v>
      </c>
      <c r="Q192" s="280">
        <v>0</v>
      </c>
      <c r="R192" s="222">
        <v>0</v>
      </c>
    </row>
    <row r="193" spans="1:18">
      <c r="A193" s="240"/>
      <c r="B193" s="260">
        <v>0</v>
      </c>
      <c r="C193" s="261" t="s">
        <v>590</v>
      </c>
      <c r="D193" s="262" t="s">
        <v>262</v>
      </c>
      <c r="E193" s="260"/>
      <c r="F193" s="263">
        <v>0</v>
      </c>
      <c r="G193" s="264">
        <v>0</v>
      </c>
      <c r="H193" s="264"/>
      <c r="I193" s="264">
        <v>0</v>
      </c>
      <c r="J193" s="281">
        <v>0</v>
      </c>
      <c r="K193" s="281">
        <f>SUM(K194:K194)</f>
        <v>12060000</v>
      </c>
      <c r="L193" s="281">
        <v>0</v>
      </c>
      <c r="M193" s="282">
        <f>SUM(M194:M194)</f>
        <v>22780000</v>
      </c>
      <c r="N193" s="282">
        <v>0</v>
      </c>
      <c r="O193" s="282">
        <v>0</v>
      </c>
      <c r="P193" s="282">
        <v>0</v>
      </c>
      <c r="Q193" s="282">
        <f>SUM(Q194:Q194)</f>
        <v>32221379.337286752</v>
      </c>
      <c r="R193" s="287">
        <v>0</v>
      </c>
    </row>
    <row r="194" spans="1:18">
      <c r="A194" s="246"/>
      <c r="B194" s="265">
        <v>0</v>
      </c>
      <c r="C194" s="680" t="s">
        <v>604</v>
      </c>
      <c r="D194" s="266" t="str">
        <f>" - "&amp;'Giá VL'!E13</f>
        <v xml:space="preserve"> - Cấp phối đá dăm loại 2</v>
      </c>
      <c r="E194" s="265" t="str">
        <f>'Giá VL'!F13</f>
        <v>m3</v>
      </c>
      <c r="F194" s="267">
        <v>0</v>
      </c>
      <c r="G194" s="268">
        <v>134</v>
      </c>
      <c r="H194" s="268">
        <f>'5.Tiên lượng'!V63</f>
        <v>1</v>
      </c>
      <c r="I194" s="268">
        <f>PRODUCT(F192,G194,H194)</f>
        <v>10.262256000000001</v>
      </c>
      <c r="J194" s="283">
        <f>'Giá VL'!G13</f>
        <v>90000</v>
      </c>
      <c r="K194" s="283">
        <f>PRODUCT(G194,H194,J194)</f>
        <v>12060000</v>
      </c>
      <c r="L194" s="283">
        <f>'Giá VL'!J13</f>
        <v>170000</v>
      </c>
      <c r="M194" s="284">
        <f>PRODUCT(G194,H194,L194)</f>
        <v>22780000</v>
      </c>
      <c r="N194" s="284">
        <v>0</v>
      </c>
      <c r="O194" s="284">
        <v>0</v>
      </c>
      <c r="P194" s="284">
        <f>'Giá VL'!V13</f>
        <v>240458.05475587127</v>
      </c>
      <c r="Q194" s="284">
        <f>PRODUCT(G194,H194,P194)</f>
        <v>32221379.337286752</v>
      </c>
      <c r="R194" s="287">
        <v>0</v>
      </c>
    </row>
    <row r="195" spans="1:18">
      <c r="A195" s="240"/>
      <c r="B195" s="260">
        <v>0</v>
      </c>
      <c r="C195" s="261" t="s">
        <v>590</v>
      </c>
      <c r="D195" s="262" t="s">
        <v>265</v>
      </c>
      <c r="E195" s="260"/>
      <c r="F195" s="263">
        <v>0</v>
      </c>
      <c r="G195" s="264">
        <v>0</v>
      </c>
      <c r="H195" s="264"/>
      <c r="I195" s="264">
        <v>0</v>
      </c>
      <c r="J195" s="281">
        <v>0</v>
      </c>
      <c r="K195" s="281">
        <f>SUM(K196:K196)</f>
        <v>704730</v>
      </c>
      <c r="L195" s="281">
        <v>0</v>
      </c>
      <c r="M195" s="282">
        <f>SUM(M196:M196)</f>
        <v>770352.96000000008</v>
      </c>
      <c r="N195" s="282">
        <v>0</v>
      </c>
      <c r="O195" s="282">
        <v>0</v>
      </c>
      <c r="P195" s="282">
        <v>0</v>
      </c>
      <c r="Q195" s="282">
        <f>SUM(Q196:Q196)</f>
        <v>770352.96000000008</v>
      </c>
      <c r="R195" s="287">
        <v>0</v>
      </c>
    </row>
    <row r="196" spans="1:18">
      <c r="A196" s="246"/>
      <c r="B196" s="265">
        <v>0</v>
      </c>
      <c r="C196" s="680" t="s">
        <v>605</v>
      </c>
      <c r="D196" s="266" t="str">
        <f>" - "&amp;'Giá NC'!E8</f>
        <v xml:space="preserve"> - Nhân công bậc 3,0/7 - Nhóm 2</v>
      </c>
      <c r="E196" s="265" t="str">
        <f>'Giá NC'!F8</f>
        <v>công</v>
      </c>
      <c r="F196" s="267">
        <v>0</v>
      </c>
      <c r="G196" s="268">
        <v>3.12</v>
      </c>
      <c r="H196" s="268">
        <f>'5.Tiên lượng'!W63</f>
        <v>1</v>
      </c>
      <c r="I196" s="268">
        <f>PRODUCT(F192,G196,H196)</f>
        <v>0.23894208</v>
      </c>
      <c r="J196" s="283">
        <f>'Giá NC'!G8</f>
        <v>225875</v>
      </c>
      <c r="K196" s="283">
        <f>PRODUCT(G196,H196,J196)</f>
        <v>704730</v>
      </c>
      <c r="L196" s="283">
        <f>'Giá NC'!H8</f>
        <v>246908</v>
      </c>
      <c r="M196" s="284">
        <f>PRODUCT(G196,H196,L196)</f>
        <v>770352.96000000008</v>
      </c>
      <c r="N196" s="284">
        <v>0</v>
      </c>
      <c r="O196" s="284">
        <v>0</v>
      </c>
      <c r="P196" s="284">
        <f>'Giá NC'!K8</f>
        <v>246908</v>
      </c>
      <c r="Q196" s="284">
        <f>PRODUCT(G196,H196,P196)</f>
        <v>770352.96000000008</v>
      </c>
      <c r="R196" s="287">
        <v>0</v>
      </c>
    </row>
    <row r="197" spans="1:18">
      <c r="A197" s="240"/>
      <c r="B197" s="260">
        <v>0</v>
      </c>
      <c r="C197" s="261" t="s">
        <v>590</v>
      </c>
      <c r="D197" s="262" t="s">
        <v>267</v>
      </c>
      <c r="E197" s="260"/>
      <c r="F197" s="263">
        <v>0</v>
      </c>
      <c r="G197" s="264">
        <v>0</v>
      </c>
      <c r="H197" s="264"/>
      <c r="I197" s="264">
        <v>0</v>
      </c>
      <c r="J197" s="281">
        <v>0</v>
      </c>
      <c r="K197" s="281">
        <f>SUM(K198:K203)</f>
        <v>2313287.7064239779</v>
      </c>
      <c r="L197" s="281">
        <v>0</v>
      </c>
      <c r="M197" s="282">
        <f>SUM(M198:M203)</f>
        <v>198171.84959999999</v>
      </c>
      <c r="N197" s="282">
        <v>0</v>
      </c>
      <c r="O197" s="282">
        <v>0</v>
      </c>
      <c r="P197" s="282">
        <v>0</v>
      </c>
      <c r="Q197" s="282">
        <f>SUM(Q198:Q203)</f>
        <v>2369565.459726376</v>
      </c>
      <c r="R197" s="287">
        <v>0</v>
      </c>
    </row>
    <row r="198" spans="1:18">
      <c r="A198" s="246"/>
      <c r="B198" s="265">
        <v>0</v>
      </c>
      <c r="C198" s="680" t="s">
        <v>606</v>
      </c>
      <c r="D198" s="266" t="str">
        <f>" - "&amp;'Giá Máy'!E24</f>
        <v xml:space="preserve"> - Máy rải cấp phối đá dăm 50 - 60m3/h</v>
      </c>
      <c r="E198" s="265" t="str">
        <f>'Giá Máy'!F24</f>
        <v>ca</v>
      </c>
      <c r="F198" s="267">
        <v>0</v>
      </c>
      <c r="G198" s="268">
        <v>0.21</v>
      </c>
      <c r="H198" s="268">
        <f>'5.Tiên lượng'!X63</f>
        <v>1</v>
      </c>
      <c r="I198" s="268">
        <f>PRODUCT(F192,G198,H198)</f>
        <v>1.6082639999999999E-2</v>
      </c>
      <c r="J198" s="283">
        <f>'Giá Máy'!G24</f>
        <v>3528139.6955555598</v>
      </c>
      <c r="K198" s="283">
        <f t="shared" ref="K198:K203" si="75">PRODUCT(G198,H198,J198)</f>
        <v>740909.33606666757</v>
      </c>
      <c r="L198" s="283">
        <f>'Giá Máy'!H24</f>
        <v>0</v>
      </c>
      <c r="M198" s="284">
        <f t="shared" ref="M198:M203" si="76">PRODUCT(G198,H198,L198)</f>
        <v>0</v>
      </c>
      <c r="N198" s="284">
        <v>0</v>
      </c>
      <c r="O198" s="284">
        <v>0</v>
      </c>
      <c r="P198" s="284">
        <f>'Giá Máy'!O24</f>
        <v>3572483.6555555556</v>
      </c>
      <c r="Q198" s="284">
        <f t="shared" ref="Q198:Q203" si="77">PRODUCT(G198,H198,P198)</f>
        <v>750221.5676666667</v>
      </c>
      <c r="R198" s="287">
        <v>0.5</v>
      </c>
    </row>
    <row r="199" spans="1:18">
      <c r="A199" s="246"/>
      <c r="B199" s="265">
        <v>0</v>
      </c>
      <c r="C199" s="680" t="s">
        <v>607</v>
      </c>
      <c r="D199" s="266" t="str">
        <f>" - "&amp;'Giá Máy'!E19</f>
        <v xml:space="preserve"> - Máy lu rung tự hành 25T</v>
      </c>
      <c r="E199" s="265" t="str">
        <f>'Giá Máy'!F19</f>
        <v>ca</v>
      </c>
      <c r="F199" s="267">
        <v>0</v>
      </c>
      <c r="G199" s="268">
        <v>0.32</v>
      </c>
      <c r="H199" s="268">
        <f>'5.Tiên lượng'!X63</f>
        <v>1</v>
      </c>
      <c r="I199" s="268">
        <f>PRODUCT(F192,G199,H199)</f>
        <v>2.4506880000000002E-2</v>
      </c>
      <c r="J199" s="283">
        <f>'Giá Máy'!G19</f>
        <v>2717265.9248888898</v>
      </c>
      <c r="K199" s="283">
        <f t="shared" si="75"/>
        <v>869525.0959644448</v>
      </c>
      <c r="L199" s="283">
        <f>'Giá Máy'!H19</f>
        <v>0</v>
      </c>
      <c r="M199" s="284">
        <f t="shared" si="76"/>
        <v>0</v>
      </c>
      <c r="N199" s="284">
        <v>0</v>
      </c>
      <c r="O199" s="284">
        <v>0</v>
      </c>
      <c r="P199" s="284">
        <f>'Giá Máy'!O19</f>
        <v>2794294.0688888887</v>
      </c>
      <c r="Q199" s="284">
        <f t="shared" si="77"/>
        <v>894174.10204444441</v>
      </c>
      <c r="R199" s="287">
        <v>0.5</v>
      </c>
    </row>
    <row r="200" spans="1:18">
      <c r="A200" s="246"/>
      <c r="B200" s="265">
        <v>0</v>
      </c>
      <c r="C200" s="680" t="s">
        <v>608</v>
      </c>
      <c r="D200" s="266" t="str">
        <f>" - "&amp;'Giá Máy'!E38</f>
        <v xml:space="preserve"> - Máy lu bánh hơi tự hành 16T</v>
      </c>
      <c r="E200" s="265" t="str">
        <f>'Giá Máy'!F38</f>
        <v>ca</v>
      </c>
      <c r="F200" s="267">
        <v>0</v>
      </c>
      <c r="G200" s="268">
        <v>0.12</v>
      </c>
      <c r="H200" s="268">
        <f>'5.Tiên lượng'!X63</f>
        <v>1</v>
      </c>
      <c r="I200" s="268">
        <f>PRODUCT(F192,G200,H200)</f>
        <v>9.1900799999999998E-3</v>
      </c>
      <c r="J200" s="283">
        <f>'Giá Máy'!G38</f>
        <v>1498752.32622222</v>
      </c>
      <c r="K200" s="283">
        <f t="shared" si="75"/>
        <v>179850.27914666638</v>
      </c>
      <c r="L200" s="283">
        <f>'Giá Máy'!H38</f>
        <v>1643216</v>
      </c>
      <c r="M200" s="284">
        <f t="shared" si="76"/>
        <v>197185.91999999998</v>
      </c>
      <c r="N200" s="284">
        <v>0</v>
      </c>
      <c r="O200" s="284">
        <v>0</v>
      </c>
      <c r="P200" s="284">
        <f>'Giá Máy'!O38</f>
        <v>1553246.5422222223</v>
      </c>
      <c r="Q200" s="284">
        <f t="shared" si="77"/>
        <v>186389.58506666668</v>
      </c>
      <c r="R200" s="287">
        <v>0.5</v>
      </c>
    </row>
    <row r="201" spans="1:18">
      <c r="A201" s="246"/>
      <c r="B201" s="265">
        <v>0</v>
      </c>
      <c r="C201" s="680" t="s">
        <v>609</v>
      </c>
      <c r="D201" s="266" t="str">
        <f>" - "&amp;'Giá Máy'!E17</f>
        <v xml:space="preserve"> - Máy lu bánh thép 10T</v>
      </c>
      <c r="E201" s="265" t="str">
        <f>'Giá Máy'!F17</f>
        <v>ca</v>
      </c>
      <c r="F201" s="267">
        <v>0</v>
      </c>
      <c r="G201" s="268">
        <v>0.26</v>
      </c>
      <c r="H201" s="268">
        <f>'5.Tiên lượng'!X63</f>
        <v>1</v>
      </c>
      <c r="I201" s="268">
        <f>PRODUCT(F192,G201,H201)</f>
        <v>1.991184E-2</v>
      </c>
      <c r="J201" s="283">
        <f>'Giá Máy'!G17</f>
        <v>1086987.4154074099</v>
      </c>
      <c r="K201" s="283">
        <f t="shared" si="75"/>
        <v>282616.72800592659</v>
      </c>
      <c r="L201" s="283">
        <f>'Giá Máy'!H17</f>
        <v>0</v>
      </c>
      <c r="M201" s="284">
        <f t="shared" si="76"/>
        <v>0</v>
      </c>
      <c r="N201" s="284">
        <v>0</v>
      </c>
      <c r="O201" s="284">
        <v>0</v>
      </c>
      <c r="P201" s="284">
        <f>'Giá Máy'!O17</f>
        <v>1132157.2474074075</v>
      </c>
      <c r="Q201" s="284">
        <f t="shared" si="77"/>
        <v>294360.88432592596</v>
      </c>
      <c r="R201" s="287">
        <v>0.5</v>
      </c>
    </row>
    <row r="202" spans="1:18">
      <c r="A202" s="246"/>
      <c r="B202" s="265">
        <v>0</v>
      </c>
      <c r="C202" s="680" t="s">
        <v>610</v>
      </c>
      <c r="D202" s="266" t="str">
        <f>" - "&amp;'Giá Máy'!E33</f>
        <v xml:space="preserve"> - Ô tô tưới nước 5m3</v>
      </c>
      <c r="E202" s="265" t="str">
        <f>'Giá Máy'!F33</f>
        <v>ca</v>
      </c>
      <c r="F202" s="267">
        <v>0</v>
      </c>
      <c r="G202" s="268">
        <v>0.21</v>
      </c>
      <c r="H202" s="268">
        <f>'5.Tiên lượng'!X63</f>
        <v>1</v>
      </c>
      <c r="I202" s="268">
        <f>PRODUCT(F192,G202,H202)</f>
        <v>1.6082639999999999E-2</v>
      </c>
      <c r="J202" s="283">
        <f>'Giá Máy'!G33</f>
        <v>1089892.2532307699</v>
      </c>
      <c r="K202" s="283">
        <f t="shared" si="75"/>
        <v>228877.37317846165</v>
      </c>
      <c r="L202" s="283">
        <f>'Giá Máy'!H33</f>
        <v>0</v>
      </c>
      <c r="M202" s="284">
        <f t="shared" si="76"/>
        <v>0</v>
      </c>
      <c r="N202" s="284">
        <v>0</v>
      </c>
      <c r="O202" s="284">
        <v>0</v>
      </c>
      <c r="P202" s="284">
        <f>'Giá Máy'!O33</f>
        <v>1107763.9892307692</v>
      </c>
      <c r="Q202" s="284">
        <f t="shared" si="77"/>
        <v>232630.43773846154</v>
      </c>
      <c r="R202" s="287">
        <v>0.5</v>
      </c>
    </row>
    <row r="203" spans="1:18">
      <c r="A203" s="251"/>
      <c r="B203" s="269">
        <v>0</v>
      </c>
      <c r="C203" s="681" t="s">
        <v>611</v>
      </c>
      <c r="D203" s="270" t="s">
        <v>612</v>
      </c>
      <c r="E203" s="269" t="s">
        <v>37</v>
      </c>
      <c r="F203" s="271">
        <v>0</v>
      </c>
      <c r="G203" s="272">
        <f>AVERAGE(R198:R202)</f>
        <v>0.5</v>
      </c>
      <c r="H203" s="272">
        <f>'5.Tiên lượng'!X63</f>
        <v>1</v>
      </c>
      <c r="I203" s="272">
        <f>PRODUCT(F192,G203,H203)</f>
        <v>3.8292E-2</v>
      </c>
      <c r="J203" s="285">
        <f>(G198*J198+G199*J199+G200*J200+G201*J201+G202*J202)/100</f>
        <v>23017.788123621671</v>
      </c>
      <c r="K203" s="285">
        <f t="shared" si="75"/>
        <v>11508.894061810835</v>
      </c>
      <c r="L203" s="285">
        <f>(G198*L198+G199*L199+G200*L200+G201*L201+G202*L202)/100</f>
        <v>1971.8591999999999</v>
      </c>
      <c r="M203" s="286">
        <f t="shared" si="76"/>
        <v>985.92959999999994</v>
      </c>
      <c r="N203" s="286">
        <v>0</v>
      </c>
      <c r="O203" s="286">
        <v>0</v>
      </c>
      <c r="P203" s="286">
        <f>(G198*P198+G199*P199+G200*P200+G201*P201+G202*P202)/100</f>
        <v>23577.76576842165</v>
      </c>
      <c r="Q203" s="286">
        <f t="shared" si="77"/>
        <v>11788.882884210825</v>
      </c>
      <c r="R203" s="288">
        <v>0</v>
      </c>
    </row>
    <row r="204" spans="1:18">
      <c r="A204" s="234"/>
      <c r="B204" s="256">
        <v>25</v>
      </c>
      <c r="C204" s="234" t="str">
        <f>'5.Tiên lượng'!C65</f>
        <v>AF.82411</v>
      </c>
      <c r="D204" s="257" t="str">
        <f>'5.Tiên lượng'!D65</f>
        <v>Ván khuôn thép mặt đường bê tông</v>
      </c>
      <c r="E204" s="256" t="str">
        <f>'5.Tiên lượng'!E65</f>
        <v>100m2</v>
      </c>
      <c r="F204" s="258">
        <f>'5.Tiên lượng'!M65</f>
        <v>0.14080000000000001</v>
      </c>
      <c r="G204" s="259">
        <v>0</v>
      </c>
      <c r="H204" s="259">
        <v>0</v>
      </c>
      <c r="I204" s="259">
        <v>0</v>
      </c>
      <c r="J204" s="279">
        <v>0</v>
      </c>
      <c r="K204" s="279">
        <v>0</v>
      </c>
      <c r="L204" s="279">
        <v>0</v>
      </c>
      <c r="M204" s="280">
        <v>0</v>
      </c>
      <c r="N204" s="280">
        <v>0</v>
      </c>
      <c r="O204" s="280">
        <v>0</v>
      </c>
      <c r="P204" s="280">
        <v>0</v>
      </c>
      <c r="Q204" s="280">
        <v>0</v>
      </c>
      <c r="R204" s="222">
        <v>0</v>
      </c>
    </row>
    <row r="205" spans="1:18">
      <c r="A205" s="240"/>
      <c r="B205" s="260">
        <v>0</v>
      </c>
      <c r="C205" s="261" t="s">
        <v>590</v>
      </c>
      <c r="D205" s="262" t="s">
        <v>262</v>
      </c>
      <c r="E205" s="260"/>
      <c r="F205" s="263">
        <v>0</v>
      </c>
      <c r="G205" s="264">
        <v>0</v>
      </c>
      <c r="H205" s="264"/>
      <c r="I205" s="264">
        <v>0</v>
      </c>
      <c r="J205" s="281">
        <v>0</v>
      </c>
      <c r="K205" s="281">
        <f>SUM(K206:K208)</f>
        <v>615310.5</v>
      </c>
      <c r="L205" s="281">
        <v>0</v>
      </c>
      <c r="M205" s="282">
        <f>SUM(M206:M208)</f>
        <v>615310.5</v>
      </c>
      <c r="N205" s="282">
        <v>0</v>
      </c>
      <c r="O205" s="282">
        <v>0</v>
      </c>
      <c r="P205" s="282">
        <v>0</v>
      </c>
      <c r="Q205" s="282">
        <f>SUM(Q206:Q208)</f>
        <v>618210.99161675188</v>
      </c>
      <c r="R205" s="287">
        <v>0</v>
      </c>
    </row>
    <row r="206" spans="1:18">
      <c r="A206" s="246"/>
      <c r="B206" s="265">
        <v>0</v>
      </c>
      <c r="C206" s="680" t="s">
        <v>627</v>
      </c>
      <c r="D206" s="266" t="str">
        <f>" - "&amp;'Giá VL'!E40</f>
        <v xml:space="preserve"> - Thép hình, thép tấm</v>
      </c>
      <c r="E206" s="265" t="str">
        <f>'Giá VL'!F40</f>
        <v>kg</v>
      </c>
      <c r="F206" s="267">
        <v>0</v>
      </c>
      <c r="G206" s="268">
        <v>31.5</v>
      </c>
      <c r="H206" s="268">
        <f>'5.Tiên lượng'!V65</f>
        <v>1</v>
      </c>
      <c r="I206" s="268">
        <f>PRODUCT(F204,G206,H206)</f>
        <v>4.4352</v>
      </c>
      <c r="J206" s="283">
        <f>'Giá VL'!G40</f>
        <v>17500</v>
      </c>
      <c r="K206" s="283">
        <f t="shared" ref="K206:K208" si="78">PRODUCT(G206,H206,J206)</f>
        <v>551250</v>
      </c>
      <c r="L206" s="283">
        <f>'Giá VL'!J40</f>
        <v>17500</v>
      </c>
      <c r="M206" s="284">
        <f t="shared" ref="M206:M208" si="79">PRODUCT(G206,H206,L206)</f>
        <v>551250</v>
      </c>
      <c r="N206" s="284">
        <v>0</v>
      </c>
      <c r="O206" s="284">
        <v>0</v>
      </c>
      <c r="P206" s="284">
        <f>'Giá VL'!V40</f>
        <v>17587.694379947148</v>
      </c>
      <c r="Q206" s="284">
        <f t="shared" ref="Q206:Q208" si="80">PRODUCT(G206,H206,P206)</f>
        <v>554012.37296833517</v>
      </c>
      <c r="R206" s="287">
        <v>5</v>
      </c>
    </row>
    <row r="207" spans="1:18">
      <c r="A207" s="246"/>
      <c r="B207" s="265">
        <v>0</v>
      </c>
      <c r="C207" s="680" t="s">
        <v>628</v>
      </c>
      <c r="D207" s="266" t="str">
        <f>" - "&amp;'Giá VL'!E37</f>
        <v xml:space="preserve"> - Que hàn</v>
      </c>
      <c r="E207" s="265" t="str">
        <f>'Giá VL'!F37</f>
        <v>kg</v>
      </c>
      <c r="F207" s="267">
        <v>0</v>
      </c>
      <c r="G207" s="268">
        <v>1.58</v>
      </c>
      <c r="H207" s="268">
        <f>'5.Tiên lượng'!V65</f>
        <v>1</v>
      </c>
      <c r="I207" s="268">
        <f>PRODUCT(F204,G207,H207)</f>
        <v>0.22246400000000002</v>
      </c>
      <c r="J207" s="283">
        <f>'Giá VL'!G37</f>
        <v>22000</v>
      </c>
      <c r="K207" s="283">
        <f t="shared" si="78"/>
        <v>34760</v>
      </c>
      <c r="L207" s="283">
        <f>'Giá VL'!J37</f>
        <v>22000</v>
      </c>
      <c r="M207" s="284">
        <f t="shared" si="79"/>
        <v>34760</v>
      </c>
      <c r="N207" s="284">
        <v>0</v>
      </c>
      <c r="O207" s="284">
        <v>0</v>
      </c>
      <c r="P207" s="284">
        <f>'Giá VL'!V37</f>
        <v>22000</v>
      </c>
      <c r="Q207" s="284">
        <f t="shared" si="80"/>
        <v>34760</v>
      </c>
      <c r="R207" s="287">
        <v>5</v>
      </c>
    </row>
    <row r="208" spans="1:18">
      <c r="A208" s="246"/>
      <c r="B208" s="265">
        <v>0</v>
      </c>
      <c r="C208" s="680" t="s">
        <v>620</v>
      </c>
      <c r="D208" s="266" t="s">
        <v>621</v>
      </c>
      <c r="E208" s="265" t="s">
        <v>37</v>
      </c>
      <c r="F208" s="267">
        <v>0</v>
      </c>
      <c r="G208" s="268">
        <f>AVERAGE(R206:R207)</f>
        <v>5</v>
      </c>
      <c r="H208" s="268">
        <f>'5.Tiên lượng'!V65</f>
        <v>1</v>
      </c>
      <c r="I208" s="268">
        <f>PRODUCT(F204,G208,H208)</f>
        <v>0.70400000000000007</v>
      </c>
      <c r="J208" s="283">
        <f>(G206*J206+G207*J207)/100</f>
        <v>5860.1</v>
      </c>
      <c r="K208" s="283">
        <f t="shared" si="78"/>
        <v>29300.5</v>
      </c>
      <c r="L208" s="283">
        <f>(G206*L206+G207*L207)/100</f>
        <v>5860.1</v>
      </c>
      <c r="M208" s="284">
        <f t="shared" si="79"/>
        <v>29300.5</v>
      </c>
      <c r="N208" s="284">
        <v>0</v>
      </c>
      <c r="O208" s="284">
        <v>0</v>
      </c>
      <c r="P208" s="284">
        <f>(G206*P206+G207*P207)/100</f>
        <v>5887.7237296833518</v>
      </c>
      <c r="Q208" s="284">
        <f t="shared" si="80"/>
        <v>29438.618648416759</v>
      </c>
      <c r="R208" s="287">
        <v>0</v>
      </c>
    </row>
    <row r="209" spans="1:18">
      <c r="A209" s="240"/>
      <c r="B209" s="260">
        <v>0</v>
      </c>
      <c r="C209" s="261" t="s">
        <v>590</v>
      </c>
      <c r="D209" s="262" t="s">
        <v>265</v>
      </c>
      <c r="E209" s="260"/>
      <c r="F209" s="263">
        <v>0</v>
      </c>
      <c r="G209" s="264">
        <v>0</v>
      </c>
      <c r="H209" s="264"/>
      <c r="I209" s="264">
        <v>0</v>
      </c>
      <c r="J209" s="281">
        <v>0</v>
      </c>
      <c r="K209" s="281">
        <f>SUM(K210:K210)</f>
        <v>3083437.5</v>
      </c>
      <c r="L209" s="281">
        <v>0</v>
      </c>
      <c r="M209" s="282">
        <f>SUM(M210:M210)</f>
        <v>3370558</v>
      </c>
      <c r="N209" s="282">
        <v>0</v>
      </c>
      <c r="O209" s="282">
        <v>0</v>
      </c>
      <c r="P209" s="282">
        <v>0</v>
      </c>
      <c r="Q209" s="282">
        <f>SUM(Q210:Q210)</f>
        <v>3370558</v>
      </c>
      <c r="R209" s="287">
        <v>0</v>
      </c>
    </row>
    <row r="210" spans="1:18">
      <c r="A210" s="246"/>
      <c r="B210" s="265">
        <v>0</v>
      </c>
      <c r="C210" s="680" t="s">
        <v>629</v>
      </c>
      <c r="D210" s="266" t="str">
        <f>" - "&amp;'Giá NC'!E10</f>
        <v xml:space="preserve"> - Nhân công bậc 4,0/7 - Nhóm 2</v>
      </c>
      <c r="E210" s="265" t="str">
        <f>'Giá NC'!F10</f>
        <v>công</v>
      </c>
      <c r="F210" s="267">
        <v>0</v>
      </c>
      <c r="G210" s="268">
        <v>11.5</v>
      </c>
      <c r="H210" s="268">
        <f>'5.Tiên lượng'!W65</f>
        <v>1</v>
      </c>
      <c r="I210" s="268">
        <f>PRODUCT(F204,G210,H210)</f>
        <v>1.6192000000000002</v>
      </c>
      <c r="J210" s="283">
        <f>'Giá NC'!G10</f>
        <v>268125</v>
      </c>
      <c r="K210" s="283">
        <f>PRODUCT(G210,H210,J210)</f>
        <v>3083437.5</v>
      </c>
      <c r="L210" s="283">
        <f>'Giá NC'!H10</f>
        <v>293092</v>
      </c>
      <c r="M210" s="284">
        <f>PRODUCT(G210,H210,L210)</f>
        <v>3370558</v>
      </c>
      <c r="N210" s="284">
        <v>0</v>
      </c>
      <c r="O210" s="284">
        <v>0</v>
      </c>
      <c r="P210" s="284">
        <f>'Giá NC'!K10</f>
        <v>293092</v>
      </c>
      <c r="Q210" s="284">
        <f>PRODUCT(G210,H210,P210)</f>
        <v>3370558</v>
      </c>
      <c r="R210" s="287">
        <v>0</v>
      </c>
    </row>
    <row r="211" spans="1:18">
      <c r="A211" s="240"/>
      <c r="B211" s="260">
        <v>0</v>
      </c>
      <c r="C211" s="261" t="s">
        <v>590</v>
      </c>
      <c r="D211" s="262" t="s">
        <v>267</v>
      </c>
      <c r="E211" s="260"/>
      <c r="F211" s="263">
        <v>0</v>
      </c>
      <c r="G211" s="264">
        <v>0</v>
      </c>
      <c r="H211" s="264"/>
      <c r="I211" s="264">
        <v>0</v>
      </c>
      <c r="J211" s="281">
        <v>0</v>
      </c>
      <c r="K211" s="281">
        <f>SUM(K212:K213)</f>
        <v>168279.29389555199</v>
      </c>
      <c r="L211" s="281">
        <v>0</v>
      </c>
      <c r="M211" s="282">
        <f>SUM(M212:M213)</f>
        <v>167071.71599999999</v>
      </c>
      <c r="N211" s="282">
        <v>0</v>
      </c>
      <c r="O211" s="282">
        <v>0</v>
      </c>
      <c r="P211" s="282">
        <v>0</v>
      </c>
      <c r="Q211" s="282">
        <f>SUM(Q212:Q213)</f>
        <v>182920.82011862399</v>
      </c>
      <c r="R211" s="287">
        <v>0</v>
      </c>
    </row>
    <row r="212" spans="1:18">
      <c r="A212" s="246"/>
      <c r="B212" s="265">
        <v>0</v>
      </c>
      <c r="C212" s="680" t="s">
        <v>630</v>
      </c>
      <c r="D212" s="266" t="str">
        <f>" - "&amp;'Giá Máy'!E16</f>
        <v xml:space="preserve"> - Máy hàn điện 23kW</v>
      </c>
      <c r="E212" s="265" t="str">
        <f>'Giá Máy'!F16</f>
        <v>ca</v>
      </c>
      <c r="F212" s="267">
        <v>0</v>
      </c>
      <c r="G212" s="268">
        <v>0.42</v>
      </c>
      <c r="H212" s="268">
        <f>'5.Tiên lượng'!X65</f>
        <v>1</v>
      </c>
      <c r="I212" s="268">
        <f>PRODUCT(F204,G212,H212)</f>
        <v>5.9136000000000001E-2</v>
      </c>
      <c r="J212" s="283">
        <f>'Giá Máy'!G16</f>
        <v>392808.80927999999</v>
      </c>
      <c r="K212" s="283">
        <f t="shared" ref="K212:K213" si="81">PRODUCT(G212,H212,J212)</f>
        <v>164979.69989759999</v>
      </c>
      <c r="L212" s="283">
        <f>'Giá Máy'!H16</f>
        <v>389990</v>
      </c>
      <c r="M212" s="284">
        <f t="shared" ref="M212:M213" si="82">PRODUCT(G212,H212,L212)</f>
        <v>163795.79999999999</v>
      </c>
      <c r="N212" s="284">
        <v>0</v>
      </c>
      <c r="O212" s="284">
        <v>0</v>
      </c>
      <c r="P212" s="284">
        <f>'Giá Máy'!O16</f>
        <v>426986.04135999997</v>
      </c>
      <c r="Q212" s="284">
        <f t="shared" ref="Q212:Q213" si="83">PRODUCT(G212,H212,P212)</f>
        <v>179334.13737119999</v>
      </c>
      <c r="R212" s="287">
        <v>2</v>
      </c>
    </row>
    <row r="213" spans="1:18">
      <c r="A213" s="251"/>
      <c r="B213" s="269">
        <v>0</v>
      </c>
      <c r="C213" s="681" t="s">
        <v>611</v>
      </c>
      <c r="D213" s="270" t="s">
        <v>612</v>
      </c>
      <c r="E213" s="269" t="s">
        <v>37</v>
      </c>
      <c r="F213" s="271">
        <v>0</v>
      </c>
      <c r="G213" s="272">
        <f>AVERAGE(R212:R212)</f>
        <v>2</v>
      </c>
      <c r="H213" s="272">
        <f>'5.Tiên lượng'!X65</f>
        <v>1</v>
      </c>
      <c r="I213" s="272">
        <f>PRODUCT(F204,G213,H213)</f>
        <v>0.28160000000000002</v>
      </c>
      <c r="J213" s="285">
        <f>(G212*J212)/100</f>
        <v>1649.7969989759999</v>
      </c>
      <c r="K213" s="285">
        <f t="shared" si="81"/>
        <v>3299.5939979519999</v>
      </c>
      <c r="L213" s="285">
        <f>(G212*L212)/100</f>
        <v>1637.9579999999999</v>
      </c>
      <c r="M213" s="286">
        <f t="shared" si="82"/>
        <v>3275.9159999999997</v>
      </c>
      <c r="N213" s="286">
        <v>0</v>
      </c>
      <c r="O213" s="286">
        <v>0</v>
      </c>
      <c r="P213" s="286">
        <f>(G212*P212)/100</f>
        <v>1793.3413737119999</v>
      </c>
      <c r="Q213" s="286">
        <f t="shared" si="83"/>
        <v>3586.6827474239999</v>
      </c>
      <c r="R213" s="288">
        <v>0</v>
      </c>
    </row>
    <row r="214" spans="1:18">
      <c r="A214" s="234"/>
      <c r="B214" s="256">
        <v>26</v>
      </c>
      <c r="C214" s="234" t="str">
        <f>'5.Tiên lượng'!C67</f>
        <v>AL.24111</v>
      </c>
      <c r="D214" s="257" t="str">
        <f>'5.Tiên lượng'!D67</f>
        <v>Thi công khe co không có thanh TL</v>
      </c>
      <c r="E214" s="256" t="str">
        <f>'5.Tiên lượng'!E67</f>
        <v>m</v>
      </c>
      <c r="F214" s="258">
        <f>'5.Tiên lượng'!M67</f>
        <v>1026</v>
      </c>
      <c r="G214" s="259">
        <v>0</v>
      </c>
      <c r="H214" s="259">
        <v>0</v>
      </c>
      <c r="I214" s="259">
        <v>0</v>
      </c>
      <c r="J214" s="279">
        <v>0</v>
      </c>
      <c r="K214" s="279">
        <v>0</v>
      </c>
      <c r="L214" s="279">
        <v>0</v>
      </c>
      <c r="M214" s="280">
        <v>0</v>
      </c>
      <c r="N214" s="280">
        <v>0</v>
      </c>
      <c r="O214" s="280">
        <v>0</v>
      </c>
      <c r="P214" s="280">
        <v>0</v>
      </c>
      <c r="Q214" s="280">
        <v>0</v>
      </c>
      <c r="R214" s="222">
        <v>0</v>
      </c>
    </row>
    <row r="215" spans="1:18">
      <c r="A215" s="240"/>
      <c r="B215" s="260">
        <v>0</v>
      </c>
      <c r="C215" s="261" t="s">
        <v>590</v>
      </c>
      <c r="D215" s="262" t="s">
        <v>262</v>
      </c>
      <c r="E215" s="260"/>
      <c r="F215" s="263">
        <v>0</v>
      </c>
      <c r="G215" s="264">
        <v>0</v>
      </c>
      <c r="H215" s="264"/>
      <c r="I215" s="264">
        <v>0</v>
      </c>
      <c r="J215" s="281">
        <v>0</v>
      </c>
      <c r="K215" s="281">
        <f>SUM(K216:K219)</f>
        <v>77161.529690740848</v>
      </c>
      <c r="L215" s="281">
        <v>0</v>
      </c>
      <c r="M215" s="282">
        <f>SUM(M216:M219)</f>
        <v>77393.399999999994</v>
      </c>
      <c r="N215" s="282">
        <v>0</v>
      </c>
      <c r="O215" s="282">
        <v>0</v>
      </c>
      <c r="P215" s="282">
        <v>0</v>
      </c>
      <c r="Q215" s="282">
        <f>SUM(Q216:Q219)</f>
        <v>77759.339445135047</v>
      </c>
      <c r="R215" s="287">
        <v>0</v>
      </c>
    </row>
    <row r="216" spans="1:18">
      <c r="A216" s="246"/>
      <c r="B216" s="265">
        <v>0</v>
      </c>
      <c r="C216" s="680" t="s">
        <v>631</v>
      </c>
      <c r="D216" s="266" t="str">
        <f>" - "&amp;'Giá VL'!E28</f>
        <v xml:space="preserve"> - Ma tít chèn khe</v>
      </c>
      <c r="E216" s="265" t="str">
        <f>'Giá VL'!F28</f>
        <v>kg</v>
      </c>
      <c r="F216" s="267">
        <v>0</v>
      </c>
      <c r="G216" s="268">
        <v>1.36</v>
      </c>
      <c r="H216" s="268">
        <f>'5.Tiên lượng'!V67</f>
        <v>1</v>
      </c>
      <c r="I216" s="268">
        <f>PRODUCT(F214,G216,H216)</f>
        <v>1395.3600000000001</v>
      </c>
      <c r="J216" s="283">
        <f>'Giá VL'!G28</f>
        <v>4000</v>
      </c>
      <c r="K216" s="283">
        <f t="shared" ref="K216:K219" si="84">PRODUCT(G216,H216,J216)</f>
        <v>5440</v>
      </c>
      <c r="L216" s="283">
        <f>'Giá VL'!J28</f>
        <v>4000</v>
      </c>
      <c r="M216" s="284">
        <f t="shared" ref="M216:M219" si="85">PRODUCT(G216,H216,L216)</f>
        <v>5440</v>
      </c>
      <c r="N216" s="284">
        <v>0</v>
      </c>
      <c r="O216" s="284">
        <v>0</v>
      </c>
      <c r="P216" s="284">
        <f>'Giá VL'!V28</f>
        <v>4000</v>
      </c>
      <c r="Q216" s="284">
        <f t="shared" ref="Q216:Q219" si="86">PRODUCT(G216,H216,P216)</f>
        <v>5440</v>
      </c>
      <c r="R216" s="287">
        <v>5</v>
      </c>
    </row>
    <row r="217" spans="1:18">
      <c r="A217" s="246"/>
      <c r="B217" s="265">
        <v>0</v>
      </c>
      <c r="C217" s="680" t="s">
        <v>619</v>
      </c>
      <c r="D217" s="266" t="str">
        <f>" - "&amp;'Giá VL'!E31</f>
        <v xml:space="preserve"> - Nhựa đường</v>
      </c>
      <c r="E217" s="265" t="str">
        <f>'Giá VL'!F31</f>
        <v>kg</v>
      </c>
      <c r="F217" s="267">
        <v>0</v>
      </c>
      <c r="G217" s="268">
        <v>0.13</v>
      </c>
      <c r="H217" s="268">
        <f>'5.Tiên lượng'!V67</f>
        <v>1</v>
      </c>
      <c r="I217" s="268">
        <f>PRODUCT(F214,G217,H217)</f>
        <v>133.38</v>
      </c>
      <c r="J217" s="283">
        <f>'Giá VL'!G31</f>
        <v>11901.316415683899</v>
      </c>
      <c r="K217" s="283">
        <f t="shared" si="84"/>
        <v>1547.171134038907</v>
      </c>
      <c r="L217" s="283">
        <f>'Giá VL'!J31</f>
        <v>13600</v>
      </c>
      <c r="M217" s="284">
        <f t="shared" si="85"/>
        <v>1768</v>
      </c>
      <c r="N217" s="284">
        <v>0</v>
      </c>
      <c r="O217" s="284">
        <v>0</v>
      </c>
      <c r="P217" s="284">
        <f>'Giá VL'!V31</f>
        <v>13717.500872863939</v>
      </c>
      <c r="Q217" s="284">
        <f t="shared" si="86"/>
        <v>1783.2751134723121</v>
      </c>
      <c r="R217" s="287">
        <v>5</v>
      </c>
    </row>
    <row r="218" spans="1:18">
      <c r="A218" s="246"/>
      <c r="B218" s="265">
        <v>0</v>
      </c>
      <c r="C218" s="680" t="s">
        <v>632</v>
      </c>
      <c r="D218" s="266" t="str">
        <f>" - "&amp;'Giá VL'!E38</f>
        <v xml:space="preserve"> - Thép Fi 25</v>
      </c>
      <c r="E218" s="265" t="str">
        <f>'Giá VL'!F38</f>
        <v>kg</v>
      </c>
      <c r="F218" s="267">
        <v>0</v>
      </c>
      <c r="G218" s="268">
        <v>3.8</v>
      </c>
      <c r="H218" s="268">
        <f>'5.Tiên lượng'!V67</f>
        <v>1</v>
      </c>
      <c r="I218" s="268">
        <f>PRODUCT(F214,G218,H218)</f>
        <v>3898.7999999999997</v>
      </c>
      <c r="J218" s="283">
        <f>'Giá VL'!G38</f>
        <v>17500</v>
      </c>
      <c r="K218" s="283">
        <f t="shared" si="84"/>
        <v>66500</v>
      </c>
      <c r="L218" s="283">
        <f>'Giá VL'!J38</f>
        <v>17500</v>
      </c>
      <c r="M218" s="284">
        <f t="shared" si="85"/>
        <v>66500</v>
      </c>
      <c r="N218" s="284">
        <v>0</v>
      </c>
      <c r="O218" s="284">
        <v>0</v>
      </c>
      <c r="P218" s="284">
        <f>'Giá VL'!V38</f>
        <v>17587.694379947148</v>
      </c>
      <c r="Q218" s="284">
        <f t="shared" si="86"/>
        <v>66833.238643799166</v>
      </c>
      <c r="R218" s="287">
        <v>5</v>
      </c>
    </row>
    <row r="219" spans="1:18">
      <c r="A219" s="246"/>
      <c r="B219" s="265">
        <v>0</v>
      </c>
      <c r="C219" s="680" t="s">
        <v>620</v>
      </c>
      <c r="D219" s="266" t="s">
        <v>621</v>
      </c>
      <c r="E219" s="265" t="s">
        <v>37</v>
      </c>
      <c r="F219" s="267">
        <v>0</v>
      </c>
      <c r="G219" s="268">
        <f>AVERAGE(R216:R218)</f>
        <v>5</v>
      </c>
      <c r="H219" s="268">
        <f>'5.Tiên lượng'!V67</f>
        <v>1</v>
      </c>
      <c r="I219" s="268">
        <f>PRODUCT(F214,G219,H219)</f>
        <v>5130</v>
      </c>
      <c r="J219" s="283">
        <f>(G216*J216+G217*J217+G218*J218)/100</f>
        <v>734.87171134038897</v>
      </c>
      <c r="K219" s="283">
        <f t="shared" si="84"/>
        <v>3674.358556701945</v>
      </c>
      <c r="L219" s="283">
        <f>(G216*L216+G217*L217+G218*L218)/100</f>
        <v>737.08</v>
      </c>
      <c r="M219" s="284">
        <f t="shared" si="85"/>
        <v>3685.4</v>
      </c>
      <c r="N219" s="284">
        <v>0</v>
      </c>
      <c r="O219" s="284">
        <v>0</v>
      </c>
      <c r="P219" s="284">
        <f>(G216*P216+G217*P217+G218*P218)/100</f>
        <v>740.56513757271478</v>
      </c>
      <c r="Q219" s="284">
        <f t="shared" si="86"/>
        <v>3702.8256878635739</v>
      </c>
      <c r="R219" s="287">
        <v>0</v>
      </c>
    </row>
    <row r="220" spans="1:18">
      <c r="A220" s="240"/>
      <c r="B220" s="260">
        <v>0</v>
      </c>
      <c r="C220" s="261" t="s">
        <v>590</v>
      </c>
      <c r="D220" s="262" t="s">
        <v>265</v>
      </c>
      <c r="E220" s="260"/>
      <c r="F220" s="263">
        <v>0</v>
      </c>
      <c r="G220" s="264">
        <v>0</v>
      </c>
      <c r="H220" s="264"/>
      <c r="I220" s="264">
        <v>0</v>
      </c>
      <c r="J220" s="281">
        <v>0</v>
      </c>
      <c r="K220" s="281">
        <f>SUM(K221:K221)</f>
        <v>22230</v>
      </c>
      <c r="L220" s="281">
        <v>0</v>
      </c>
      <c r="M220" s="282">
        <f>SUM(M221:M221)</f>
        <v>24300</v>
      </c>
      <c r="N220" s="282">
        <v>0</v>
      </c>
      <c r="O220" s="282">
        <v>0</v>
      </c>
      <c r="P220" s="282">
        <v>0</v>
      </c>
      <c r="Q220" s="282">
        <f>SUM(Q221:Q221)</f>
        <v>24300</v>
      </c>
      <c r="R220" s="287">
        <v>0</v>
      </c>
    </row>
    <row r="221" spans="1:18">
      <c r="A221" s="246"/>
      <c r="B221" s="265">
        <v>0</v>
      </c>
      <c r="C221" s="680" t="s">
        <v>622</v>
      </c>
      <c r="D221" s="266" t="str">
        <f>" - "&amp;'Giá NC'!E9</f>
        <v xml:space="preserve"> - Nhân công bậc 3,5/7 - Nhóm 2</v>
      </c>
      <c r="E221" s="265" t="str">
        <f>'Giá NC'!F9</f>
        <v>công</v>
      </c>
      <c r="F221" s="267">
        <v>0</v>
      </c>
      <c r="G221" s="268">
        <v>0.09</v>
      </c>
      <c r="H221" s="268">
        <f>'5.Tiên lượng'!W67</f>
        <v>1</v>
      </c>
      <c r="I221" s="268">
        <f>PRODUCT(F214,G221,H221)</f>
        <v>92.34</v>
      </c>
      <c r="J221" s="283">
        <f>'Giá NC'!G9</f>
        <v>247000</v>
      </c>
      <c r="K221" s="283">
        <f>PRODUCT(G221,H221,J221)</f>
        <v>22230</v>
      </c>
      <c r="L221" s="283">
        <f>'Giá NC'!H9</f>
        <v>270000</v>
      </c>
      <c r="M221" s="284">
        <f>PRODUCT(G221,H221,L221)</f>
        <v>24300</v>
      </c>
      <c r="N221" s="284">
        <v>0</v>
      </c>
      <c r="O221" s="284">
        <v>0</v>
      </c>
      <c r="P221" s="284">
        <f>'Giá NC'!K9</f>
        <v>270000</v>
      </c>
      <c r="Q221" s="284">
        <f>PRODUCT(G221,H221,P221)</f>
        <v>24300</v>
      </c>
      <c r="R221" s="287">
        <v>0</v>
      </c>
    </row>
    <row r="222" spans="1:18">
      <c r="A222" s="240"/>
      <c r="B222" s="260">
        <v>0</v>
      </c>
      <c r="C222" s="261" t="s">
        <v>590</v>
      </c>
      <c r="D222" s="262" t="s">
        <v>267</v>
      </c>
      <c r="E222" s="260"/>
      <c r="F222" s="263">
        <v>0</v>
      </c>
      <c r="G222" s="264">
        <v>0</v>
      </c>
      <c r="H222" s="264"/>
      <c r="I222" s="264">
        <v>0</v>
      </c>
      <c r="J222" s="281">
        <v>0</v>
      </c>
      <c r="K222" s="281">
        <f>SUM(K223:K225)</f>
        <v>11129.846852172386</v>
      </c>
      <c r="L222" s="281">
        <v>0</v>
      </c>
      <c r="M222" s="282">
        <f>SUM(M223:M225)</f>
        <v>12034.095659999999</v>
      </c>
      <c r="N222" s="282">
        <v>0</v>
      </c>
      <c r="O222" s="282">
        <v>0</v>
      </c>
      <c r="P222" s="282">
        <v>0</v>
      </c>
      <c r="Q222" s="282">
        <f>SUM(Q223:Q225)</f>
        <v>11745.2296420813</v>
      </c>
      <c r="R222" s="287">
        <v>0</v>
      </c>
    </row>
    <row r="223" spans="1:18">
      <c r="A223" s="246"/>
      <c r="B223" s="265">
        <v>0</v>
      </c>
      <c r="C223" s="680" t="s">
        <v>633</v>
      </c>
      <c r="D223" s="266" t="str">
        <f>" - "&amp;'Giá Máy'!E9</f>
        <v xml:space="preserve"> - Máy cắt uốn cốt thép 5kW</v>
      </c>
      <c r="E223" s="265" t="str">
        <f>'Giá Máy'!F9</f>
        <v>ca</v>
      </c>
      <c r="F223" s="267">
        <v>0</v>
      </c>
      <c r="G223" s="268">
        <v>1.2999999999999999E-2</v>
      </c>
      <c r="H223" s="268">
        <f>'5.Tiên lượng'!X67</f>
        <v>1</v>
      </c>
      <c r="I223" s="268">
        <f>PRODUCT(F214,G223,H223)</f>
        <v>13.337999999999999</v>
      </c>
      <c r="J223" s="283">
        <f>'Giá Máy'!G9</f>
        <v>263524.69340666698</v>
      </c>
      <c r="K223" s="283">
        <f t="shared" ref="K223:K225" si="87">PRODUCT(G223,H223,J223)</f>
        <v>3425.8210142866706</v>
      </c>
      <c r="L223" s="283">
        <f>'Giá Máy'!H9</f>
        <v>262996</v>
      </c>
      <c r="M223" s="284">
        <f t="shared" ref="M223:M225" si="88">PRODUCT(G223,H223,L223)</f>
        <v>3418.9479999999999</v>
      </c>
      <c r="N223" s="284">
        <v>0</v>
      </c>
      <c r="O223" s="284">
        <v>0</v>
      </c>
      <c r="P223" s="284">
        <f>'Giá Máy'!O9</f>
        <v>286284.61192166666</v>
      </c>
      <c r="Q223" s="284">
        <f t="shared" ref="Q223:Q225" si="89">PRODUCT(G223,H223,P223)</f>
        <v>3721.6999549816665</v>
      </c>
      <c r="R223" s="287">
        <v>2</v>
      </c>
    </row>
    <row r="224" spans="1:18">
      <c r="A224" s="246"/>
      <c r="B224" s="265">
        <v>0</v>
      </c>
      <c r="C224" s="680" t="s">
        <v>634</v>
      </c>
      <c r="D224" s="266" t="str">
        <f>" - "&amp;'Giá Máy'!E22</f>
        <v xml:space="preserve"> - Máy nén khí diezel 600m3/h</v>
      </c>
      <c r="E224" s="265" t="str">
        <f>'Giá Máy'!F22</f>
        <v>ca</v>
      </c>
      <c r="F224" s="267">
        <v>0</v>
      </c>
      <c r="G224" s="268">
        <v>5.0000000000000001E-3</v>
      </c>
      <c r="H224" s="268">
        <f>'5.Tiên lượng'!X67</f>
        <v>1</v>
      </c>
      <c r="I224" s="268">
        <f>PRODUCT(F214,G224,H224)</f>
        <v>5.13</v>
      </c>
      <c r="J224" s="283">
        <f>'Giá Máy'!G22</f>
        <v>1497158.7093333299</v>
      </c>
      <c r="K224" s="283">
        <f t="shared" si="87"/>
        <v>7485.7935466666495</v>
      </c>
      <c r="L224" s="283">
        <f>'Giá Máy'!H22</f>
        <v>1675837</v>
      </c>
      <c r="M224" s="284">
        <f t="shared" si="88"/>
        <v>8379.1849999999995</v>
      </c>
      <c r="N224" s="284">
        <v>0</v>
      </c>
      <c r="O224" s="284">
        <v>0</v>
      </c>
      <c r="P224" s="284">
        <f>'Giá Máy'!O22</f>
        <v>1558646.2133333334</v>
      </c>
      <c r="Q224" s="284">
        <f t="shared" si="89"/>
        <v>7793.2310666666672</v>
      </c>
      <c r="R224" s="287">
        <v>2</v>
      </c>
    </row>
    <row r="225" spans="1:18">
      <c r="A225" s="251"/>
      <c r="B225" s="269">
        <v>0</v>
      </c>
      <c r="C225" s="681" t="s">
        <v>611</v>
      </c>
      <c r="D225" s="270" t="s">
        <v>612</v>
      </c>
      <c r="E225" s="269" t="s">
        <v>37</v>
      </c>
      <c r="F225" s="271">
        <v>0</v>
      </c>
      <c r="G225" s="272">
        <f>AVERAGE(R223:R224)</f>
        <v>2</v>
      </c>
      <c r="H225" s="272">
        <f>'5.Tiên lượng'!X67</f>
        <v>1</v>
      </c>
      <c r="I225" s="272">
        <f>PRODUCT(F214,G225,H225)</f>
        <v>2052</v>
      </c>
      <c r="J225" s="285">
        <f>(G223*J223+G224*J224)/100</f>
        <v>109.11614560953319</v>
      </c>
      <c r="K225" s="285">
        <f t="shared" si="87"/>
        <v>218.23229121906638</v>
      </c>
      <c r="L225" s="285">
        <f>(G223*L223+G224*L224)/100</f>
        <v>117.98133</v>
      </c>
      <c r="M225" s="286">
        <f t="shared" si="88"/>
        <v>235.96266</v>
      </c>
      <c r="N225" s="286">
        <v>0</v>
      </c>
      <c r="O225" s="286">
        <v>0</v>
      </c>
      <c r="P225" s="286">
        <f>(G223*P223+G224*P224)/100</f>
        <v>115.14931021648334</v>
      </c>
      <c r="Q225" s="286">
        <f t="shared" si="89"/>
        <v>230.29862043296669</v>
      </c>
      <c r="R225" s="288">
        <v>0</v>
      </c>
    </row>
    <row r="226" spans="1:18">
      <c r="A226" s="234"/>
      <c r="B226" s="256">
        <v>27</v>
      </c>
      <c r="C226" s="234" t="str">
        <f>'5.Tiên lượng'!C68</f>
        <v>AL.24112(VD)</v>
      </c>
      <c r="D226" s="257" t="str">
        <f>'5.Tiên lượng'!D68</f>
        <v>Thi công khe giãn</v>
      </c>
      <c r="E226" s="256" t="str">
        <f>'5.Tiên lượng'!E68</f>
        <v>m</v>
      </c>
      <c r="F226" s="258">
        <f>'5.Tiên lượng'!M68</f>
        <v>103.46</v>
      </c>
      <c r="G226" s="259">
        <v>0</v>
      </c>
      <c r="H226" s="259">
        <v>0</v>
      </c>
      <c r="I226" s="259">
        <v>0</v>
      </c>
      <c r="J226" s="279">
        <v>0</v>
      </c>
      <c r="K226" s="279">
        <v>0</v>
      </c>
      <c r="L226" s="279">
        <v>0</v>
      </c>
      <c r="M226" s="280">
        <v>0</v>
      </c>
      <c r="N226" s="280">
        <v>0</v>
      </c>
      <c r="O226" s="280">
        <v>0</v>
      </c>
      <c r="P226" s="280">
        <v>0</v>
      </c>
      <c r="Q226" s="280">
        <v>0</v>
      </c>
      <c r="R226" s="222">
        <v>0</v>
      </c>
    </row>
    <row r="227" spans="1:18">
      <c r="A227" s="240"/>
      <c r="B227" s="260">
        <v>0</v>
      </c>
      <c r="C227" s="261" t="s">
        <v>590</v>
      </c>
      <c r="D227" s="262" t="s">
        <v>262</v>
      </c>
      <c r="E227" s="260"/>
      <c r="F227" s="263">
        <v>0</v>
      </c>
      <c r="G227" s="264">
        <v>0</v>
      </c>
      <c r="H227" s="264"/>
      <c r="I227" s="264">
        <v>0</v>
      </c>
      <c r="J227" s="281">
        <v>0</v>
      </c>
      <c r="K227" s="281">
        <f>SUM(K228:K234)</f>
        <v>213503.14555911702</v>
      </c>
      <c r="L227" s="281">
        <v>0</v>
      </c>
      <c r="M227" s="282">
        <f>SUM(M228:M234)</f>
        <v>213949.05</v>
      </c>
      <c r="N227" s="282">
        <v>0</v>
      </c>
      <c r="O227" s="282">
        <v>0</v>
      </c>
      <c r="P227" s="282">
        <v>0</v>
      </c>
      <c r="Q227" s="282">
        <f>SUM(Q228:Q234)</f>
        <v>214684.29908605226</v>
      </c>
      <c r="R227" s="287">
        <v>0</v>
      </c>
    </row>
    <row r="228" spans="1:18">
      <c r="A228" s="246"/>
      <c r="B228" s="265">
        <v>0</v>
      </c>
      <c r="C228" s="680" t="s">
        <v>631</v>
      </c>
      <c r="D228" s="266" t="str">
        <f>" - "&amp;'Giá VL'!E28</f>
        <v xml:space="preserve"> - Ma tít chèn khe</v>
      </c>
      <c r="E228" s="265" t="str">
        <f>'Giá VL'!F28</f>
        <v>kg</v>
      </c>
      <c r="F228" s="267">
        <v>0</v>
      </c>
      <c r="G228" s="268">
        <v>1.33</v>
      </c>
      <c r="H228" s="268">
        <f>'5.Tiên lượng'!V68</f>
        <v>1</v>
      </c>
      <c r="I228" s="268">
        <f>PRODUCT(F226,G228,H228)</f>
        <v>137.6018</v>
      </c>
      <c r="J228" s="283">
        <f>'Giá VL'!G28</f>
        <v>4000</v>
      </c>
      <c r="K228" s="283">
        <f t="shared" ref="K228:K234" si="90">PRODUCT(G228,H228,J228)</f>
        <v>5320</v>
      </c>
      <c r="L228" s="283">
        <f>'Giá VL'!J28</f>
        <v>4000</v>
      </c>
      <c r="M228" s="284">
        <f t="shared" ref="M228:M234" si="91">PRODUCT(G228,H228,L228)</f>
        <v>5320</v>
      </c>
      <c r="N228" s="284">
        <v>0</v>
      </c>
      <c r="O228" s="284">
        <v>0</v>
      </c>
      <c r="P228" s="284">
        <f>'Giá VL'!V28</f>
        <v>4000</v>
      </c>
      <c r="Q228" s="284">
        <f t="shared" ref="Q228:Q234" si="92">PRODUCT(G228,H228,P228)</f>
        <v>5320</v>
      </c>
      <c r="R228" s="287">
        <v>5</v>
      </c>
    </row>
    <row r="229" spans="1:18">
      <c r="A229" s="246"/>
      <c r="B229" s="265">
        <v>0</v>
      </c>
      <c r="C229" s="680" t="s">
        <v>619</v>
      </c>
      <c r="D229" s="266" t="str">
        <f>" - "&amp;'Giá VL'!E31</f>
        <v xml:space="preserve"> - Nhựa đường</v>
      </c>
      <c r="E229" s="265" t="str">
        <f>'Giá VL'!F31</f>
        <v>kg</v>
      </c>
      <c r="F229" s="267">
        <v>0</v>
      </c>
      <c r="G229" s="268">
        <v>0.25</v>
      </c>
      <c r="H229" s="268">
        <f>'5.Tiên lượng'!V68</f>
        <v>1</v>
      </c>
      <c r="I229" s="268">
        <f>PRODUCT(F226,G229,H229)</f>
        <v>25.864999999999998</v>
      </c>
      <c r="J229" s="283">
        <f>'Giá VL'!G31</f>
        <v>11901.316415683899</v>
      </c>
      <c r="K229" s="283">
        <f t="shared" si="90"/>
        <v>2975.3291039209748</v>
      </c>
      <c r="L229" s="283">
        <f>'Giá VL'!J31</f>
        <v>13600</v>
      </c>
      <c r="M229" s="284">
        <f t="shared" si="91"/>
        <v>3400</v>
      </c>
      <c r="N229" s="284">
        <v>0</v>
      </c>
      <c r="O229" s="284">
        <v>0</v>
      </c>
      <c r="P229" s="284">
        <f>'Giá VL'!V31</f>
        <v>13717.500872863939</v>
      </c>
      <c r="Q229" s="284">
        <f t="shared" si="92"/>
        <v>3429.3752182159847</v>
      </c>
      <c r="R229" s="287">
        <v>5</v>
      </c>
    </row>
    <row r="230" spans="1:18">
      <c r="A230" s="246"/>
      <c r="B230" s="265">
        <v>0</v>
      </c>
      <c r="C230" s="680" t="s">
        <v>632</v>
      </c>
      <c r="D230" s="266" t="str">
        <f>" - "&amp;'Giá VL'!E38</f>
        <v xml:space="preserve"> - Thép Fi 25</v>
      </c>
      <c r="E230" s="265" t="str">
        <f>'Giá VL'!F38</f>
        <v>kg</v>
      </c>
      <c r="F230" s="267">
        <v>0</v>
      </c>
      <c r="G230" s="268">
        <v>7.65</v>
      </c>
      <c r="H230" s="268">
        <f>'5.Tiên lượng'!V68</f>
        <v>1</v>
      </c>
      <c r="I230" s="268">
        <f>PRODUCT(F226,G230,H230)</f>
        <v>791.46899999999994</v>
      </c>
      <c r="J230" s="283">
        <f>'Giá VL'!G38</f>
        <v>17500</v>
      </c>
      <c r="K230" s="283">
        <f t="shared" si="90"/>
        <v>133875</v>
      </c>
      <c r="L230" s="283">
        <f>'Giá VL'!J38</f>
        <v>17500</v>
      </c>
      <c r="M230" s="284">
        <f t="shared" si="91"/>
        <v>133875</v>
      </c>
      <c r="N230" s="284">
        <v>0</v>
      </c>
      <c r="O230" s="284">
        <v>0</v>
      </c>
      <c r="P230" s="284">
        <f>'Giá VL'!V38</f>
        <v>17587.694379947148</v>
      </c>
      <c r="Q230" s="284">
        <f t="shared" si="92"/>
        <v>134545.86200659568</v>
      </c>
      <c r="R230" s="287">
        <v>5</v>
      </c>
    </row>
    <row r="231" spans="1:18">
      <c r="A231" s="246"/>
      <c r="B231" s="265">
        <v>0</v>
      </c>
      <c r="C231" s="680" t="s">
        <v>729</v>
      </c>
      <c r="D231" s="266" t="str">
        <f>" - "&amp;'Giá VL'!E30</f>
        <v xml:space="preserve"> - Mùn cưa</v>
      </c>
      <c r="E231" s="265" t="str">
        <f>'Giá VL'!F30</f>
        <v>kg</v>
      </c>
      <c r="F231" s="267">
        <v>0</v>
      </c>
      <c r="G231" s="268">
        <v>0.43</v>
      </c>
      <c r="H231" s="268">
        <f>'5.Tiên lượng'!V68</f>
        <v>1</v>
      </c>
      <c r="I231" s="268">
        <f>PRODUCT(F226,G231,H231)</f>
        <v>44.4878</v>
      </c>
      <c r="J231" s="283">
        <f>'Giá VL'!G30</f>
        <v>200</v>
      </c>
      <c r="K231" s="283">
        <f t="shared" si="90"/>
        <v>86</v>
      </c>
      <c r="L231" s="283">
        <f>'Giá VL'!J30</f>
        <v>200</v>
      </c>
      <c r="M231" s="284">
        <f t="shared" si="91"/>
        <v>86</v>
      </c>
      <c r="N231" s="284">
        <v>0</v>
      </c>
      <c r="O231" s="284">
        <v>0</v>
      </c>
      <c r="P231" s="284">
        <f>'Giá VL'!V30</f>
        <v>200</v>
      </c>
      <c r="Q231" s="284">
        <f t="shared" si="92"/>
        <v>86</v>
      </c>
      <c r="R231" s="287">
        <v>5</v>
      </c>
    </row>
    <row r="232" spans="1:18">
      <c r="A232" s="246"/>
      <c r="B232" s="265">
        <v>0</v>
      </c>
      <c r="C232" s="680" t="s">
        <v>707</v>
      </c>
      <c r="D232" s="266" t="str">
        <f>" - "&amp;'Giá VL'!E12</f>
        <v xml:space="preserve"> - Cao su đệm khe giãn</v>
      </c>
      <c r="E232" s="265" t="str">
        <f>'Giá VL'!F12</f>
        <v>m</v>
      </c>
      <c r="F232" s="267">
        <v>0</v>
      </c>
      <c r="G232" s="268">
        <v>1.2</v>
      </c>
      <c r="H232" s="268">
        <f>'5.Tiên lượng'!V68</f>
        <v>1</v>
      </c>
      <c r="I232" s="268">
        <f>PRODUCT(F226,G232,H232)</f>
        <v>124.15199999999999</v>
      </c>
      <c r="J232" s="283">
        <f>'Giá VL'!G12</f>
        <v>35000</v>
      </c>
      <c r="K232" s="283">
        <f t="shared" si="90"/>
        <v>42000</v>
      </c>
      <c r="L232" s="283">
        <f>'Giá VL'!J12</f>
        <v>35000</v>
      </c>
      <c r="M232" s="284">
        <f t="shared" si="91"/>
        <v>42000</v>
      </c>
      <c r="N232" s="284">
        <v>0</v>
      </c>
      <c r="O232" s="284">
        <v>0</v>
      </c>
      <c r="P232" s="284">
        <f>'Giá VL'!V12</f>
        <v>35000</v>
      </c>
      <c r="Q232" s="284">
        <f t="shared" si="92"/>
        <v>42000</v>
      </c>
      <c r="R232" s="287">
        <v>5</v>
      </c>
    </row>
    <row r="233" spans="1:18">
      <c r="A233" s="246"/>
      <c r="B233" s="265">
        <v>0</v>
      </c>
      <c r="C233" s="680" t="s">
        <v>735</v>
      </c>
      <c r="D233" s="266" t="str">
        <f>" - "&amp;'Giá VL'!E34</f>
        <v xml:space="preserve"> - Ống nhựa khe co giãn Fi 42</v>
      </c>
      <c r="E233" s="265" t="str">
        <f>'Giá VL'!F34</f>
        <v>m</v>
      </c>
      <c r="F233" s="267">
        <v>0</v>
      </c>
      <c r="G233" s="268">
        <v>1.59</v>
      </c>
      <c r="H233" s="268">
        <f>'5.Tiên lượng'!V68</f>
        <v>1</v>
      </c>
      <c r="I233" s="268">
        <f>PRODUCT(F226,G233,H233)</f>
        <v>164.50139999999999</v>
      </c>
      <c r="J233" s="283">
        <f>'Giá VL'!G34</f>
        <v>12000</v>
      </c>
      <c r="K233" s="283">
        <f t="shared" si="90"/>
        <v>19080</v>
      </c>
      <c r="L233" s="283">
        <f>'Giá VL'!J34</f>
        <v>12000</v>
      </c>
      <c r="M233" s="284">
        <f t="shared" si="91"/>
        <v>19080</v>
      </c>
      <c r="N233" s="284">
        <v>0</v>
      </c>
      <c r="O233" s="284">
        <v>0</v>
      </c>
      <c r="P233" s="284">
        <f>'Giá VL'!V34</f>
        <v>12000</v>
      </c>
      <c r="Q233" s="284">
        <f t="shared" si="92"/>
        <v>19080</v>
      </c>
      <c r="R233" s="287">
        <v>5</v>
      </c>
    </row>
    <row r="234" spans="1:18">
      <c r="A234" s="246"/>
      <c r="B234" s="265">
        <v>0</v>
      </c>
      <c r="C234" s="680" t="s">
        <v>620</v>
      </c>
      <c r="D234" s="266" t="s">
        <v>621</v>
      </c>
      <c r="E234" s="265" t="s">
        <v>37</v>
      </c>
      <c r="F234" s="267">
        <v>0</v>
      </c>
      <c r="G234" s="268">
        <f>AVERAGE(R228:R233)</f>
        <v>5</v>
      </c>
      <c r="H234" s="268">
        <f>'5.Tiên lượng'!V68</f>
        <v>1</v>
      </c>
      <c r="I234" s="268">
        <f>PRODUCT(F226,G234,H234)</f>
        <v>517.29999999999995</v>
      </c>
      <c r="J234" s="283">
        <f>(G228*J228+G229*J229+G230*J230+G231*J231+G232*J232+G233*J233)/100</f>
        <v>2033.3632910392098</v>
      </c>
      <c r="K234" s="283">
        <f t="shared" si="90"/>
        <v>10166.816455196049</v>
      </c>
      <c r="L234" s="283">
        <f>(G228*L228+G229*L229+G230*L230+G231*L231+G232*L232+G233*L233)/100</f>
        <v>2037.61</v>
      </c>
      <c r="M234" s="284">
        <f t="shared" si="91"/>
        <v>10188.049999999999</v>
      </c>
      <c r="N234" s="284">
        <v>0</v>
      </c>
      <c r="O234" s="284">
        <v>0</v>
      </c>
      <c r="P234" s="284">
        <f>(G228*P228+G229*P229+G230*P230+G231*P231+G232*P232+G233*P233)/100</f>
        <v>2044.6123722481166</v>
      </c>
      <c r="Q234" s="284">
        <f t="shared" si="92"/>
        <v>10223.061861240583</v>
      </c>
      <c r="R234" s="287">
        <v>0</v>
      </c>
    </row>
    <row r="235" spans="1:18">
      <c r="A235" s="240"/>
      <c r="B235" s="260">
        <v>0</v>
      </c>
      <c r="C235" s="261" t="s">
        <v>590</v>
      </c>
      <c r="D235" s="262" t="s">
        <v>265</v>
      </c>
      <c r="E235" s="260"/>
      <c r="F235" s="263">
        <v>0</v>
      </c>
      <c r="G235" s="264">
        <v>0</v>
      </c>
      <c r="H235" s="264"/>
      <c r="I235" s="264">
        <v>0</v>
      </c>
      <c r="J235" s="281">
        <v>0</v>
      </c>
      <c r="K235" s="281">
        <f>SUM(K236:K236)</f>
        <v>54340</v>
      </c>
      <c r="L235" s="281">
        <v>0</v>
      </c>
      <c r="M235" s="282">
        <f>SUM(M236:M236)</f>
        <v>59400</v>
      </c>
      <c r="N235" s="282">
        <v>0</v>
      </c>
      <c r="O235" s="282">
        <v>0</v>
      </c>
      <c r="P235" s="282">
        <v>0</v>
      </c>
      <c r="Q235" s="282">
        <f>SUM(Q236:Q236)</f>
        <v>59400</v>
      </c>
      <c r="R235" s="287">
        <v>0</v>
      </c>
    </row>
    <row r="236" spans="1:18">
      <c r="A236" s="246"/>
      <c r="B236" s="265">
        <v>0</v>
      </c>
      <c r="C236" s="680" t="s">
        <v>622</v>
      </c>
      <c r="D236" s="266" t="str">
        <f>" - "&amp;'Giá NC'!E9</f>
        <v xml:space="preserve"> - Nhân công bậc 3,5/7 - Nhóm 2</v>
      </c>
      <c r="E236" s="265" t="str">
        <f>'Giá NC'!F9</f>
        <v>công</v>
      </c>
      <c r="F236" s="267">
        <v>0</v>
      </c>
      <c r="G236" s="268">
        <v>0.22</v>
      </c>
      <c r="H236" s="268">
        <f>'5.Tiên lượng'!W68</f>
        <v>1</v>
      </c>
      <c r="I236" s="268">
        <f>PRODUCT(F226,G236,H236)</f>
        <v>22.761199999999999</v>
      </c>
      <c r="J236" s="283">
        <f>'Giá NC'!G9</f>
        <v>247000</v>
      </c>
      <c r="K236" s="283">
        <f>PRODUCT(G236,H236,J236)</f>
        <v>54340</v>
      </c>
      <c r="L236" s="283">
        <f>'Giá NC'!H9</f>
        <v>270000</v>
      </c>
      <c r="M236" s="284">
        <f>PRODUCT(G236,H236,L236)</f>
        <v>59400</v>
      </c>
      <c r="N236" s="284">
        <v>0</v>
      </c>
      <c r="O236" s="284">
        <v>0</v>
      </c>
      <c r="P236" s="284">
        <f>'Giá NC'!K9</f>
        <v>270000</v>
      </c>
      <c r="Q236" s="284">
        <f>PRODUCT(G236,H236,P236)</f>
        <v>59400</v>
      </c>
      <c r="R236" s="287">
        <v>0</v>
      </c>
    </row>
    <row r="237" spans="1:18">
      <c r="A237" s="240"/>
      <c r="B237" s="260">
        <v>0</v>
      </c>
      <c r="C237" s="261" t="s">
        <v>590</v>
      </c>
      <c r="D237" s="262" t="s">
        <v>267</v>
      </c>
      <c r="E237" s="260"/>
      <c r="F237" s="263">
        <v>0</v>
      </c>
      <c r="G237" s="264">
        <v>0</v>
      </c>
      <c r="H237" s="264"/>
      <c r="I237" s="264">
        <v>0</v>
      </c>
      <c r="J237" s="281">
        <v>0</v>
      </c>
      <c r="K237" s="281">
        <f>SUM(K238:K240)</f>
        <v>14624.18428674479</v>
      </c>
      <c r="L237" s="281">
        <v>0</v>
      </c>
      <c r="M237" s="282">
        <f>SUM(M238:M240)</f>
        <v>15521.422619999998</v>
      </c>
      <c r="N237" s="282">
        <v>0</v>
      </c>
      <c r="O237" s="282">
        <v>0</v>
      </c>
      <c r="P237" s="282">
        <v>0</v>
      </c>
      <c r="Q237" s="282">
        <f>SUM(Q238:Q240)</f>
        <v>15541.363596162601</v>
      </c>
      <c r="R237" s="287">
        <v>0</v>
      </c>
    </row>
    <row r="238" spans="1:18">
      <c r="A238" s="246"/>
      <c r="B238" s="265">
        <v>0</v>
      </c>
      <c r="C238" s="680" t="s">
        <v>633</v>
      </c>
      <c r="D238" s="266" t="str">
        <f>" - "&amp;'Giá Máy'!E9</f>
        <v xml:space="preserve"> - Máy cắt uốn cốt thép 5kW</v>
      </c>
      <c r="E238" s="265" t="str">
        <f>'Giá Máy'!F9</f>
        <v>ca</v>
      </c>
      <c r="F238" s="267">
        <v>0</v>
      </c>
      <c r="G238" s="268">
        <v>2.5999999999999999E-2</v>
      </c>
      <c r="H238" s="268">
        <f>'5.Tiên lượng'!X68</f>
        <v>1</v>
      </c>
      <c r="I238" s="268">
        <f>PRODUCT(F226,G238,H238)</f>
        <v>2.6899599999999997</v>
      </c>
      <c r="J238" s="283">
        <f>'Giá Máy'!G9</f>
        <v>263524.69340666698</v>
      </c>
      <c r="K238" s="283">
        <f t="shared" ref="K238:K240" si="93">PRODUCT(G238,H238,J238)</f>
        <v>6851.6420285733411</v>
      </c>
      <c r="L238" s="283">
        <f>'Giá Máy'!H9</f>
        <v>262996</v>
      </c>
      <c r="M238" s="284">
        <f t="shared" ref="M238:M240" si="94">PRODUCT(G238,H238,L238)</f>
        <v>6837.8959999999997</v>
      </c>
      <c r="N238" s="284">
        <v>0</v>
      </c>
      <c r="O238" s="284">
        <v>0</v>
      </c>
      <c r="P238" s="284">
        <f>'Giá Máy'!O9</f>
        <v>286284.61192166666</v>
      </c>
      <c r="Q238" s="284">
        <f t="shared" ref="Q238:Q240" si="95">PRODUCT(G238,H238,P238)</f>
        <v>7443.3999099633329</v>
      </c>
      <c r="R238" s="287">
        <v>2</v>
      </c>
    </row>
    <row r="239" spans="1:18">
      <c r="A239" s="246"/>
      <c r="B239" s="265">
        <v>0</v>
      </c>
      <c r="C239" s="680" t="s">
        <v>634</v>
      </c>
      <c r="D239" s="266" t="str">
        <f>" - "&amp;'Giá Máy'!E22</f>
        <v xml:space="preserve"> - Máy nén khí diezel 600m3/h</v>
      </c>
      <c r="E239" s="265" t="str">
        <f>'Giá Máy'!F22</f>
        <v>ca</v>
      </c>
      <c r="F239" s="267">
        <v>0</v>
      </c>
      <c r="G239" s="268">
        <v>5.0000000000000001E-3</v>
      </c>
      <c r="H239" s="268">
        <f>'5.Tiên lượng'!X68</f>
        <v>1</v>
      </c>
      <c r="I239" s="268">
        <f>PRODUCT(F226,G239,H239)</f>
        <v>0.51729999999999998</v>
      </c>
      <c r="J239" s="283">
        <f>'Giá Máy'!G22</f>
        <v>1497158.7093333299</v>
      </c>
      <c r="K239" s="283">
        <f t="shared" si="93"/>
        <v>7485.7935466666495</v>
      </c>
      <c r="L239" s="283">
        <f>'Giá Máy'!H22</f>
        <v>1675837</v>
      </c>
      <c r="M239" s="284">
        <f t="shared" si="94"/>
        <v>8379.1849999999995</v>
      </c>
      <c r="N239" s="284">
        <v>0</v>
      </c>
      <c r="O239" s="284">
        <v>0</v>
      </c>
      <c r="P239" s="284">
        <f>'Giá Máy'!O22</f>
        <v>1558646.2133333334</v>
      </c>
      <c r="Q239" s="284">
        <f t="shared" si="95"/>
        <v>7793.2310666666672</v>
      </c>
      <c r="R239" s="287">
        <v>2</v>
      </c>
    </row>
    <row r="240" spans="1:18">
      <c r="A240" s="251"/>
      <c r="B240" s="269">
        <v>0</v>
      </c>
      <c r="C240" s="681" t="s">
        <v>611</v>
      </c>
      <c r="D240" s="270" t="s">
        <v>612</v>
      </c>
      <c r="E240" s="269" t="s">
        <v>37</v>
      </c>
      <c r="F240" s="271">
        <v>0</v>
      </c>
      <c r="G240" s="272">
        <f>AVERAGE(R238:R239)</f>
        <v>2</v>
      </c>
      <c r="H240" s="272">
        <f>'5.Tiên lượng'!X68</f>
        <v>1</v>
      </c>
      <c r="I240" s="272">
        <f>PRODUCT(F226,G240,H240)</f>
        <v>206.92</v>
      </c>
      <c r="J240" s="285">
        <f>(G238*J238+G239*J239)/100</f>
        <v>143.37435575239991</v>
      </c>
      <c r="K240" s="285">
        <f t="shared" si="93"/>
        <v>286.74871150479981</v>
      </c>
      <c r="L240" s="285">
        <f>(G238*L238+G239*L239)/100</f>
        <v>152.17080999999999</v>
      </c>
      <c r="M240" s="286">
        <f t="shared" si="94"/>
        <v>304.34161999999998</v>
      </c>
      <c r="N240" s="286">
        <v>0</v>
      </c>
      <c r="O240" s="286">
        <v>0</v>
      </c>
      <c r="P240" s="286">
        <f>(G238*P238+G239*P239)/100</f>
        <v>152.36630976629999</v>
      </c>
      <c r="Q240" s="286">
        <f t="shared" si="95"/>
        <v>304.73261953259998</v>
      </c>
      <c r="R240" s="288">
        <v>0</v>
      </c>
    </row>
    <row r="241" spans="1:18">
      <c r="A241" s="234"/>
      <c r="B241" s="256">
        <v>28</v>
      </c>
      <c r="C241" s="234" t="str">
        <f>'5.Tiên lượng'!C69</f>
        <v>AL.24113(VD)</v>
      </c>
      <c r="D241" s="257" t="str">
        <f>'5.Tiên lượng'!D69</f>
        <v>Thi công  khe dọc</v>
      </c>
      <c r="E241" s="256" t="str">
        <f>'5.Tiên lượng'!E69</f>
        <v>m</v>
      </c>
      <c r="F241" s="258">
        <f>'5.Tiên lượng'!M69</f>
        <v>1000.04</v>
      </c>
      <c r="G241" s="259">
        <v>0</v>
      </c>
      <c r="H241" s="259">
        <v>0</v>
      </c>
      <c r="I241" s="259">
        <v>0</v>
      </c>
      <c r="J241" s="279">
        <v>0</v>
      </c>
      <c r="K241" s="279">
        <v>0</v>
      </c>
      <c r="L241" s="279">
        <v>0</v>
      </c>
      <c r="M241" s="280">
        <v>0</v>
      </c>
      <c r="N241" s="280">
        <v>0</v>
      </c>
      <c r="O241" s="280">
        <v>0</v>
      </c>
      <c r="P241" s="280">
        <v>0</v>
      </c>
      <c r="Q241" s="280">
        <v>0</v>
      </c>
      <c r="R241" s="222">
        <v>0</v>
      </c>
    </row>
    <row r="242" spans="1:18">
      <c r="A242" s="240"/>
      <c r="B242" s="260">
        <v>0</v>
      </c>
      <c r="C242" s="261" t="s">
        <v>590</v>
      </c>
      <c r="D242" s="262" t="s">
        <v>262</v>
      </c>
      <c r="E242" s="260"/>
      <c r="F242" s="263">
        <v>0</v>
      </c>
      <c r="G242" s="264">
        <v>0</v>
      </c>
      <c r="H242" s="264"/>
      <c r="I242" s="264">
        <v>0</v>
      </c>
      <c r="J242" s="281">
        <v>0</v>
      </c>
      <c r="K242" s="281">
        <f>SUM(K243:K245)</f>
        <v>23362.5</v>
      </c>
      <c r="L242" s="281">
        <v>0</v>
      </c>
      <c r="M242" s="282">
        <f>SUM(M243:M245)</f>
        <v>23362.5</v>
      </c>
      <c r="N242" s="282">
        <v>0</v>
      </c>
      <c r="O242" s="282">
        <v>0</v>
      </c>
      <c r="P242" s="282">
        <v>0</v>
      </c>
      <c r="Q242" s="282">
        <f>SUM(Q243:Q245)</f>
        <v>23463.787008838957</v>
      </c>
      <c r="R242" s="287">
        <v>0</v>
      </c>
    </row>
    <row r="243" spans="1:18">
      <c r="A243" s="246"/>
      <c r="B243" s="265">
        <v>0</v>
      </c>
      <c r="C243" s="680" t="s">
        <v>631</v>
      </c>
      <c r="D243" s="266" t="str">
        <f>" - "&amp;'Giá VL'!E28</f>
        <v xml:space="preserve"> - Ma tít chèn khe</v>
      </c>
      <c r="E243" s="265" t="str">
        <f>'Giá VL'!F28</f>
        <v>kg</v>
      </c>
      <c r="F243" s="267">
        <v>0</v>
      </c>
      <c r="G243" s="268">
        <v>0.75</v>
      </c>
      <c r="H243" s="268">
        <f>'5.Tiên lượng'!V69</f>
        <v>1</v>
      </c>
      <c r="I243" s="268">
        <f>PRODUCT(F241,G243,H243)</f>
        <v>750.03</v>
      </c>
      <c r="J243" s="283">
        <f>'Giá VL'!G28</f>
        <v>4000</v>
      </c>
      <c r="K243" s="283">
        <f t="shared" ref="K243:K245" si="96">PRODUCT(G243,H243,J243)</f>
        <v>3000</v>
      </c>
      <c r="L243" s="283">
        <f>'Giá VL'!J28</f>
        <v>4000</v>
      </c>
      <c r="M243" s="284">
        <f t="shared" ref="M243:M245" si="97">PRODUCT(G243,H243,L243)</f>
        <v>3000</v>
      </c>
      <c r="N243" s="284">
        <v>0</v>
      </c>
      <c r="O243" s="284">
        <v>0</v>
      </c>
      <c r="P243" s="284">
        <f>'Giá VL'!V28</f>
        <v>4000</v>
      </c>
      <c r="Q243" s="284">
        <f t="shared" ref="Q243:Q245" si="98">PRODUCT(G243,H243,P243)</f>
        <v>3000</v>
      </c>
      <c r="R243" s="287">
        <v>5</v>
      </c>
    </row>
    <row r="244" spans="1:18">
      <c r="A244" s="246"/>
      <c r="B244" s="265">
        <v>0</v>
      </c>
      <c r="C244" s="680" t="s">
        <v>632</v>
      </c>
      <c r="D244" s="266" t="str">
        <f>" - "&amp;'Giá VL'!E38</f>
        <v xml:space="preserve"> - Thép Fi 25</v>
      </c>
      <c r="E244" s="265" t="str">
        <f>'Giá VL'!F38</f>
        <v>kg</v>
      </c>
      <c r="F244" s="267">
        <v>0</v>
      </c>
      <c r="G244" s="268">
        <v>1.1000000000000001</v>
      </c>
      <c r="H244" s="268">
        <f>'5.Tiên lượng'!V69</f>
        <v>1</v>
      </c>
      <c r="I244" s="268">
        <f>PRODUCT(F241,G244,H244)</f>
        <v>1100.0440000000001</v>
      </c>
      <c r="J244" s="283">
        <f>'Giá VL'!G38</f>
        <v>17500</v>
      </c>
      <c r="K244" s="283">
        <f t="shared" si="96"/>
        <v>19250</v>
      </c>
      <c r="L244" s="283">
        <f>'Giá VL'!J38</f>
        <v>17500</v>
      </c>
      <c r="M244" s="284">
        <f t="shared" si="97"/>
        <v>19250</v>
      </c>
      <c r="N244" s="284">
        <v>0</v>
      </c>
      <c r="O244" s="284">
        <v>0</v>
      </c>
      <c r="P244" s="284">
        <f>'Giá VL'!V38</f>
        <v>17587.694379947148</v>
      </c>
      <c r="Q244" s="284">
        <f t="shared" si="98"/>
        <v>19346.463817941865</v>
      </c>
      <c r="R244" s="287">
        <v>5</v>
      </c>
    </row>
    <row r="245" spans="1:18">
      <c r="A245" s="246"/>
      <c r="B245" s="265">
        <v>0</v>
      </c>
      <c r="C245" s="680" t="s">
        <v>620</v>
      </c>
      <c r="D245" s="266" t="s">
        <v>621</v>
      </c>
      <c r="E245" s="265" t="s">
        <v>37</v>
      </c>
      <c r="F245" s="267">
        <v>0</v>
      </c>
      <c r="G245" s="268">
        <f>AVERAGE(R243:R244)</f>
        <v>5</v>
      </c>
      <c r="H245" s="268">
        <f>'5.Tiên lượng'!V69</f>
        <v>1</v>
      </c>
      <c r="I245" s="268">
        <f>PRODUCT(F241,G245,H245)</f>
        <v>5000.2</v>
      </c>
      <c r="J245" s="283">
        <f>(G243*J243+G244*J244)/100</f>
        <v>222.5</v>
      </c>
      <c r="K245" s="283">
        <f t="shared" si="96"/>
        <v>1112.5</v>
      </c>
      <c r="L245" s="283">
        <f>(G243*L243+G244*L244)/100</f>
        <v>222.5</v>
      </c>
      <c r="M245" s="284">
        <f t="shared" si="97"/>
        <v>1112.5</v>
      </c>
      <c r="N245" s="284">
        <v>0</v>
      </c>
      <c r="O245" s="284">
        <v>0</v>
      </c>
      <c r="P245" s="284">
        <f>(G243*P243+G244*P244)/100</f>
        <v>223.46463817941864</v>
      </c>
      <c r="Q245" s="284">
        <f t="shared" si="98"/>
        <v>1117.3231908970931</v>
      </c>
      <c r="R245" s="287">
        <v>0</v>
      </c>
    </row>
    <row r="246" spans="1:18">
      <c r="A246" s="240"/>
      <c r="B246" s="260">
        <v>0</v>
      </c>
      <c r="C246" s="261" t="s">
        <v>590</v>
      </c>
      <c r="D246" s="262" t="s">
        <v>265</v>
      </c>
      <c r="E246" s="260"/>
      <c r="F246" s="263">
        <v>0</v>
      </c>
      <c r="G246" s="264">
        <v>0</v>
      </c>
      <c r="H246" s="264"/>
      <c r="I246" s="264">
        <v>0</v>
      </c>
      <c r="J246" s="281">
        <v>0</v>
      </c>
      <c r="K246" s="281">
        <f>SUM(K247:K247)</f>
        <v>14820</v>
      </c>
      <c r="L246" s="281">
        <v>0</v>
      </c>
      <c r="M246" s="282">
        <f>SUM(M247:M247)</f>
        <v>16200</v>
      </c>
      <c r="N246" s="282">
        <v>0</v>
      </c>
      <c r="O246" s="282">
        <v>0</v>
      </c>
      <c r="P246" s="282">
        <v>0</v>
      </c>
      <c r="Q246" s="282">
        <f>SUM(Q247:Q247)</f>
        <v>16200</v>
      </c>
      <c r="R246" s="287">
        <v>0</v>
      </c>
    </row>
    <row r="247" spans="1:18">
      <c r="A247" s="246"/>
      <c r="B247" s="265">
        <v>0</v>
      </c>
      <c r="C247" s="680" t="s">
        <v>622</v>
      </c>
      <c r="D247" s="266" t="str">
        <f>" - "&amp;'Giá NC'!E9</f>
        <v xml:space="preserve"> - Nhân công bậc 3,5/7 - Nhóm 2</v>
      </c>
      <c r="E247" s="265" t="str">
        <f>'Giá NC'!F9</f>
        <v>công</v>
      </c>
      <c r="F247" s="267">
        <v>0</v>
      </c>
      <c r="G247" s="268">
        <v>0.06</v>
      </c>
      <c r="H247" s="268">
        <f>'5.Tiên lượng'!W69</f>
        <v>1</v>
      </c>
      <c r="I247" s="268">
        <f>PRODUCT(F241,G247,H247)</f>
        <v>60.002399999999994</v>
      </c>
      <c r="J247" s="283">
        <f>'Giá NC'!G9</f>
        <v>247000</v>
      </c>
      <c r="K247" s="283">
        <f>PRODUCT(G247,H247,J247)</f>
        <v>14820</v>
      </c>
      <c r="L247" s="283">
        <f>'Giá NC'!H9</f>
        <v>270000</v>
      </c>
      <c r="M247" s="284">
        <f>PRODUCT(G247,H247,L247)</f>
        <v>16200</v>
      </c>
      <c r="N247" s="284">
        <v>0</v>
      </c>
      <c r="O247" s="284">
        <v>0</v>
      </c>
      <c r="P247" s="284">
        <f>'Giá NC'!K9</f>
        <v>270000</v>
      </c>
      <c r="Q247" s="284">
        <f>PRODUCT(G247,H247,P247)</f>
        <v>16200</v>
      </c>
      <c r="R247" s="287">
        <v>0</v>
      </c>
    </row>
    <row r="248" spans="1:18">
      <c r="A248" s="240"/>
      <c r="B248" s="260">
        <v>0</v>
      </c>
      <c r="C248" s="261" t="s">
        <v>590</v>
      </c>
      <c r="D248" s="262" t="s">
        <v>267</v>
      </c>
      <c r="E248" s="260"/>
      <c r="F248" s="263">
        <v>0</v>
      </c>
      <c r="G248" s="264">
        <v>0</v>
      </c>
      <c r="H248" s="264"/>
      <c r="I248" s="264">
        <v>0</v>
      </c>
      <c r="J248" s="281">
        <v>0</v>
      </c>
      <c r="K248" s="281">
        <f>SUM(K249:K251)</f>
        <v>10323.461290347987</v>
      </c>
      <c r="L248" s="281">
        <v>0</v>
      </c>
      <c r="M248" s="282">
        <f>SUM(M249:M251)</f>
        <v>11229.3279</v>
      </c>
      <c r="N248" s="282">
        <v>0</v>
      </c>
      <c r="O248" s="282">
        <v>0</v>
      </c>
      <c r="P248" s="282">
        <v>0</v>
      </c>
      <c r="Q248" s="282">
        <f>SUM(Q249:Q251)</f>
        <v>10869.198729601001</v>
      </c>
      <c r="R248" s="287">
        <v>0</v>
      </c>
    </row>
    <row r="249" spans="1:18">
      <c r="A249" s="246"/>
      <c r="B249" s="265">
        <v>0</v>
      </c>
      <c r="C249" s="680" t="s">
        <v>633</v>
      </c>
      <c r="D249" s="266" t="str">
        <f>" - "&amp;'Giá Máy'!E9</f>
        <v xml:space="preserve"> - Máy cắt uốn cốt thép 5kW</v>
      </c>
      <c r="E249" s="265" t="str">
        <f>'Giá Máy'!F9</f>
        <v>ca</v>
      </c>
      <c r="F249" s="267">
        <v>0</v>
      </c>
      <c r="G249" s="268">
        <v>0.01</v>
      </c>
      <c r="H249" s="268">
        <f>'5.Tiên lượng'!X69</f>
        <v>1</v>
      </c>
      <c r="I249" s="268">
        <f>PRODUCT(F241,G249,H249)</f>
        <v>10.000399999999999</v>
      </c>
      <c r="J249" s="283">
        <f>'Giá Máy'!G9</f>
        <v>263524.69340666698</v>
      </c>
      <c r="K249" s="283">
        <f t="shared" ref="K249:K251" si="99">PRODUCT(G249,H249,J249)</f>
        <v>2635.2469340666698</v>
      </c>
      <c r="L249" s="283">
        <f>'Giá Máy'!H9</f>
        <v>262996</v>
      </c>
      <c r="M249" s="284">
        <f t="shared" ref="M249:M251" si="100">PRODUCT(G249,H249,L249)</f>
        <v>2629.96</v>
      </c>
      <c r="N249" s="284">
        <v>0</v>
      </c>
      <c r="O249" s="284">
        <v>0</v>
      </c>
      <c r="P249" s="284">
        <f>'Giá Máy'!O9</f>
        <v>286284.61192166666</v>
      </c>
      <c r="Q249" s="284">
        <f t="shared" ref="Q249:Q251" si="101">PRODUCT(G249,H249,P249)</f>
        <v>2862.8461192166665</v>
      </c>
      <c r="R249" s="287">
        <v>2</v>
      </c>
    </row>
    <row r="250" spans="1:18">
      <c r="A250" s="246"/>
      <c r="B250" s="265">
        <v>0</v>
      </c>
      <c r="C250" s="680" t="s">
        <v>634</v>
      </c>
      <c r="D250" s="266" t="str">
        <f>" - "&amp;'Giá Máy'!E22</f>
        <v xml:space="preserve"> - Máy nén khí diezel 600m3/h</v>
      </c>
      <c r="E250" s="265" t="str">
        <f>'Giá Máy'!F22</f>
        <v>ca</v>
      </c>
      <c r="F250" s="267">
        <v>0</v>
      </c>
      <c r="G250" s="268">
        <v>5.0000000000000001E-3</v>
      </c>
      <c r="H250" s="268">
        <f>'5.Tiên lượng'!X69</f>
        <v>1</v>
      </c>
      <c r="I250" s="268">
        <f>PRODUCT(F241,G250,H250)</f>
        <v>5.0001999999999995</v>
      </c>
      <c r="J250" s="283">
        <f>'Giá Máy'!G22</f>
        <v>1497158.7093333299</v>
      </c>
      <c r="K250" s="283">
        <f t="shared" si="99"/>
        <v>7485.7935466666495</v>
      </c>
      <c r="L250" s="283">
        <f>'Giá Máy'!H22</f>
        <v>1675837</v>
      </c>
      <c r="M250" s="284">
        <f t="shared" si="100"/>
        <v>8379.1849999999995</v>
      </c>
      <c r="N250" s="284">
        <v>0</v>
      </c>
      <c r="O250" s="284">
        <v>0</v>
      </c>
      <c r="P250" s="284">
        <f>'Giá Máy'!O22</f>
        <v>1558646.2133333334</v>
      </c>
      <c r="Q250" s="284">
        <f t="shared" si="101"/>
        <v>7793.2310666666672</v>
      </c>
      <c r="R250" s="287">
        <v>2</v>
      </c>
    </row>
    <row r="251" spans="1:18">
      <c r="A251" s="251"/>
      <c r="B251" s="269">
        <v>0</v>
      </c>
      <c r="C251" s="681" t="s">
        <v>611</v>
      </c>
      <c r="D251" s="270" t="s">
        <v>612</v>
      </c>
      <c r="E251" s="269" t="s">
        <v>37</v>
      </c>
      <c r="F251" s="271">
        <v>0</v>
      </c>
      <c r="G251" s="272">
        <f>AVERAGE(R249:R250)</f>
        <v>2</v>
      </c>
      <c r="H251" s="272">
        <f>'5.Tiên lượng'!X69</f>
        <v>1</v>
      </c>
      <c r="I251" s="272">
        <f>PRODUCT(F241,G251,H251)</f>
        <v>2000.08</v>
      </c>
      <c r="J251" s="285">
        <f>(G249*J249+G250*J250)/100</f>
        <v>101.21040480733319</v>
      </c>
      <c r="K251" s="285">
        <f t="shared" si="99"/>
        <v>202.42080961466638</v>
      </c>
      <c r="L251" s="285">
        <f>(G249*L249+G250*L250)/100</f>
        <v>110.09145000000001</v>
      </c>
      <c r="M251" s="286">
        <f t="shared" si="100"/>
        <v>220.18290000000002</v>
      </c>
      <c r="N251" s="286">
        <v>0</v>
      </c>
      <c r="O251" s="286">
        <v>0</v>
      </c>
      <c r="P251" s="286">
        <f>(G249*P249+G250*P250)/100</f>
        <v>106.56077185883333</v>
      </c>
      <c r="Q251" s="286">
        <f t="shared" si="101"/>
        <v>213.12154371766667</v>
      </c>
      <c r="R251" s="288">
        <v>0</v>
      </c>
    </row>
    <row r="252" spans="1:18">
      <c r="A252" s="234"/>
      <c r="B252" s="256">
        <v>29</v>
      </c>
      <c r="C252" s="234" t="str">
        <f>'5.Tiên lượng'!C70</f>
        <v>AL.24310</v>
      </c>
      <c r="D252" s="257" t="str">
        <f>'5.Tiên lượng'!D70</f>
        <v>Cắt khe</v>
      </c>
      <c r="E252" s="256" t="str">
        <f>'5.Tiên lượng'!E70</f>
        <v>100m</v>
      </c>
      <c r="F252" s="258">
        <f>'5.Tiên lượng'!M70</f>
        <v>21.295000000000002</v>
      </c>
      <c r="G252" s="259">
        <v>0</v>
      </c>
      <c r="H252" s="259">
        <v>0</v>
      </c>
      <c r="I252" s="259">
        <v>0</v>
      </c>
      <c r="J252" s="279">
        <v>0</v>
      </c>
      <c r="K252" s="279">
        <v>0</v>
      </c>
      <c r="L252" s="279">
        <v>0</v>
      </c>
      <c r="M252" s="280">
        <v>0</v>
      </c>
      <c r="N252" s="280">
        <v>0</v>
      </c>
      <c r="O252" s="280">
        <v>0</v>
      </c>
      <c r="P252" s="280">
        <v>0</v>
      </c>
      <c r="Q252" s="280">
        <v>0</v>
      </c>
      <c r="R252" s="222">
        <v>0</v>
      </c>
    </row>
    <row r="253" spans="1:18">
      <c r="A253" s="240"/>
      <c r="B253" s="260">
        <v>0</v>
      </c>
      <c r="C253" s="261" t="s">
        <v>590</v>
      </c>
      <c r="D253" s="262" t="s">
        <v>262</v>
      </c>
      <c r="E253" s="260"/>
      <c r="F253" s="263">
        <v>0</v>
      </c>
      <c r="G253" s="264">
        <v>0</v>
      </c>
      <c r="H253" s="264"/>
      <c r="I253" s="264">
        <v>0</v>
      </c>
      <c r="J253" s="281">
        <v>0</v>
      </c>
      <c r="K253" s="281">
        <f>SUM(K254:K255)</f>
        <v>2432.6999999999998</v>
      </c>
      <c r="L253" s="281">
        <v>0</v>
      </c>
      <c r="M253" s="282">
        <f>SUM(M254:M255)</f>
        <v>2432.6999999999998</v>
      </c>
      <c r="N253" s="282">
        <v>0</v>
      </c>
      <c r="O253" s="282">
        <v>0</v>
      </c>
      <c r="P253" s="282">
        <v>0</v>
      </c>
      <c r="Q253" s="282">
        <f>SUM(Q254:Q255)</f>
        <v>2432.6999999999998</v>
      </c>
      <c r="R253" s="287">
        <v>0</v>
      </c>
    </row>
    <row r="254" spans="1:18">
      <c r="A254" s="246"/>
      <c r="B254" s="265">
        <v>0</v>
      </c>
      <c r="C254" s="680" t="s">
        <v>636</v>
      </c>
      <c r="D254" s="266" t="str">
        <f>" - "&amp;'Giá VL'!E27</f>
        <v xml:space="preserve"> - Lưỡi cắt D350mm</v>
      </c>
      <c r="E254" s="265" t="str">
        <f>'Giá VL'!F27</f>
        <v>cái</v>
      </c>
      <c r="F254" s="267">
        <v>0</v>
      </c>
      <c r="G254" s="268">
        <v>5.2999999999999999E-2</v>
      </c>
      <c r="H254" s="268">
        <f>'5.Tiên lượng'!V70</f>
        <v>1</v>
      </c>
      <c r="I254" s="268">
        <f>PRODUCT(F252,G254,H254)</f>
        <v>1.1286350000000001</v>
      </c>
      <c r="J254" s="283">
        <f>'Giá VL'!G27</f>
        <v>45000</v>
      </c>
      <c r="K254" s="283">
        <f t="shared" ref="K254:K255" si="102">PRODUCT(G254,H254,J254)</f>
        <v>2385</v>
      </c>
      <c r="L254" s="283">
        <f>'Giá VL'!J27</f>
        <v>45000</v>
      </c>
      <c r="M254" s="284">
        <f t="shared" ref="M254:M255" si="103">PRODUCT(G254,H254,L254)</f>
        <v>2385</v>
      </c>
      <c r="N254" s="284">
        <v>0</v>
      </c>
      <c r="O254" s="284">
        <v>0</v>
      </c>
      <c r="P254" s="284">
        <f>'Giá VL'!V27</f>
        <v>45000</v>
      </c>
      <c r="Q254" s="284">
        <f t="shared" ref="Q254:Q255" si="104">PRODUCT(G254,H254,P254)</f>
        <v>2385</v>
      </c>
      <c r="R254" s="287">
        <v>2</v>
      </c>
    </row>
    <row r="255" spans="1:18">
      <c r="A255" s="246"/>
      <c r="B255" s="265">
        <v>0</v>
      </c>
      <c r="C255" s="680" t="s">
        <v>620</v>
      </c>
      <c r="D255" s="266" t="s">
        <v>621</v>
      </c>
      <c r="E255" s="265" t="s">
        <v>37</v>
      </c>
      <c r="F255" s="267">
        <v>0</v>
      </c>
      <c r="G255" s="268">
        <f>AVERAGE(R254:R254)</f>
        <v>2</v>
      </c>
      <c r="H255" s="268">
        <f>'5.Tiên lượng'!V70</f>
        <v>1</v>
      </c>
      <c r="I255" s="268">
        <f>PRODUCT(F252,G255,H255)</f>
        <v>42.59</v>
      </c>
      <c r="J255" s="283">
        <f>(G254*J254)/100</f>
        <v>23.85</v>
      </c>
      <c r="K255" s="283">
        <f t="shared" si="102"/>
        <v>47.7</v>
      </c>
      <c r="L255" s="283">
        <f>(G254*L254)/100</f>
        <v>23.85</v>
      </c>
      <c r="M255" s="284">
        <f t="shared" si="103"/>
        <v>47.7</v>
      </c>
      <c r="N255" s="284">
        <v>0</v>
      </c>
      <c r="O255" s="284">
        <v>0</v>
      </c>
      <c r="P255" s="284">
        <f>(G254*P254)/100</f>
        <v>23.85</v>
      </c>
      <c r="Q255" s="284">
        <f t="shared" si="104"/>
        <v>47.7</v>
      </c>
      <c r="R255" s="287">
        <v>0</v>
      </c>
    </row>
    <row r="256" spans="1:18">
      <c r="A256" s="240"/>
      <c r="B256" s="260">
        <v>0</v>
      </c>
      <c r="C256" s="261" t="s">
        <v>590</v>
      </c>
      <c r="D256" s="262" t="s">
        <v>265</v>
      </c>
      <c r="E256" s="260"/>
      <c r="F256" s="263">
        <v>0</v>
      </c>
      <c r="G256" s="264">
        <v>0</v>
      </c>
      <c r="H256" s="264"/>
      <c r="I256" s="264">
        <v>0</v>
      </c>
      <c r="J256" s="281">
        <v>0</v>
      </c>
      <c r="K256" s="281">
        <f>SUM(K257:K257)</f>
        <v>264290</v>
      </c>
      <c r="L256" s="281">
        <v>0</v>
      </c>
      <c r="M256" s="282">
        <f>SUM(M257:M257)</f>
        <v>288900</v>
      </c>
      <c r="N256" s="282">
        <v>0</v>
      </c>
      <c r="O256" s="282">
        <v>0</v>
      </c>
      <c r="P256" s="282">
        <v>0</v>
      </c>
      <c r="Q256" s="282">
        <f>SUM(Q257:Q257)</f>
        <v>288900</v>
      </c>
      <c r="R256" s="287">
        <v>0</v>
      </c>
    </row>
    <row r="257" spans="1:18">
      <c r="A257" s="246"/>
      <c r="B257" s="265">
        <v>0</v>
      </c>
      <c r="C257" s="680" t="s">
        <v>622</v>
      </c>
      <c r="D257" s="266" t="str">
        <f>" - "&amp;'Giá NC'!E9</f>
        <v xml:space="preserve"> - Nhân công bậc 3,5/7 - Nhóm 2</v>
      </c>
      <c r="E257" s="265" t="str">
        <f>'Giá NC'!F9</f>
        <v>công</v>
      </c>
      <c r="F257" s="267">
        <v>0</v>
      </c>
      <c r="G257" s="268">
        <v>1.07</v>
      </c>
      <c r="H257" s="268">
        <f>'5.Tiên lượng'!W70</f>
        <v>1</v>
      </c>
      <c r="I257" s="268">
        <f>PRODUCT(F252,G257,H257)</f>
        <v>22.785650000000004</v>
      </c>
      <c r="J257" s="283">
        <f>'Giá NC'!G9</f>
        <v>247000</v>
      </c>
      <c r="K257" s="283">
        <f>PRODUCT(G257,H257,J257)</f>
        <v>264290</v>
      </c>
      <c r="L257" s="283">
        <f>'Giá NC'!H9</f>
        <v>270000</v>
      </c>
      <c r="M257" s="284">
        <f>PRODUCT(G257,H257,L257)</f>
        <v>288900</v>
      </c>
      <c r="N257" s="284">
        <v>0</v>
      </c>
      <c r="O257" s="284">
        <v>0</v>
      </c>
      <c r="P257" s="284">
        <f>'Giá NC'!K9</f>
        <v>270000</v>
      </c>
      <c r="Q257" s="284">
        <f>PRODUCT(G257,H257,P257)</f>
        <v>288900</v>
      </c>
      <c r="R257" s="287">
        <v>0</v>
      </c>
    </row>
    <row r="258" spans="1:18">
      <c r="A258" s="240"/>
      <c r="B258" s="260">
        <v>0</v>
      </c>
      <c r="C258" s="261" t="s">
        <v>590</v>
      </c>
      <c r="D258" s="262" t="s">
        <v>267</v>
      </c>
      <c r="E258" s="260"/>
      <c r="F258" s="263">
        <v>0</v>
      </c>
      <c r="G258" s="264">
        <v>0</v>
      </c>
      <c r="H258" s="264"/>
      <c r="I258" s="264">
        <v>0</v>
      </c>
      <c r="J258" s="281">
        <v>0</v>
      </c>
      <c r="K258" s="281">
        <f>SUM(K259:K262)</f>
        <v>120588.29635104007</v>
      </c>
      <c r="L258" s="281">
        <v>0</v>
      </c>
      <c r="M258" s="282">
        <f>SUM(M259:M262)</f>
        <v>122952.77064</v>
      </c>
      <c r="N258" s="282">
        <v>0</v>
      </c>
      <c r="O258" s="282">
        <v>0</v>
      </c>
      <c r="P258" s="282">
        <v>0</v>
      </c>
      <c r="Q258" s="282">
        <f>SUM(Q259:Q262)</f>
        <v>126452.70096479999</v>
      </c>
      <c r="R258" s="287">
        <v>0</v>
      </c>
    </row>
    <row r="259" spans="1:18">
      <c r="A259" s="246"/>
      <c r="B259" s="265">
        <v>0</v>
      </c>
      <c r="C259" s="680" t="s">
        <v>637</v>
      </c>
      <c r="D259" s="266" t="str">
        <f>" - "&amp;'Giá Máy'!E8</f>
        <v xml:space="preserve"> - Máy cắt bê tông 12CV (MCD 218)</v>
      </c>
      <c r="E259" s="265" t="str">
        <f>'Giá Máy'!F8</f>
        <v>ca</v>
      </c>
      <c r="F259" s="267">
        <v>0</v>
      </c>
      <c r="G259" s="268">
        <v>0.252</v>
      </c>
      <c r="H259" s="268">
        <f>'5.Tiên lượng'!X70</f>
        <v>1</v>
      </c>
      <c r="I259" s="268">
        <f>PRODUCT(F252,G259,H259)</f>
        <v>5.3663400000000001</v>
      </c>
      <c r="J259" s="283">
        <f>'Giá Máy'!G8</f>
        <v>469142.142666667</v>
      </c>
      <c r="K259" s="283">
        <f t="shared" ref="K259:K262" si="105">PRODUCT(G259,H259,J259)</f>
        <v>118223.81995200008</v>
      </c>
      <c r="L259" s="283">
        <f>'Giá Máy'!H8</f>
        <v>478341</v>
      </c>
      <c r="M259" s="284">
        <f t="shared" ref="M259:M262" si="106">PRODUCT(G259,H259,L259)</f>
        <v>120541.932</v>
      </c>
      <c r="N259" s="284">
        <v>0</v>
      </c>
      <c r="O259" s="284">
        <v>0</v>
      </c>
      <c r="P259" s="284">
        <f>'Giá Máy'!O8</f>
        <v>491957.28666666668</v>
      </c>
      <c r="Q259" s="284">
        <f t="shared" ref="Q259:Q262" si="107">PRODUCT(G259,H259,P259)</f>
        <v>123973.23624</v>
      </c>
      <c r="R259" s="287">
        <v>2</v>
      </c>
    </row>
    <row r="260" spans="1:18">
      <c r="A260" s="251"/>
      <c r="B260" s="269">
        <v>0</v>
      </c>
      <c r="C260" s="681" t="s">
        <v>611</v>
      </c>
      <c r="D260" s="270" t="s">
        <v>612</v>
      </c>
      <c r="E260" s="269" t="s">
        <v>37</v>
      </c>
      <c r="F260" s="271">
        <v>0</v>
      </c>
      <c r="G260" s="272">
        <f>AVERAGE(R259:R259)</f>
        <v>2</v>
      </c>
      <c r="H260" s="272">
        <f>'5.Tiên lượng'!X70</f>
        <v>1</v>
      </c>
      <c r="I260" s="272">
        <f>PRODUCT(F252,G260,H260)</f>
        <v>42.59</v>
      </c>
      <c r="J260" s="285">
        <f>(G259*J259)/100</f>
        <v>1182.2381995200008</v>
      </c>
      <c r="K260" s="285">
        <f t="shared" si="105"/>
        <v>2364.4763990400015</v>
      </c>
      <c r="L260" s="285">
        <f>(G259*L259)/100</f>
        <v>1205.41932</v>
      </c>
      <c r="M260" s="286">
        <f t="shared" si="106"/>
        <v>2410.8386399999999</v>
      </c>
      <c r="N260" s="286">
        <v>0</v>
      </c>
      <c r="O260" s="286">
        <v>0</v>
      </c>
      <c r="P260" s="286">
        <f>(G259*P259)/100</f>
        <v>1239.7323624000001</v>
      </c>
      <c r="Q260" s="286">
        <f t="shared" si="107"/>
        <v>2479.4647248000001</v>
      </c>
      <c r="R260" s="288">
        <v>0</v>
      </c>
    </row>
    <row r="261" spans="1:18">
      <c r="A261" s="229"/>
      <c r="B261" s="289">
        <v>0</v>
      </c>
      <c r="C261" s="682" t="s">
        <v>339</v>
      </c>
      <c r="D261" s="290" t="s">
        <v>1067</v>
      </c>
      <c r="E261" s="289"/>
      <c r="F261" s="291">
        <v>0</v>
      </c>
      <c r="G261" s="292">
        <v>0</v>
      </c>
      <c r="H261" s="292">
        <f>'5.Tiên lượng'!X70</f>
        <v>1</v>
      </c>
      <c r="I261" s="292">
        <f>PRODUCT(F252,G261,H261)</f>
        <v>0</v>
      </c>
      <c r="J261" s="293">
        <v>0</v>
      </c>
      <c r="K261" s="294">
        <f t="shared" si="105"/>
        <v>0</v>
      </c>
      <c r="L261" s="294">
        <v>0</v>
      </c>
      <c r="M261" s="295">
        <f t="shared" si="106"/>
        <v>0</v>
      </c>
      <c r="N261" s="295">
        <v>0</v>
      </c>
      <c r="O261" s="295">
        <v>0</v>
      </c>
      <c r="P261" s="295">
        <v>0</v>
      </c>
      <c r="Q261" s="295">
        <f t="shared" si="107"/>
        <v>0</v>
      </c>
      <c r="R261" s="146">
        <v>0</v>
      </c>
    </row>
    <row r="262" spans="1:18">
      <c r="A262" s="229"/>
      <c r="B262" s="289">
        <v>0</v>
      </c>
      <c r="C262" s="682" t="s">
        <v>339</v>
      </c>
      <c r="D262" s="290" t="s">
        <v>1068</v>
      </c>
      <c r="E262" s="289"/>
      <c r="F262" s="291">
        <v>0</v>
      </c>
      <c r="G262" s="292">
        <v>0</v>
      </c>
      <c r="H262" s="292">
        <v>0</v>
      </c>
      <c r="I262" s="292">
        <v>0</v>
      </c>
      <c r="J262" s="293">
        <v>0</v>
      </c>
      <c r="K262" s="294">
        <f t="shared" si="105"/>
        <v>0</v>
      </c>
      <c r="L262" s="294">
        <v>0</v>
      </c>
      <c r="M262" s="295">
        <f t="shared" si="106"/>
        <v>0</v>
      </c>
      <c r="N262" s="295">
        <v>0</v>
      </c>
      <c r="O262" s="295">
        <v>0</v>
      </c>
      <c r="P262" s="295">
        <v>0</v>
      </c>
      <c r="Q262" s="295">
        <f t="shared" si="107"/>
        <v>0</v>
      </c>
      <c r="R262" s="146">
        <v>0</v>
      </c>
    </row>
    <row r="263" spans="1:18">
      <c r="A263" s="234"/>
      <c r="B263" s="256">
        <v>30</v>
      </c>
      <c r="C263" s="234" t="str">
        <f>'5.Tiên lượng'!C76</f>
        <v>AB.31132</v>
      </c>
      <c r="D263" s="257" t="str">
        <f>'5.Tiên lượng'!D76</f>
        <v>Đào nền đường bằng máy đào 1,25m3 - Cấp đất II</v>
      </c>
      <c r="E263" s="256" t="str">
        <f>'5.Tiên lượng'!E76</f>
        <v>100m3</v>
      </c>
      <c r="F263" s="258">
        <f>'5.Tiên lượng'!M76</f>
        <v>1.2262999999999999</v>
      </c>
      <c r="G263" s="259">
        <v>0</v>
      </c>
      <c r="H263" s="259">
        <v>0</v>
      </c>
      <c r="I263" s="259">
        <v>0</v>
      </c>
      <c r="J263" s="279">
        <v>0</v>
      </c>
      <c r="K263" s="279">
        <v>0</v>
      </c>
      <c r="L263" s="279">
        <v>0</v>
      </c>
      <c r="M263" s="280">
        <v>0</v>
      </c>
      <c r="N263" s="280">
        <v>0</v>
      </c>
      <c r="O263" s="280">
        <v>0</v>
      </c>
      <c r="P263" s="280">
        <v>0</v>
      </c>
      <c r="Q263" s="280">
        <v>0</v>
      </c>
      <c r="R263" s="222">
        <v>0</v>
      </c>
    </row>
    <row r="264" spans="1:18">
      <c r="A264" s="240"/>
      <c r="B264" s="260">
        <v>0</v>
      </c>
      <c r="C264" s="261" t="s">
        <v>590</v>
      </c>
      <c r="D264" s="262" t="s">
        <v>265</v>
      </c>
      <c r="E264" s="260"/>
      <c r="F264" s="263">
        <v>0</v>
      </c>
      <c r="G264" s="264">
        <v>0</v>
      </c>
      <c r="H264" s="264"/>
      <c r="I264" s="264">
        <v>0</v>
      </c>
      <c r="J264" s="281">
        <v>0</v>
      </c>
      <c r="K264" s="281">
        <f>SUM(K265:K265)</f>
        <v>740915.01</v>
      </c>
      <c r="L264" s="281">
        <v>0</v>
      </c>
      <c r="M264" s="282">
        <f>SUM(M265:M265)</f>
        <v>775015.02</v>
      </c>
      <c r="N264" s="282">
        <v>0</v>
      </c>
      <c r="O264" s="282">
        <v>0</v>
      </c>
      <c r="P264" s="282">
        <v>0</v>
      </c>
      <c r="Q264" s="282">
        <f>SUM(Q265:Q265)</f>
        <v>775015.02</v>
      </c>
      <c r="R264" s="287">
        <v>0</v>
      </c>
    </row>
    <row r="265" spans="1:18">
      <c r="A265" s="246"/>
      <c r="B265" s="265">
        <v>0</v>
      </c>
      <c r="C265" s="680" t="s">
        <v>598</v>
      </c>
      <c r="D265" s="266" t="str">
        <f>" - "&amp;'Giá NC'!E5</f>
        <v xml:space="preserve"> - Nhân công bậc 3,0/7 - Nhóm 1</v>
      </c>
      <c r="E265" s="265" t="str">
        <f>'Giá NC'!F5</f>
        <v>công</v>
      </c>
      <c r="F265" s="267">
        <v>0</v>
      </c>
      <c r="G265" s="268">
        <v>3.39</v>
      </c>
      <c r="H265" s="268">
        <f>'5.Tiên lượng'!W76</f>
        <v>1</v>
      </c>
      <c r="I265" s="268">
        <f>PRODUCT(F263,G265,H265)</f>
        <v>4.1571569999999998</v>
      </c>
      <c r="J265" s="283">
        <f>'Giá NC'!G5</f>
        <v>218559</v>
      </c>
      <c r="K265" s="283">
        <f>PRODUCT(G265,H265,J265)</f>
        <v>740915.01</v>
      </c>
      <c r="L265" s="283">
        <f>'Giá NC'!H5</f>
        <v>228618</v>
      </c>
      <c r="M265" s="284">
        <f>PRODUCT(G265,H265,L265)</f>
        <v>775015.02</v>
      </c>
      <c r="N265" s="284">
        <v>0</v>
      </c>
      <c r="O265" s="284">
        <v>0</v>
      </c>
      <c r="P265" s="284">
        <f>'Giá NC'!K5</f>
        <v>228618</v>
      </c>
      <c r="Q265" s="284">
        <f>PRODUCT(G265,H265,P265)</f>
        <v>775015.02</v>
      </c>
      <c r="R265" s="287">
        <v>0</v>
      </c>
    </row>
    <row r="266" spans="1:18">
      <c r="A266" s="240"/>
      <c r="B266" s="260">
        <v>0</v>
      </c>
      <c r="C266" s="261" t="s">
        <v>590</v>
      </c>
      <c r="D266" s="262" t="s">
        <v>267</v>
      </c>
      <c r="E266" s="260"/>
      <c r="F266" s="263">
        <v>0</v>
      </c>
      <c r="G266" s="264">
        <v>0</v>
      </c>
      <c r="H266" s="264"/>
      <c r="I266" s="264">
        <v>0</v>
      </c>
      <c r="J266" s="281">
        <v>0</v>
      </c>
      <c r="K266" s="281">
        <f>SUM(K267:K268)</f>
        <v>961125.91015457246</v>
      </c>
      <c r="L266" s="281">
        <v>0</v>
      </c>
      <c r="M266" s="282">
        <f>SUM(M267:M268)</f>
        <v>1050548.8700000001</v>
      </c>
      <c r="N266" s="282">
        <v>0</v>
      </c>
      <c r="O266" s="282">
        <v>0</v>
      </c>
      <c r="P266" s="282">
        <v>0</v>
      </c>
      <c r="Q266" s="282">
        <f>SUM(Q267:Q268)</f>
        <v>986868.38985857158</v>
      </c>
      <c r="R266" s="287">
        <v>0</v>
      </c>
    </row>
    <row r="267" spans="1:18">
      <c r="A267" s="246"/>
      <c r="B267" s="265">
        <v>0</v>
      </c>
      <c r="C267" s="680" t="s">
        <v>599</v>
      </c>
      <c r="D267" s="266" t="str">
        <f>" - "&amp;'Giá Máy'!E14</f>
        <v xml:space="preserve"> - Máy đào 1,25m3</v>
      </c>
      <c r="E267" s="265" t="str">
        <f>'Giá Máy'!F14</f>
        <v>ca</v>
      </c>
      <c r="F267" s="267">
        <v>0</v>
      </c>
      <c r="G267" s="268">
        <v>0.26400000000000001</v>
      </c>
      <c r="H267" s="268">
        <f>'5.Tiên lượng'!X76</f>
        <v>1</v>
      </c>
      <c r="I267" s="268">
        <f>PRODUCT(F263,G267,H267)</f>
        <v>0.32374320000000001</v>
      </c>
      <c r="J267" s="283">
        <f>'Giá Máy'!G14</f>
        <v>3407481.1497142902</v>
      </c>
      <c r="K267" s="283">
        <f t="shared" ref="K267:K268" si="108">PRODUCT(G267,H267,J267)</f>
        <v>899575.02352457261</v>
      </c>
      <c r="L267" s="283">
        <f>'Giá Máy'!H14</f>
        <v>3723020</v>
      </c>
      <c r="M267" s="284">
        <f t="shared" ref="M267:M268" si="109">PRODUCT(G267,H267,L267)</f>
        <v>982877.28</v>
      </c>
      <c r="N267" s="284">
        <v>0</v>
      </c>
      <c r="O267" s="284">
        <v>0</v>
      </c>
      <c r="P267" s="284">
        <f>'Giá Máy'!O14</f>
        <v>3496941.8057142859</v>
      </c>
      <c r="Q267" s="284">
        <f t="shared" ref="Q267:Q268" si="110">PRODUCT(G267,H267,P267)</f>
        <v>923192.63670857158</v>
      </c>
      <c r="R267" s="287">
        <v>0</v>
      </c>
    </row>
    <row r="268" spans="1:18">
      <c r="A268" s="251"/>
      <c r="B268" s="269">
        <v>0</v>
      </c>
      <c r="C268" s="681" t="s">
        <v>600</v>
      </c>
      <c r="D268" s="270" t="str">
        <f>" - "&amp;'Giá Máy'!E29</f>
        <v xml:space="preserve"> - Máy ủi 110CV</v>
      </c>
      <c r="E268" s="269" t="str">
        <f>'Giá Máy'!F29</f>
        <v>ca</v>
      </c>
      <c r="F268" s="271">
        <v>0</v>
      </c>
      <c r="G268" s="272">
        <v>3.5000000000000003E-2</v>
      </c>
      <c r="H268" s="272">
        <f>'5.Tiên lượng'!X76</f>
        <v>1</v>
      </c>
      <c r="I268" s="272">
        <f>PRODUCT(F263,G268,H268)</f>
        <v>4.29205E-2</v>
      </c>
      <c r="J268" s="285">
        <f>'Giá Máy'!G29</f>
        <v>1758596.7608571399</v>
      </c>
      <c r="K268" s="285">
        <f t="shared" si="108"/>
        <v>61550.886629999906</v>
      </c>
      <c r="L268" s="285">
        <f>'Giá Máy'!H29</f>
        <v>1933474</v>
      </c>
      <c r="M268" s="286">
        <f t="shared" si="109"/>
        <v>67671.590000000011</v>
      </c>
      <c r="N268" s="286">
        <v>0</v>
      </c>
      <c r="O268" s="286">
        <v>0</v>
      </c>
      <c r="P268" s="286">
        <f>'Giá Máy'!O29</f>
        <v>1819307.232857143</v>
      </c>
      <c r="Q268" s="286">
        <f t="shared" si="110"/>
        <v>63675.753150000011</v>
      </c>
      <c r="R268" s="288">
        <v>0</v>
      </c>
    </row>
    <row r="269" spans="1:18">
      <c r="A269" s="234"/>
      <c r="B269" s="256">
        <v>31</v>
      </c>
      <c r="C269" s="234" t="str">
        <f>'5.Tiên lượng'!C78</f>
        <v>AB.31133</v>
      </c>
      <c r="D269" s="257" t="str">
        <f>'5.Tiên lượng'!D78</f>
        <v>Đào nền đường bằng máy đào 1,25m3 - Cấp đất III</v>
      </c>
      <c r="E269" s="256" t="str">
        <f>'5.Tiên lượng'!E78</f>
        <v>100m3</v>
      </c>
      <c r="F269" s="258">
        <f>'5.Tiên lượng'!M78</f>
        <v>3.6326000000000001</v>
      </c>
      <c r="G269" s="259">
        <v>0</v>
      </c>
      <c r="H269" s="259">
        <v>0</v>
      </c>
      <c r="I269" s="259">
        <v>0</v>
      </c>
      <c r="J269" s="279">
        <v>0</v>
      </c>
      <c r="K269" s="279">
        <v>0</v>
      </c>
      <c r="L269" s="279">
        <v>0</v>
      </c>
      <c r="M269" s="280">
        <v>0</v>
      </c>
      <c r="N269" s="280">
        <v>0</v>
      </c>
      <c r="O269" s="280">
        <v>0</v>
      </c>
      <c r="P269" s="280">
        <v>0</v>
      </c>
      <c r="Q269" s="280">
        <v>0</v>
      </c>
      <c r="R269" s="222">
        <v>0</v>
      </c>
    </row>
    <row r="270" spans="1:18">
      <c r="A270" s="240"/>
      <c r="B270" s="260">
        <v>0</v>
      </c>
      <c r="C270" s="261" t="s">
        <v>590</v>
      </c>
      <c r="D270" s="262" t="s">
        <v>265</v>
      </c>
      <c r="E270" s="260"/>
      <c r="F270" s="263">
        <v>0</v>
      </c>
      <c r="G270" s="264">
        <v>0</v>
      </c>
      <c r="H270" s="264"/>
      <c r="I270" s="264">
        <v>0</v>
      </c>
      <c r="J270" s="281">
        <v>0</v>
      </c>
      <c r="K270" s="281">
        <f>SUM(K271:K271)</f>
        <v>887349.53999999992</v>
      </c>
      <c r="L270" s="281">
        <v>0</v>
      </c>
      <c r="M270" s="282">
        <f>SUM(M271:M271)</f>
        <v>928189.08</v>
      </c>
      <c r="N270" s="282">
        <v>0</v>
      </c>
      <c r="O270" s="282">
        <v>0</v>
      </c>
      <c r="P270" s="282">
        <v>0</v>
      </c>
      <c r="Q270" s="282">
        <f>SUM(Q271:Q271)</f>
        <v>928189.08</v>
      </c>
      <c r="R270" s="287">
        <v>0</v>
      </c>
    </row>
    <row r="271" spans="1:18">
      <c r="A271" s="246"/>
      <c r="B271" s="265">
        <v>0</v>
      </c>
      <c r="C271" s="680" t="s">
        <v>598</v>
      </c>
      <c r="D271" s="266" t="str">
        <f>" - "&amp;'Giá NC'!E5</f>
        <v xml:space="preserve"> - Nhân công bậc 3,0/7 - Nhóm 1</v>
      </c>
      <c r="E271" s="265" t="str">
        <f>'Giá NC'!F5</f>
        <v>công</v>
      </c>
      <c r="F271" s="267">
        <v>0</v>
      </c>
      <c r="G271" s="268">
        <v>4.0599999999999996</v>
      </c>
      <c r="H271" s="268">
        <f>'5.Tiên lượng'!W78</f>
        <v>1</v>
      </c>
      <c r="I271" s="268">
        <f>PRODUCT(F269,G271,H271)</f>
        <v>14.748355999999999</v>
      </c>
      <c r="J271" s="283">
        <f>'Giá NC'!G5</f>
        <v>218559</v>
      </c>
      <c r="K271" s="283">
        <f>PRODUCT(G271,H271,J271)</f>
        <v>887349.53999999992</v>
      </c>
      <c r="L271" s="283">
        <f>'Giá NC'!H5</f>
        <v>228618</v>
      </c>
      <c r="M271" s="284">
        <f>PRODUCT(G271,H271,L271)</f>
        <v>928189.08</v>
      </c>
      <c r="N271" s="284">
        <v>0</v>
      </c>
      <c r="O271" s="284">
        <v>0</v>
      </c>
      <c r="P271" s="284">
        <f>'Giá NC'!K5</f>
        <v>228618</v>
      </c>
      <c r="Q271" s="284">
        <f>PRODUCT(G271,H271,P271)</f>
        <v>928189.08</v>
      </c>
      <c r="R271" s="287">
        <v>0</v>
      </c>
    </row>
    <row r="272" spans="1:18">
      <c r="A272" s="240"/>
      <c r="B272" s="260">
        <v>0</v>
      </c>
      <c r="C272" s="261" t="s">
        <v>590</v>
      </c>
      <c r="D272" s="262" t="s">
        <v>267</v>
      </c>
      <c r="E272" s="260"/>
      <c r="F272" s="263">
        <v>0</v>
      </c>
      <c r="G272" s="264">
        <v>0</v>
      </c>
      <c r="H272" s="264"/>
      <c r="I272" s="264">
        <v>0</v>
      </c>
      <c r="J272" s="281">
        <v>0</v>
      </c>
      <c r="K272" s="281">
        <f>SUM(K273:K274)</f>
        <v>1130070.5079954299</v>
      </c>
      <c r="L272" s="281">
        <v>0</v>
      </c>
      <c r="M272" s="282">
        <f>SUM(M273:M274)</f>
        <v>1235198.18</v>
      </c>
      <c r="N272" s="282">
        <v>0</v>
      </c>
      <c r="O272" s="282">
        <v>0</v>
      </c>
      <c r="P272" s="282">
        <v>0</v>
      </c>
      <c r="Q272" s="282">
        <f>SUM(Q273:Q274)</f>
        <v>1160321.1908914286</v>
      </c>
      <c r="R272" s="287">
        <v>0</v>
      </c>
    </row>
    <row r="273" spans="1:18">
      <c r="A273" s="246"/>
      <c r="B273" s="265">
        <v>0</v>
      </c>
      <c r="C273" s="680" t="s">
        <v>599</v>
      </c>
      <c r="D273" s="266" t="str">
        <f>" - "&amp;'Giá Máy'!E14</f>
        <v xml:space="preserve"> - Máy đào 1,25m3</v>
      </c>
      <c r="E273" s="265" t="str">
        <f>'Giá Máy'!F14</f>
        <v>ca</v>
      </c>
      <c r="F273" s="267">
        <v>0</v>
      </c>
      <c r="G273" s="268">
        <v>0.311</v>
      </c>
      <c r="H273" s="268">
        <f>'5.Tiên lượng'!X78</f>
        <v>1</v>
      </c>
      <c r="I273" s="268">
        <f>PRODUCT(F269,G273,H273)</f>
        <v>1.1297386</v>
      </c>
      <c r="J273" s="283">
        <f>'Giá Máy'!G14</f>
        <v>3407481.1497142902</v>
      </c>
      <c r="K273" s="283">
        <f t="shared" ref="K273:K274" si="111">PRODUCT(G273,H273,J273)</f>
        <v>1059726.6375611443</v>
      </c>
      <c r="L273" s="283">
        <f>'Giá Máy'!H14</f>
        <v>3723020</v>
      </c>
      <c r="M273" s="284">
        <f t="shared" ref="M273:M274" si="112">PRODUCT(G273,H273,L273)</f>
        <v>1157859.22</v>
      </c>
      <c r="N273" s="284">
        <v>0</v>
      </c>
      <c r="O273" s="284">
        <v>0</v>
      </c>
      <c r="P273" s="284">
        <f>'Giá Máy'!O14</f>
        <v>3496941.8057142859</v>
      </c>
      <c r="Q273" s="284">
        <f t="shared" ref="Q273:Q274" si="113">PRODUCT(G273,H273,P273)</f>
        <v>1087548.901577143</v>
      </c>
      <c r="R273" s="287">
        <v>0</v>
      </c>
    </row>
    <row r="274" spans="1:18">
      <c r="A274" s="251"/>
      <c r="B274" s="269">
        <v>0</v>
      </c>
      <c r="C274" s="681" t="s">
        <v>600</v>
      </c>
      <c r="D274" s="270" t="str">
        <f>" - "&amp;'Giá Máy'!E29</f>
        <v xml:space="preserve"> - Máy ủi 110CV</v>
      </c>
      <c r="E274" s="269" t="str">
        <f>'Giá Máy'!F29</f>
        <v>ca</v>
      </c>
      <c r="F274" s="271">
        <v>0</v>
      </c>
      <c r="G274" s="272">
        <v>0.04</v>
      </c>
      <c r="H274" s="272">
        <f>'5.Tiên lượng'!X78</f>
        <v>1</v>
      </c>
      <c r="I274" s="272">
        <f>PRODUCT(F269,G274,H274)</f>
        <v>0.14530400000000002</v>
      </c>
      <c r="J274" s="285">
        <f>'Giá Máy'!G29</f>
        <v>1758596.7608571399</v>
      </c>
      <c r="K274" s="285">
        <f t="shared" si="111"/>
        <v>70343.870434285593</v>
      </c>
      <c r="L274" s="285">
        <f>'Giá Máy'!H29</f>
        <v>1933474</v>
      </c>
      <c r="M274" s="286">
        <f t="shared" si="112"/>
        <v>77338.960000000006</v>
      </c>
      <c r="N274" s="286">
        <v>0</v>
      </c>
      <c r="O274" s="286">
        <v>0</v>
      </c>
      <c r="P274" s="286">
        <f>'Giá Máy'!O29</f>
        <v>1819307.232857143</v>
      </c>
      <c r="Q274" s="286">
        <f t="shared" si="113"/>
        <v>72772.289314285721</v>
      </c>
      <c r="R274" s="288">
        <v>0</v>
      </c>
    </row>
    <row r="275" spans="1:18">
      <c r="A275" s="234"/>
      <c r="B275" s="256">
        <v>32</v>
      </c>
      <c r="C275" s="234" t="str">
        <f>'5.Tiên lượng'!C80</f>
        <v>AB.31134</v>
      </c>
      <c r="D275" s="257" t="str">
        <f>'5.Tiên lượng'!D80</f>
        <v>Đào nền đường bằng máy đào 1,25m3 - Cấp đất IV</v>
      </c>
      <c r="E275" s="256" t="str">
        <f>'5.Tiên lượng'!E80</f>
        <v>100m3</v>
      </c>
      <c r="F275" s="258">
        <f>'5.Tiên lượng'!M80</f>
        <v>0.48090000000000005</v>
      </c>
      <c r="G275" s="259">
        <v>0</v>
      </c>
      <c r="H275" s="259">
        <v>0</v>
      </c>
      <c r="I275" s="259">
        <v>0</v>
      </c>
      <c r="J275" s="279">
        <v>0</v>
      </c>
      <c r="K275" s="279">
        <v>0</v>
      </c>
      <c r="L275" s="279">
        <v>0</v>
      </c>
      <c r="M275" s="280">
        <v>0</v>
      </c>
      <c r="N275" s="280">
        <v>0</v>
      </c>
      <c r="O275" s="280">
        <v>0</v>
      </c>
      <c r="P275" s="280">
        <v>0</v>
      </c>
      <c r="Q275" s="280">
        <v>0</v>
      </c>
      <c r="R275" s="222">
        <v>0</v>
      </c>
    </row>
    <row r="276" spans="1:18">
      <c r="A276" s="240"/>
      <c r="B276" s="260">
        <v>0</v>
      </c>
      <c r="C276" s="261" t="s">
        <v>590</v>
      </c>
      <c r="D276" s="262" t="s">
        <v>265</v>
      </c>
      <c r="E276" s="260"/>
      <c r="F276" s="263">
        <v>0</v>
      </c>
      <c r="G276" s="264">
        <v>0</v>
      </c>
      <c r="H276" s="264"/>
      <c r="I276" s="264">
        <v>0</v>
      </c>
      <c r="J276" s="281">
        <v>0</v>
      </c>
      <c r="K276" s="281">
        <f>SUM(K277:K277)</f>
        <v>1051268.7899999998</v>
      </c>
      <c r="L276" s="281">
        <v>0</v>
      </c>
      <c r="M276" s="282">
        <f>SUM(M277:M277)</f>
        <v>1099652.5799999998</v>
      </c>
      <c r="N276" s="282">
        <v>0</v>
      </c>
      <c r="O276" s="282">
        <v>0</v>
      </c>
      <c r="P276" s="282">
        <v>0</v>
      </c>
      <c r="Q276" s="282">
        <f>SUM(Q277:Q277)</f>
        <v>1099652.5799999998</v>
      </c>
      <c r="R276" s="287">
        <v>0</v>
      </c>
    </row>
    <row r="277" spans="1:18">
      <c r="A277" s="246"/>
      <c r="B277" s="265">
        <v>0</v>
      </c>
      <c r="C277" s="680" t="s">
        <v>598</v>
      </c>
      <c r="D277" s="266" t="str">
        <f>" - "&amp;'Giá NC'!E5</f>
        <v xml:space="preserve"> - Nhân công bậc 3,0/7 - Nhóm 1</v>
      </c>
      <c r="E277" s="265" t="str">
        <f>'Giá NC'!F5</f>
        <v>công</v>
      </c>
      <c r="F277" s="267">
        <v>0</v>
      </c>
      <c r="G277" s="268">
        <v>4.8099999999999996</v>
      </c>
      <c r="H277" s="268">
        <f>'5.Tiên lượng'!W80</f>
        <v>1</v>
      </c>
      <c r="I277" s="268">
        <f>PRODUCT(F275,G277,H277)</f>
        <v>2.313129</v>
      </c>
      <c r="J277" s="283">
        <f>'Giá NC'!G5</f>
        <v>218559</v>
      </c>
      <c r="K277" s="283">
        <f>PRODUCT(G277,H277,J277)</f>
        <v>1051268.7899999998</v>
      </c>
      <c r="L277" s="283">
        <f>'Giá NC'!H5</f>
        <v>228618</v>
      </c>
      <c r="M277" s="284">
        <f>PRODUCT(G277,H277,L277)</f>
        <v>1099652.5799999998</v>
      </c>
      <c r="N277" s="284">
        <v>0</v>
      </c>
      <c r="O277" s="284">
        <v>0</v>
      </c>
      <c r="P277" s="284">
        <f>'Giá NC'!K5</f>
        <v>228618</v>
      </c>
      <c r="Q277" s="284">
        <f>PRODUCT(G277,H277,P277)</f>
        <v>1099652.5799999998</v>
      </c>
      <c r="R277" s="287">
        <v>0</v>
      </c>
    </row>
    <row r="278" spans="1:18">
      <c r="A278" s="240"/>
      <c r="B278" s="260">
        <v>0</v>
      </c>
      <c r="C278" s="261" t="s">
        <v>590</v>
      </c>
      <c r="D278" s="262" t="s">
        <v>267</v>
      </c>
      <c r="E278" s="260"/>
      <c r="F278" s="263">
        <v>0</v>
      </c>
      <c r="G278" s="264">
        <v>0</v>
      </c>
      <c r="H278" s="264"/>
      <c r="I278" s="264">
        <v>0</v>
      </c>
      <c r="J278" s="281">
        <v>0</v>
      </c>
      <c r="K278" s="281">
        <f>SUM(K279:K280)</f>
        <v>1546770.6196085731</v>
      </c>
      <c r="L278" s="281">
        <v>0</v>
      </c>
      <c r="M278" s="282">
        <f>SUM(M279:M280)</f>
        <v>1690701.9720000001</v>
      </c>
      <c r="N278" s="282">
        <v>0</v>
      </c>
      <c r="O278" s="282">
        <v>0</v>
      </c>
      <c r="P278" s="282">
        <v>0</v>
      </c>
      <c r="Q278" s="282">
        <f>SUM(Q279:Q280)</f>
        <v>1588223.1451285714</v>
      </c>
      <c r="R278" s="287">
        <v>0</v>
      </c>
    </row>
    <row r="279" spans="1:18">
      <c r="A279" s="246"/>
      <c r="B279" s="265">
        <v>0</v>
      </c>
      <c r="C279" s="680" t="s">
        <v>599</v>
      </c>
      <c r="D279" s="266" t="str">
        <f>" - "&amp;'Giá Máy'!E14</f>
        <v xml:space="preserve"> - Máy đào 1,25m3</v>
      </c>
      <c r="E279" s="265" t="str">
        <f>'Giá Máy'!F14</f>
        <v>ca</v>
      </c>
      <c r="F279" s="267">
        <v>0</v>
      </c>
      <c r="G279" s="268">
        <v>0.42399999999999999</v>
      </c>
      <c r="H279" s="268">
        <f>'5.Tiên lượng'!X80</f>
        <v>1</v>
      </c>
      <c r="I279" s="268">
        <f>PRODUCT(F275,G279,H279)</f>
        <v>0.20390160000000002</v>
      </c>
      <c r="J279" s="283">
        <f>'Giá Máy'!G14</f>
        <v>3407481.1497142902</v>
      </c>
      <c r="K279" s="283">
        <f t="shared" ref="K279:K280" si="114">PRODUCT(G279,H279,J279)</f>
        <v>1444772.007478859</v>
      </c>
      <c r="L279" s="283">
        <f>'Giá Máy'!H14</f>
        <v>3723020</v>
      </c>
      <c r="M279" s="284">
        <f t="shared" ref="M279:M280" si="115">PRODUCT(G279,H279,L279)</f>
        <v>1578560.48</v>
      </c>
      <c r="N279" s="284">
        <v>0</v>
      </c>
      <c r="O279" s="284">
        <v>0</v>
      </c>
      <c r="P279" s="284">
        <f>'Giá Máy'!O14</f>
        <v>3496941.8057142859</v>
      </c>
      <c r="Q279" s="284">
        <f t="shared" ref="Q279:Q280" si="116">PRODUCT(G279,H279,P279)</f>
        <v>1482703.3256228571</v>
      </c>
      <c r="R279" s="287">
        <v>0</v>
      </c>
    </row>
    <row r="280" spans="1:18">
      <c r="A280" s="251"/>
      <c r="B280" s="269">
        <v>0</v>
      </c>
      <c r="C280" s="681" t="s">
        <v>600</v>
      </c>
      <c r="D280" s="270" t="str">
        <f>" - "&amp;'Giá Máy'!E29</f>
        <v xml:space="preserve"> - Máy ủi 110CV</v>
      </c>
      <c r="E280" s="269" t="str">
        <f>'Giá Máy'!F29</f>
        <v>ca</v>
      </c>
      <c r="F280" s="271">
        <v>0</v>
      </c>
      <c r="G280" s="272">
        <v>5.8000000000000003E-2</v>
      </c>
      <c r="H280" s="272">
        <f>'5.Tiên lượng'!X80</f>
        <v>1</v>
      </c>
      <c r="I280" s="272">
        <f>PRODUCT(F275,G280,H280)</f>
        <v>2.7892200000000006E-2</v>
      </c>
      <c r="J280" s="285">
        <f>'Giá Máy'!G29</f>
        <v>1758596.7608571399</v>
      </c>
      <c r="K280" s="285">
        <f t="shared" si="114"/>
        <v>101998.61212971412</v>
      </c>
      <c r="L280" s="285">
        <f>'Giá Máy'!H29</f>
        <v>1933474</v>
      </c>
      <c r="M280" s="286">
        <f t="shared" si="115"/>
        <v>112141.49200000001</v>
      </c>
      <c r="N280" s="286">
        <v>0</v>
      </c>
      <c r="O280" s="286">
        <v>0</v>
      </c>
      <c r="P280" s="286">
        <f>'Giá Máy'!O29</f>
        <v>1819307.232857143</v>
      </c>
      <c r="Q280" s="286">
        <f t="shared" si="116"/>
        <v>105519.8195057143</v>
      </c>
      <c r="R280" s="288">
        <v>0</v>
      </c>
    </row>
    <row r="281" spans="1:18">
      <c r="A281" s="234"/>
      <c r="B281" s="256">
        <v>33</v>
      </c>
      <c r="C281" s="234" t="str">
        <f>'5.Tiên lượng'!C82</f>
        <v>AB.31134VD</v>
      </c>
      <c r="D281" s="257" t="str">
        <f>'5.Tiên lượng'!D82</f>
        <v>Đào đường cũ cấp phối bằng máy đào 1,25m3</v>
      </c>
      <c r="E281" s="256" t="str">
        <f>'5.Tiên lượng'!E82</f>
        <v>m3</v>
      </c>
      <c r="F281" s="258">
        <f>'5.Tiên lượng'!M82</f>
        <v>32.340000000000003</v>
      </c>
      <c r="G281" s="259">
        <v>0</v>
      </c>
      <c r="H281" s="259">
        <v>0</v>
      </c>
      <c r="I281" s="259">
        <v>0</v>
      </c>
      <c r="J281" s="279">
        <v>0</v>
      </c>
      <c r="K281" s="279">
        <v>0</v>
      </c>
      <c r="L281" s="279">
        <v>0</v>
      </c>
      <c r="M281" s="280">
        <v>0</v>
      </c>
      <c r="N281" s="280">
        <v>0</v>
      </c>
      <c r="O281" s="280">
        <v>0</v>
      </c>
      <c r="P281" s="280">
        <v>0</v>
      </c>
      <c r="Q281" s="280">
        <v>0</v>
      </c>
      <c r="R281" s="222">
        <v>0</v>
      </c>
    </row>
    <row r="282" spans="1:18">
      <c r="A282" s="240"/>
      <c r="B282" s="260">
        <v>0</v>
      </c>
      <c r="C282" s="261" t="s">
        <v>590</v>
      </c>
      <c r="D282" s="262" t="s">
        <v>265</v>
      </c>
      <c r="E282" s="260"/>
      <c r="F282" s="263">
        <v>0</v>
      </c>
      <c r="G282" s="264">
        <v>0</v>
      </c>
      <c r="H282" s="264"/>
      <c r="I282" s="264">
        <v>0</v>
      </c>
      <c r="J282" s="281">
        <v>0</v>
      </c>
      <c r="K282" s="281">
        <f>SUM(K283:K283)</f>
        <v>10512.687899999999</v>
      </c>
      <c r="L282" s="281">
        <v>0</v>
      </c>
      <c r="M282" s="282">
        <f>SUM(M283:M283)</f>
        <v>10996.525799999999</v>
      </c>
      <c r="N282" s="282">
        <v>0</v>
      </c>
      <c r="O282" s="282">
        <v>0</v>
      </c>
      <c r="P282" s="282">
        <v>0</v>
      </c>
      <c r="Q282" s="282">
        <f>SUM(Q283:Q283)</f>
        <v>10996.525799999999</v>
      </c>
      <c r="R282" s="287">
        <v>0</v>
      </c>
    </row>
    <row r="283" spans="1:18">
      <c r="A283" s="246"/>
      <c r="B283" s="265">
        <v>0</v>
      </c>
      <c r="C283" s="680" t="s">
        <v>598</v>
      </c>
      <c r="D283" s="266" t="str">
        <f>" - "&amp;'Giá NC'!E5</f>
        <v xml:space="preserve"> - Nhân công bậc 3,0/7 - Nhóm 1</v>
      </c>
      <c r="E283" s="265" t="str">
        <f>'Giá NC'!F5</f>
        <v>công</v>
      </c>
      <c r="F283" s="267">
        <v>0</v>
      </c>
      <c r="G283" s="268">
        <v>4.8099999999999997E-2</v>
      </c>
      <c r="H283" s="268">
        <f>'5.Tiên lượng'!W82</f>
        <v>1</v>
      </c>
      <c r="I283" s="268">
        <f>PRODUCT(F281,G283,H283)</f>
        <v>1.5555540000000001</v>
      </c>
      <c r="J283" s="283">
        <f>'Giá NC'!G5</f>
        <v>218559</v>
      </c>
      <c r="K283" s="283">
        <f>PRODUCT(G283,H283,J283)</f>
        <v>10512.687899999999</v>
      </c>
      <c r="L283" s="283">
        <f>'Giá NC'!H5</f>
        <v>228618</v>
      </c>
      <c r="M283" s="284">
        <f>PRODUCT(G283,H283,L283)</f>
        <v>10996.525799999999</v>
      </c>
      <c r="N283" s="284">
        <v>0</v>
      </c>
      <c r="O283" s="284">
        <v>0</v>
      </c>
      <c r="P283" s="284">
        <f>'Giá NC'!K5</f>
        <v>228618</v>
      </c>
      <c r="Q283" s="284">
        <f>PRODUCT(G283,H283,P283)</f>
        <v>10996.525799999999</v>
      </c>
      <c r="R283" s="287">
        <v>0</v>
      </c>
    </row>
    <row r="284" spans="1:18">
      <c r="A284" s="240"/>
      <c r="B284" s="260">
        <v>0</v>
      </c>
      <c r="C284" s="261" t="s">
        <v>590</v>
      </c>
      <c r="D284" s="262" t="s">
        <v>267</v>
      </c>
      <c r="E284" s="260"/>
      <c r="F284" s="263">
        <v>0</v>
      </c>
      <c r="G284" s="264">
        <v>0</v>
      </c>
      <c r="H284" s="264"/>
      <c r="I284" s="264">
        <v>0</v>
      </c>
      <c r="J284" s="281">
        <v>0</v>
      </c>
      <c r="K284" s="281">
        <f>SUM(K285:K286)</f>
        <v>15467.70619608573</v>
      </c>
      <c r="L284" s="281">
        <v>0</v>
      </c>
      <c r="M284" s="282">
        <f>SUM(M285:M286)</f>
        <v>16907.01972</v>
      </c>
      <c r="N284" s="282">
        <v>0</v>
      </c>
      <c r="O284" s="282">
        <v>0</v>
      </c>
      <c r="P284" s="282">
        <v>0</v>
      </c>
      <c r="Q284" s="282">
        <f>SUM(Q285:Q286)</f>
        <v>15882.231451285714</v>
      </c>
      <c r="R284" s="287">
        <v>0</v>
      </c>
    </row>
    <row r="285" spans="1:18">
      <c r="A285" s="246"/>
      <c r="B285" s="265">
        <v>0</v>
      </c>
      <c r="C285" s="680" t="s">
        <v>599</v>
      </c>
      <c r="D285" s="266" t="str">
        <f>" - "&amp;'Giá Máy'!E14</f>
        <v xml:space="preserve"> - Máy đào 1,25m3</v>
      </c>
      <c r="E285" s="265" t="str">
        <f>'Giá Máy'!F14</f>
        <v>ca</v>
      </c>
      <c r="F285" s="267">
        <v>0</v>
      </c>
      <c r="G285" s="268">
        <v>4.2399999999999998E-3</v>
      </c>
      <c r="H285" s="268">
        <f>'5.Tiên lượng'!X82</f>
        <v>1</v>
      </c>
      <c r="I285" s="268">
        <f>PRODUCT(F281,G285,H285)</f>
        <v>0.13712160000000001</v>
      </c>
      <c r="J285" s="283">
        <f>'Giá Máy'!G14</f>
        <v>3407481.1497142902</v>
      </c>
      <c r="K285" s="283">
        <f t="shared" ref="K285:K286" si="117">PRODUCT(G285,H285,J285)</f>
        <v>14447.720074788589</v>
      </c>
      <c r="L285" s="283">
        <f>'Giá Máy'!H14</f>
        <v>3723020</v>
      </c>
      <c r="M285" s="284">
        <f t="shared" ref="M285:M286" si="118">PRODUCT(G285,H285,L285)</f>
        <v>15785.604799999999</v>
      </c>
      <c r="N285" s="284">
        <v>0</v>
      </c>
      <c r="O285" s="284">
        <v>0</v>
      </c>
      <c r="P285" s="284">
        <f>'Giá Máy'!O14</f>
        <v>3496941.8057142859</v>
      </c>
      <c r="Q285" s="284">
        <f t="shared" ref="Q285:Q286" si="119">PRODUCT(G285,H285,P285)</f>
        <v>14827.033256228571</v>
      </c>
      <c r="R285" s="287">
        <v>0</v>
      </c>
    </row>
    <row r="286" spans="1:18">
      <c r="A286" s="251"/>
      <c r="B286" s="269">
        <v>0</v>
      </c>
      <c r="C286" s="681" t="s">
        <v>600</v>
      </c>
      <c r="D286" s="270" t="str">
        <f>" - "&amp;'Giá Máy'!E29</f>
        <v xml:space="preserve"> - Máy ủi 110CV</v>
      </c>
      <c r="E286" s="269" t="str">
        <f>'Giá Máy'!F29</f>
        <v>ca</v>
      </c>
      <c r="F286" s="271">
        <v>0</v>
      </c>
      <c r="G286" s="272">
        <v>5.8E-4</v>
      </c>
      <c r="H286" s="272">
        <f>'5.Tiên lượng'!X82</f>
        <v>1</v>
      </c>
      <c r="I286" s="272">
        <f>PRODUCT(F281,G286,H286)</f>
        <v>1.8757200000000002E-2</v>
      </c>
      <c r="J286" s="285">
        <f>'Giá Máy'!G29</f>
        <v>1758596.7608571399</v>
      </c>
      <c r="K286" s="285">
        <f t="shared" si="117"/>
        <v>1019.9861212971412</v>
      </c>
      <c r="L286" s="285">
        <f>'Giá Máy'!H29</f>
        <v>1933474</v>
      </c>
      <c r="M286" s="286">
        <f t="shared" si="118"/>
        <v>1121.4149199999999</v>
      </c>
      <c r="N286" s="286">
        <v>0</v>
      </c>
      <c r="O286" s="286">
        <v>0</v>
      </c>
      <c r="P286" s="286">
        <f>'Giá Máy'!O29</f>
        <v>1819307.232857143</v>
      </c>
      <c r="Q286" s="286">
        <f t="shared" si="119"/>
        <v>1055.198195057143</v>
      </c>
      <c r="R286" s="288">
        <v>0</v>
      </c>
    </row>
    <row r="287" spans="1:18">
      <c r="A287" s="234"/>
      <c r="B287" s="256">
        <v>34</v>
      </c>
      <c r="C287" s="234" t="str">
        <f>'5.Tiên lượng'!C85</f>
        <v>AB.31132(VD)</v>
      </c>
      <c r="D287" s="257" t="str">
        <f>'5.Tiên lượng'!D85</f>
        <v>Đào rãnh bằng máy đào 1,25m3 - Cấp đất II</v>
      </c>
      <c r="E287" s="256" t="str">
        <f>'5.Tiên lượng'!E85</f>
        <v>100m3</v>
      </c>
      <c r="F287" s="258">
        <f>'5.Tiên lượng'!M85</f>
        <v>0.2107</v>
      </c>
      <c r="G287" s="259">
        <v>0</v>
      </c>
      <c r="H287" s="259">
        <v>0</v>
      </c>
      <c r="I287" s="259">
        <v>0</v>
      </c>
      <c r="J287" s="279">
        <v>0</v>
      </c>
      <c r="K287" s="279">
        <v>0</v>
      </c>
      <c r="L287" s="279">
        <v>0</v>
      </c>
      <c r="M287" s="280">
        <v>0</v>
      </c>
      <c r="N287" s="280">
        <v>0</v>
      </c>
      <c r="O287" s="280">
        <v>0</v>
      </c>
      <c r="P287" s="280">
        <v>0</v>
      </c>
      <c r="Q287" s="280">
        <v>0</v>
      </c>
      <c r="R287" s="222">
        <v>0</v>
      </c>
    </row>
    <row r="288" spans="1:18">
      <c r="A288" s="240"/>
      <c r="B288" s="260">
        <v>0</v>
      </c>
      <c r="C288" s="261" t="s">
        <v>590</v>
      </c>
      <c r="D288" s="262" t="s">
        <v>265</v>
      </c>
      <c r="E288" s="260"/>
      <c r="F288" s="263">
        <v>0</v>
      </c>
      <c r="G288" s="264">
        <v>0</v>
      </c>
      <c r="H288" s="264"/>
      <c r="I288" s="264">
        <v>0</v>
      </c>
      <c r="J288" s="281">
        <v>0</v>
      </c>
      <c r="K288" s="281">
        <f>SUM(K289:K289)</f>
        <v>740915.01</v>
      </c>
      <c r="L288" s="281">
        <v>0</v>
      </c>
      <c r="M288" s="282">
        <f>SUM(M289:M289)</f>
        <v>775015.02</v>
      </c>
      <c r="N288" s="282">
        <v>0</v>
      </c>
      <c r="O288" s="282">
        <v>0</v>
      </c>
      <c r="P288" s="282">
        <v>0</v>
      </c>
      <c r="Q288" s="282">
        <f>SUM(Q289:Q289)</f>
        <v>775015.02</v>
      </c>
      <c r="R288" s="287">
        <v>0</v>
      </c>
    </row>
    <row r="289" spans="1:18">
      <c r="A289" s="246"/>
      <c r="B289" s="265">
        <v>0</v>
      </c>
      <c r="C289" s="680" t="s">
        <v>598</v>
      </c>
      <c r="D289" s="266" t="str">
        <f>" - "&amp;'Giá NC'!E5</f>
        <v xml:space="preserve"> - Nhân công bậc 3,0/7 - Nhóm 1</v>
      </c>
      <c r="E289" s="265" t="str">
        <f>'Giá NC'!F5</f>
        <v>công</v>
      </c>
      <c r="F289" s="267">
        <v>0</v>
      </c>
      <c r="G289" s="268">
        <v>3.39</v>
      </c>
      <c r="H289" s="268">
        <f>'5.Tiên lượng'!W85</f>
        <v>1</v>
      </c>
      <c r="I289" s="268">
        <f>PRODUCT(F287,G289,H289)</f>
        <v>0.71427300000000005</v>
      </c>
      <c r="J289" s="283">
        <f>'Giá NC'!G5</f>
        <v>218559</v>
      </c>
      <c r="K289" s="283">
        <f>PRODUCT(G289,H289,J289)</f>
        <v>740915.01</v>
      </c>
      <c r="L289" s="283">
        <f>'Giá NC'!H5</f>
        <v>228618</v>
      </c>
      <c r="M289" s="284">
        <f>PRODUCT(G289,H289,L289)</f>
        <v>775015.02</v>
      </c>
      <c r="N289" s="284">
        <v>0</v>
      </c>
      <c r="O289" s="284">
        <v>0</v>
      </c>
      <c r="P289" s="284">
        <f>'Giá NC'!K5</f>
        <v>228618</v>
      </c>
      <c r="Q289" s="284">
        <f>PRODUCT(G289,H289,P289)</f>
        <v>775015.02</v>
      </c>
      <c r="R289" s="287">
        <v>0</v>
      </c>
    </row>
    <row r="290" spans="1:18">
      <c r="A290" s="240"/>
      <c r="B290" s="260">
        <v>0</v>
      </c>
      <c r="C290" s="261" t="s">
        <v>590</v>
      </c>
      <c r="D290" s="262" t="s">
        <v>267</v>
      </c>
      <c r="E290" s="260"/>
      <c r="F290" s="263">
        <v>0</v>
      </c>
      <c r="G290" s="264">
        <v>0</v>
      </c>
      <c r="H290" s="264"/>
      <c r="I290" s="264">
        <v>0</v>
      </c>
      <c r="J290" s="281">
        <v>0</v>
      </c>
      <c r="K290" s="281">
        <f>SUM(K291:K292)</f>
        <v>961125.91015457246</v>
      </c>
      <c r="L290" s="281">
        <v>0</v>
      </c>
      <c r="M290" s="282">
        <f>SUM(M291:M292)</f>
        <v>1050548.8700000001</v>
      </c>
      <c r="N290" s="282">
        <v>0</v>
      </c>
      <c r="O290" s="282">
        <v>0</v>
      </c>
      <c r="P290" s="282">
        <v>0</v>
      </c>
      <c r="Q290" s="282">
        <f>SUM(Q291:Q292)</f>
        <v>986868.38985857158</v>
      </c>
      <c r="R290" s="287">
        <v>0</v>
      </c>
    </row>
    <row r="291" spans="1:18">
      <c r="A291" s="246"/>
      <c r="B291" s="265">
        <v>0</v>
      </c>
      <c r="C291" s="680" t="s">
        <v>599</v>
      </c>
      <c r="D291" s="266" t="str">
        <f>" - "&amp;'Giá Máy'!E14</f>
        <v xml:space="preserve"> - Máy đào 1,25m3</v>
      </c>
      <c r="E291" s="265" t="str">
        <f>'Giá Máy'!F14</f>
        <v>ca</v>
      </c>
      <c r="F291" s="267">
        <v>0</v>
      </c>
      <c r="G291" s="268">
        <v>0.26400000000000001</v>
      </c>
      <c r="H291" s="268">
        <f>'5.Tiên lượng'!X85</f>
        <v>1</v>
      </c>
      <c r="I291" s="268">
        <f>PRODUCT(F287,G291,H291)</f>
        <v>5.5624800000000002E-2</v>
      </c>
      <c r="J291" s="283">
        <f>'Giá Máy'!G14</f>
        <v>3407481.1497142902</v>
      </c>
      <c r="K291" s="283">
        <f t="shared" ref="K291:K292" si="120">PRODUCT(G291,H291,J291)</f>
        <v>899575.02352457261</v>
      </c>
      <c r="L291" s="283">
        <f>'Giá Máy'!H14</f>
        <v>3723020</v>
      </c>
      <c r="M291" s="284">
        <f t="shared" ref="M291:M292" si="121">PRODUCT(G291,H291,L291)</f>
        <v>982877.28</v>
      </c>
      <c r="N291" s="284">
        <v>0</v>
      </c>
      <c r="O291" s="284">
        <v>0</v>
      </c>
      <c r="P291" s="284">
        <f>'Giá Máy'!O14</f>
        <v>3496941.8057142859</v>
      </c>
      <c r="Q291" s="284">
        <f t="shared" ref="Q291:Q292" si="122">PRODUCT(G291,H291,P291)</f>
        <v>923192.63670857158</v>
      </c>
      <c r="R291" s="287">
        <v>0</v>
      </c>
    </row>
    <row r="292" spans="1:18">
      <c r="A292" s="251"/>
      <c r="B292" s="269">
        <v>0</v>
      </c>
      <c r="C292" s="681" t="s">
        <v>600</v>
      </c>
      <c r="D292" s="270" t="str">
        <f>" - "&amp;'Giá Máy'!E29</f>
        <v xml:space="preserve"> - Máy ủi 110CV</v>
      </c>
      <c r="E292" s="269" t="str">
        <f>'Giá Máy'!F29</f>
        <v>ca</v>
      </c>
      <c r="F292" s="271">
        <v>0</v>
      </c>
      <c r="G292" s="272">
        <v>3.5000000000000003E-2</v>
      </c>
      <c r="H292" s="272">
        <f>'5.Tiên lượng'!X85</f>
        <v>1</v>
      </c>
      <c r="I292" s="272">
        <f>PRODUCT(F287,G292,H292)</f>
        <v>7.3745000000000008E-3</v>
      </c>
      <c r="J292" s="285">
        <f>'Giá Máy'!G29</f>
        <v>1758596.7608571399</v>
      </c>
      <c r="K292" s="285">
        <f t="shared" si="120"/>
        <v>61550.886629999906</v>
      </c>
      <c r="L292" s="285">
        <f>'Giá Máy'!H29</f>
        <v>1933474</v>
      </c>
      <c r="M292" s="286">
        <f t="shared" si="121"/>
        <v>67671.590000000011</v>
      </c>
      <c r="N292" s="286">
        <v>0</v>
      </c>
      <c r="O292" s="286">
        <v>0</v>
      </c>
      <c r="P292" s="286">
        <f>'Giá Máy'!O29</f>
        <v>1819307.232857143</v>
      </c>
      <c r="Q292" s="286">
        <f t="shared" si="122"/>
        <v>63675.753150000011</v>
      </c>
      <c r="R292" s="288">
        <v>0</v>
      </c>
    </row>
    <row r="293" spans="1:18">
      <c r="A293" s="234"/>
      <c r="B293" s="256">
        <v>35</v>
      </c>
      <c r="C293" s="234" t="str">
        <f>'5.Tiên lượng'!C87</f>
        <v>AB.31133(VD)</v>
      </c>
      <c r="D293" s="257" t="str">
        <f>'5.Tiên lượng'!D87</f>
        <v>Đào rãnh bằng máy đào 1,25m3 - Cấp đất III</v>
      </c>
      <c r="E293" s="256" t="str">
        <f>'5.Tiên lượng'!E87</f>
        <v>100m3</v>
      </c>
      <c r="F293" s="258">
        <f>'5.Tiên lượng'!M87</f>
        <v>2.9964</v>
      </c>
      <c r="G293" s="259">
        <v>0</v>
      </c>
      <c r="H293" s="259">
        <v>0</v>
      </c>
      <c r="I293" s="259">
        <v>0</v>
      </c>
      <c r="J293" s="279">
        <v>0</v>
      </c>
      <c r="K293" s="279">
        <v>0</v>
      </c>
      <c r="L293" s="279">
        <v>0</v>
      </c>
      <c r="M293" s="280">
        <v>0</v>
      </c>
      <c r="N293" s="280">
        <v>0</v>
      </c>
      <c r="O293" s="280">
        <v>0</v>
      </c>
      <c r="P293" s="280">
        <v>0</v>
      </c>
      <c r="Q293" s="280">
        <v>0</v>
      </c>
      <c r="R293" s="222">
        <v>0</v>
      </c>
    </row>
    <row r="294" spans="1:18">
      <c r="A294" s="240"/>
      <c r="B294" s="260">
        <v>0</v>
      </c>
      <c r="C294" s="261" t="s">
        <v>590</v>
      </c>
      <c r="D294" s="262" t="s">
        <v>265</v>
      </c>
      <c r="E294" s="260"/>
      <c r="F294" s="263">
        <v>0</v>
      </c>
      <c r="G294" s="264">
        <v>0</v>
      </c>
      <c r="H294" s="264"/>
      <c r="I294" s="264">
        <v>0</v>
      </c>
      <c r="J294" s="281">
        <v>0</v>
      </c>
      <c r="K294" s="281">
        <f>SUM(K295:K295)</f>
        <v>887349.53999999992</v>
      </c>
      <c r="L294" s="281">
        <v>0</v>
      </c>
      <c r="M294" s="282">
        <f>SUM(M295:M295)</f>
        <v>928189.08</v>
      </c>
      <c r="N294" s="282">
        <v>0</v>
      </c>
      <c r="O294" s="282">
        <v>0</v>
      </c>
      <c r="P294" s="282">
        <v>0</v>
      </c>
      <c r="Q294" s="282">
        <f>SUM(Q295:Q295)</f>
        <v>928189.08</v>
      </c>
      <c r="R294" s="287">
        <v>0</v>
      </c>
    </row>
    <row r="295" spans="1:18">
      <c r="A295" s="246"/>
      <c r="B295" s="265">
        <v>0</v>
      </c>
      <c r="C295" s="680" t="s">
        <v>598</v>
      </c>
      <c r="D295" s="266" t="str">
        <f>" - "&amp;'Giá NC'!E5</f>
        <v xml:space="preserve"> - Nhân công bậc 3,0/7 - Nhóm 1</v>
      </c>
      <c r="E295" s="265" t="str">
        <f>'Giá NC'!F5</f>
        <v>công</v>
      </c>
      <c r="F295" s="267">
        <v>0</v>
      </c>
      <c r="G295" s="268">
        <v>4.0599999999999996</v>
      </c>
      <c r="H295" s="268">
        <f>'5.Tiên lượng'!W87</f>
        <v>1</v>
      </c>
      <c r="I295" s="268">
        <f>PRODUCT(F293,G295,H295)</f>
        <v>12.165383999999998</v>
      </c>
      <c r="J295" s="283">
        <f>'Giá NC'!G5</f>
        <v>218559</v>
      </c>
      <c r="K295" s="283">
        <f>PRODUCT(G295,H295,J295)</f>
        <v>887349.53999999992</v>
      </c>
      <c r="L295" s="283">
        <f>'Giá NC'!H5</f>
        <v>228618</v>
      </c>
      <c r="M295" s="284">
        <f>PRODUCT(G295,H295,L295)</f>
        <v>928189.08</v>
      </c>
      <c r="N295" s="284">
        <v>0</v>
      </c>
      <c r="O295" s="284">
        <v>0</v>
      </c>
      <c r="P295" s="284">
        <f>'Giá NC'!K5</f>
        <v>228618</v>
      </c>
      <c r="Q295" s="284">
        <f>PRODUCT(G295,H295,P295)</f>
        <v>928189.08</v>
      </c>
      <c r="R295" s="287">
        <v>0</v>
      </c>
    </row>
    <row r="296" spans="1:18">
      <c r="A296" s="240"/>
      <c r="B296" s="260">
        <v>0</v>
      </c>
      <c r="C296" s="261" t="s">
        <v>590</v>
      </c>
      <c r="D296" s="262" t="s">
        <v>267</v>
      </c>
      <c r="E296" s="260"/>
      <c r="F296" s="263">
        <v>0</v>
      </c>
      <c r="G296" s="264">
        <v>0</v>
      </c>
      <c r="H296" s="264"/>
      <c r="I296" s="264">
        <v>0</v>
      </c>
      <c r="J296" s="281">
        <v>0</v>
      </c>
      <c r="K296" s="281">
        <f>SUM(K297:K298)</f>
        <v>1130070.5079954299</v>
      </c>
      <c r="L296" s="281">
        <v>0</v>
      </c>
      <c r="M296" s="282">
        <f>SUM(M297:M298)</f>
        <v>1235198.18</v>
      </c>
      <c r="N296" s="282">
        <v>0</v>
      </c>
      <c r="O296" s="282">
        <v>0</v>
      </c>
      <c r="P296" s="282">
        <v>0</v>
      </c>
      <c r="Q296" s="282">
        <f>SUM(Q297:Q298)</f>
        <v>1160321.1908914286</v>
      </c>
      <c r="R296" s="287">
        <v>0</v>
      </c>
    </row>
    <row r="297" spans="1:18">
      <c r="A297" s="246"/>
      <c r="B297" s="265">
        <v>0</v>
      </c>
      <c r="C297" s="680" t="s">
        <v>599</v>
      </c>
      <c r="D297" s="266" t="str">
        <f>" - "&amp;'Giá Máy'!E14</f>
        <v xml:space="preserve"> - Máy đào 1,25m3</v>
      </c>
      <c r="E297" s="265" t="str">
        <f>'Giá Máy'!F14</f>
        <v>ca</v>
      </c>
      <c r="F297" s="267">
        <v>0</v>
      </c>
      <c r="G297" s="268">
        <v>0.311</v>
      </c>
      <c r="H297" s="268">
        <f>'5.Tiên lượng'!X87</f>
        <v>1</v>
      </c>
      <c r="I297" s="268">
        <f>PRODUCT(F293,G297,H297)</f>
        <v>0.93188039999999994</v>
      </c>
      <c r="J297" s="283">
        <f>'Giá Máy'!G14</f>
        <v>3407481.1497142902</v>
      </c>
      <c r="K297" s="283">
        <f t="shared" ref="K297:K298" si="123">PRODUCT(G297,H297,J297)</f>
        <v>1059726.6375611443</v>
      </c>
      <c r="L297" s="283">
        <f>'Giá Máy'!H14</f>
        <v>3723020</v>
      </c>
      <c r="M297" s="284">
        <f t="shared" ref="M297:M298" si="124">PRODUCT(G297,H297,L297)</f>
        <v>1157859.22</v>
      </c>
      <c r="N297" s="284">
        <v>0</v>
      </c>
      <c r="O297" s="284">
        <v>0</v>
      </c>
      <c r="P297" s="284">
        <f>'Giá Máy'!O14</f>
        <v>3496941.8057142859</v>
      </c>
      <c r="Q297" s="284">
        <f t="shared" ref="Q297:Q298" si="125">PRODUCT(G297,H297,P297)</f>
        <v>1087548.901577143</v>
      </c>
      <c r="R297" s="287">
        <v>0</v>
      </c>
    </row>
    <row r="298" spans="1:18">
      <c r="A298" s="251"/>
      <c r="B298" s="269">
        <v>0</v>
      </c>
      <c r="C298" s="681" t="s">
        <v>600</v>
      </c>
      <c r="D298" s="270" t="str">
        <f>" - "&amp;'Giá Máy'!E29</f>
        <v xml:space="preserve"> - Máy ủi 110CV</v>
      </c>
      <c r="E298" s="269" t="str">
        <f>'Giá Máy'!F29</f>
        <v>ca</v>
      </c>
      <c r="F298" s="271">
        <v>0</v>
      </c>
      <c r="G298" s="272">
        <v>0.04</v>
      </c>
      <c r="H298" s="272">
        <f>'5.Tiên lượng'!X87</f>
        <v>1</v>
      </c>
      <c r="I298" s="272">
        <f>PRODUCT(F293,G298,H298)</f>
        <v>0.119856</v>
      </c>
      <c r="J298" s="285">
        <f>'Giá Máy'!G29</f>
        <v>1758596.7608571399</v>
      </c>
      <c r="K298" s="285">
        <f t="shared" si="123"/>
        <v>70343.870434285593</v>
      </c>
      <c r="L298" s="285">
        <f>'Giá Máy'!H29</f>
        <v>1933474</v>
      </c>
      <c r="M298" s="286">
        <f t="shared" si="124"/>
        <v>77338.960000000006</v>
      </c>
      <c r="N298" s="286">
        <v>0</v>
      </c>
      <c r="O298" s="286">
        <v>0</v>
      </c>
      <c r="P298" s="286">
        <f>'Giá Máy'!O29</f>
        <v>1819307.232857143</v>
      </c>
      <c r="Q298" s="286">
        <f t="shared" si="125"/>
        <v>72772.289314285721</v>
      </c>
      <c r="R298" s="288">
        <v>0</v>
      </c>
    </row>
    <row r="299" spans="1:18">
      <c r="A299" s="234"/>
      <c r="B299" s="256">
        <v>36</v>
      </c>
      <c r="C299" s="234" t="str">
        <f>'5.Tiên lượng'!C89</f>
        <v>AB.31134(VD)</v>
      </c>
      <c r="D299" s="257" t="str">
        <f>'5.Tiên lượng'!D89</f>
        <v>Đào rãnh bằng máy đào 1,25m3 - Cấp đất IV</v>
      </c>
      <c r="E299" s="256" t="str">
        <f>'5.Tiên lượng'!E89</f>
        <v>100m3</v>
      </c>
      <c r="F299" s="258">
        <f>'5.Tiên lượng'!M89</f>
        <v>6.1699999999999998E-2</v>
      </c>
      <c r="G299" s="259">
        <v>0</v>
      </c>
      <c r="H299" s="259">
        <v>0</v>
      </c>
      <c r="I299" s="259">
        <v>0</v>
      </c>
      <c r="J299" s="279">
        <v>0</v>
      </c>
      <c r="K299" s="279">
        <v>0</v>
      </c>
      <c r="L299" s="279">
        <v>0</v>
      </c>
      <c r="M299" s="280">
        <v>0</v>
      </c>
      <c r="N299" s="280">
        <v>0</v>
      </c>
      <c r="O299" s="280">
        <v>0</v>
      </c>
      <c r="P299" s="280">
        <v>0</v>
      </c>
      <c r="Q299" s="280">
        <v>0</v>
      </c>
      <c r="R299" s="222">
        <v>0</v>
      </c>
    </row>
    <row r="300" spans="1:18">
      <c r="A300" s="240"/>
      <c r="B300" s="260">
        <v>0</v>
      </c>
      <c r="C300" s="261" t="s">
        <v>590</v>
      </c>
      <c r="D300" s="262" t="s">
        <v>265</v>
      </c>
      <c r="E300" s="260"/>
      <c r="F300" s="263">
        <v>0</v>
      </c>
      <c r="G300" s="264">
        <v>0</v>
      </c>
      <c r="H300" s="264"/>
      <c r="I300" s="264">
        <v>0</v>
      </c>
      <c r="J300" s="281">
        <v>0</v>
      </c>
      <c r="K300" s="281">
        <f>SUM(K301:K301)</f>
        <v>1051268.7899999998</v>
      </c>
      <c r="L300" s="281">
        <v>0</v>
      </c>
      <c r="M300" s="282">
        <f>SUM(M301:M301)</f>
        <v>1099652.5799999998</v>
      </c>
      <c r="N300" s="282">
        <v>0</v>
      </c>
      <c r="O300" s="282">
        <v>0</v>
      </c>
      <c r="P300" s="282">
        <v>0</v>
      </c>
      <c r="Q300" s="282">
        <f>SUM(Q301:Q301)</f>
        <v>1099652.5799999998</v>
      </c>
      <c r="R300" s="287">
        <v>0</v>
      </c>
    </row>
    <row r="301" spans="1:18">
      <c r="A301" s="246"/>
      <c r="B301" s="265">
        <v>0</v>
      </c>
      <c r="C301" s="680" t="s">
        <v>598</v>
      </c>
      <c r="D301" s="266" t="str">
        <f>" - "&amp;'Giá NC'!E5</f>
        <v xml:space="preserve"> - Nhân công bậc 3,0/7 - Nhóm 1</v>
      </c>
      <c r="E301" s="265" t="str">
        <f>'Giá NC'!F5</f>
        <v>công</v>
      </c>
      <c r="F301" s="267">
        <v>0</v>
      </c>
      <c r="G301" s="268">
        <v>4.8099999999999996</v>
      </c>
      <c r="H301" s="268">
        <f>'5.Tiên lượng'!W89</f>
        <v>1</v>
      </c>
      <c r="I301" s="268">
        <f>PRODUCT(F299,G301,H301)</f>
        <v>0.29677699999999996</v>
      </c>
      <c r="J301" s="283">
        <f>'Giá NC'!G5</f>
        <v>218559</v>
      </c>
      <c r="K301" s="283">
        <f>PRODUCT(G301,H301,J301)</f>
        <v>1051268.7899999998</v>
      </c>
      <c r="L301" s="283">
        <f>'Giá NC'!H5</f>
        <v>228618</v>
      </c>
      <c r="M301" s="284">
        <f>PRODUCT(G301,H301,L301)</f>
        <v>1099652.5799999998</v>
      </c>
      <c r="N301" s="284">
        <v>0</v>
      </c>
      <c r="O301" s="284">
        <v>0</v>
      </c>
      <c r="P301" s="284">
        <f>'Giá NC'!K5</f>
        <v>228618</v>
      </c>
      <c r="Q301" s="284">
        <f>PRODUCT(G301,H301,P301)</f>
        <v>1099652.5799999998</v>
      </c>
      <c r="R301" s="287">
        <v>0</v>
      </c>
    </row>
    <row r="302" spans="1:18">
      <c r="A302" s="240"/>
      <c r="B302" s="260">
        <v>0</v>
      </c>
      <c r="C302" s="261" t="s">
        <v>590</v>
      </c>
      <c r="D302" s="262" t="s">
        <v>267</v>
      </c>
      <c r="E302" s="260"/>
      <c r="F302" s="263">
        <v>0</v>
      </c>
      <c r="G302" s="264">
        <v>0</v>
      </c>
      <c r="H302" s="264"/>
      <c r="I302" s="264">
        <v>0</v>
      </c>
      <c r="J302" s="281">
        <v>0</v>
      </c>
      <c r="K302" s="281">
        <f>SUM(K303:K304)</f>
        <v>1546770.6196085731</v>
      </c>
      <c r="L302" s="281">
        <v>0</v>
      </c>
      <c r="M302" s="282">
        <f>SUM(M303:M304)</f>
        <v>1690701.9720000001</v>
      </c>
      <c r="N302" s="282">
        <v>0</v>
      </c>
      <c r="O302" s="282">
        <v>0</v>
      </c>
      <c r="P302" s="282">
        <v>0</v>
      </c>
      <c r="Q302" s="282">
        <f>SUM(Q303:Q304)</f>
        <v>1588223.1451285714</v>
      </c>
      <c r="R302" s="287">
        <v>0</v>
      </c>
    </row>
    <row r="303" spans="1:18">
      <c r="A303" s="246"/>
      <c r="B303" s="265">
        <v>0</v>
      </c>
      <c r="C303" s="680" t="s">
        <v>599</v>
      </c>
      <c r="D303" s="266" t="str">
        <f>" - "&amp;'Giá Máy'!E14</f>
        <v xml:space="preserve"> - Máy đào 1,25m3</v>
      </c>
      <c r="E303" s="265" t="str">
        <f>'Giá Máy'!F14</f>
        <v>ca</v>
      </c>
      <c r="F303" s="267">
        <v>0</v>
      </c>
      <c r="G303" s="268">
        <v>0.42399999999999999</v>
      </c>
      <c r="H303" s="268">
        <f>'5.Tiên lượng'!X89</f>
        <v>1</v>
      </c>
      <c r="I303" s="268">
        <f>PRODUCT(F299,G303,H303)</f>
        <v>2.6160799999999998E-2</v>
      </c>
      <c r="J303" s="283">
        <f>'Giá Máy'!G14</f>
        <v>3407481.1497142902</v>
      </c>
      <c r="K303" s="283">
        <f t="shared" ref="K303:K304" si="126">PRODUCT(G303,H303,J303)</f>
        <v>1444772.007478859</v>
      </c>
      <c r="L303" s="283">
        <f>'Giá Máy'!H14</f>
        <v>3723020</v>
      </c>
      <c r="M303" s="284">
        <f t="shared" ref="M303:M304" si="127">PRODUCT(G303,H303,L303)</f>
        <v>1578560.48</v>
      </c>
      <c r="N303" s="284">
        <v>0</v>
      </c>
      <c r="O303" s="284">
        <v>0</v>
      </c>
      <c r="P303" s="284">
        <f>'Giá Máy'!O14</f>
        <v>3496941.8057142859</v>
      </c>
      <c r="Q303" s="284">
        <f t="shared" ref="Q303:Q304" si="128">PRODUCT(G303,H303,P303)</f>
        <v>1482703.3256228571</v>
      </c>
      <c r="R303" s="287">
        <v>0</v>
      </c>
    </row>
    <row r="304" spans="1:18">
      <c r="A304" s="251"/>
      <c r="B304" s="269">
        <v>0</v>
      </c>
      <c r="C304" s="681" t="s">
        <v>600</v>
      </c>
      <c r="D304" s="270" t="str">
        <f>" - "&amp;'Giá Máy'!E29</f>
        <v xml:space="preserve"> - Máy ủi 110CV</v>
      </c>
      <c r="E304" s="269" t="str">
        <f>'Giá Máy'!F29</f>
        <v>ca</v>
      </c>
      <c r="F304" s="271">
        <v>0</v>
      </c>
      <c r="G304" s="272">
        <v>5.8000000000000003E-2</v>
      </c>
      <c r="H304" s="272">
        <f>'5.Tiên lượng'!X89</f>
        <v>1</v>
      </c>
      <c r="I304" s="272">
        <f>PRODUCT(F299,G304,H304)</f>
        <v>3.5785999999999999E-3</v>
      </c>
      <c r="J304" s="285">
        <f>'Giá Máy'!G29</f>
        <v>1758596.7608571399</v>
      </c>
      <c r="K304" s="285">
        <f t="shared" si="126"/>
        <v>101998.61212971412</v>
      </c>
      <c r="L304" s="285">
        <f>'Giá Máy'!H29</f>
        <v>1933474</v>
      </c>
      <c r="M304" s="286">
        <f t="shared" si="127"/>
        <v>112141.49200000001</v>
      </c>
      <c r="N304" s="286">
        <v>0</v>
      </c>
      <c r="O304" s="286">
        <v>0</v>
      </c>
      <c r="P304" s="286">
        <f>'Giá Máy'!O29</f>
        <v>1819307.232857143</v>
      </c>
      <c r="Q304" s="286">
        <f t="shared" si="128"/>
        <v>105519.8195057143</v>
      </c>
      <c r="R304" s="288">
        <v>0</v>
      </c>
    </row>
    <row r="305" spans="1:18">
      <c r="A305" s="234"/>
      <c r="B305" s="256">
        <v>37</v>
      </c>
      <c r="C305" s="234" t="str">
        <f>'5.Tiên lượng'!C92</f>
        <v>AB.31132(VD)</v>
      </c>
      <c r="D305" s="257" t="str">
        <f>'5.Tiên lượng'!D92</f>
        <v>Đào cấp bằng máy đào 1,25m3 - Cấp đất II</v>
      </c>
      <c r="E305" s="256" t="str">
        <f>'5.Tiên lượng'!E92</f>
        <v>100m3</v>
      </c>
      <c r="F305" s="258">
        <f>'5.Tiên lượng'!M92</f>
        <v>0.92680000000000007</v>
      </c>
      <c r="G305" s="259">
        <v>0</v>
      </c>
      <c r="H305" s="259">
        <v>0</v>
      </c>
      <c r="I305" s="259">
        <v>0</v>
      </c>
      <c r="J305" s="279">
        <v>0</v>
      </c>
      <c r="K305" s="279">
        <v>0</v>
      </c>
      <c r="L305" s="279">
        <v>0</v>
      </c>
      <c r="M305" s="280">
        <v>0</v>
      </c>
      <c r="N305" s="280">
        <v>0</v>
      </c>
      <c r="O305" s="280">
        <v>0</v>
      </c>
      <c r="P305" s="280">
        <v>0</v>
      </c>
      <c r="Q305" s="280">
        <v>0</v>
      </c>
      <c r="R305" s="222">
        <v>0</v>
      </c>
    </row>
    <row r="306" spans="1:18">
      <c r="A306" s="240"/>
      <c r="B306" s="260">
        <v>0</v>
      </c>
      <c r="C306" s="261" t="s">
        <v>590</v>
      </c>
      <c r="D306" s="262" t="s">
        <v>265</v>
      </c>
      <c r="E306" s="260"/>
      <c r="F306" s="263">
        <v>0</v>
      </c>
      <c r="G306" s="264">
        <v>0</v>
      </c>
      <c r="H306" s="264"/>
      <c r="I306" s="264">
        <v>0</v>
      </c>
      <c r="J306" s="281">
        <v>0</v>
      </c>
      <c r="K306" s="281">
        <f>SUM(K307:K307)</f>
        <v>740915.01</v>
      </c>
      <c r="L306" s="281">
        <v>0</v>
      </c>
      <c r="M306" s="282">
        <f>SUM(M307:M307)</f>
        <v>775015.02</v>
      </c>
      <c r="N306" s="282">
        <v>0</v>
      </c>
      <c r="O306" s="282">
        <v>0</v>
      </c>
      <c r="P306" s="282">
        <v>0</v>
      </c>
      <c r="Q306" s="282">
        <f>SUM(Q307:Q307)</f>
        <v>775015.02</v>
      </c>
      <c r="R306" s="287">
        <v>0</v>
      </c>
    </row>
    <row r="307" spans="1:18">
      <c r="A307" s="246"/>
      <c r="B307" s="265">
        <v>0</v>
      </c>
      <c r="C307" s="680" t="s">
        <v>598</v>
      </c>
      <c r="D307" s="266" t="str">
        <f>" - "&amp;'Giá NC'!E5</f>
        <v xml:space="preserve"> - Nhân công bậc 3,0/7 - Nhóm 1</v>
      </c>
      <c r="E307" s="265" t="str">
        <f>'Giá NC'!F5</f>
        <v>công</v>
      </c>
      <c r="F307" s="267">
        <v>0</v>
      </c>
      <c r="G307" s="268">
        <v>3.39</v>
      </c>
      <c r="H307" s="268">
        <f>'5.Tiên lượng'!W92</f>
        <v>1</v>
      </c>
      <c r="I307" s="268">
        <f>PRODUCT(F305,G307,H307)</f>
        <v>3.1418520000000005</v>
      </c>
      <c r="J307" s="283">
        <f>'Giá NC'!G5</f>
        <v>218559</v>
      </c>
      <c r="K307" s="283">
        <f>PRODUCT(G307,H307,J307)</f>
        <v>740915.01</v>
      </c>
      <c r="L307" s="283">
        <f>'Giá NC'!H5</f>
        <v>228618</v>
      </c>
      <c r="M307" s="284">
        <f>PRODUCT(G307,H307,L307)</f>
        <v>775015.02</v>
      </c>
      <c r="N307" s="284">
        <v>0</v>
      </c>
      <c r="O307" s="284">
        <v>0</v>
      </c>
      <c r="P307" s="284">
        <f>'Giá NC'!K5</f>
        <v>228618</v>
      </c>
      <c r="Q307" s="284">
        <f>PRODUCT(G307,H307,P307)</f>
        <v>775015.02</v>
      </c>
      <c r="R307" s="287">
        <v>0</v>
      </c>
    </row>
    <row r="308" spans="1:18">
      <c r="A308" s="240"/>
      <c r="B308" s="260">
        <v>0</v>
      </c>
      <c r="C308" s="261" t="s">
        <v>590</v>
      </c>
      <c r="D308" s="262" t="s">
        <v>267</v>
      </c>
      <c r="E308" s="260"/>
      <c r="F308" s="263">
        <v>0</v>
      </c>
      <c r="G308" s="264">
        <v>0</v>
      </c>
      <c r="H308" s="264"/>
      <c r="I308" s="264">
        <v>0</v>
      </c>
      <c r="J308" s="281">
        <v>0</v>
      </c>
      <c r="K308" s="281">
        <f>SUM(K309:K310)</f>
        <v>961125.91015457246</v>
      </c>
      <c r="L308" s="281">
        <v>0</v>
      </c>
      <c r="M308" s="282">
        <f>SUM(M309:M310)</f>
        <v>1050548.8700000001</v>
      </c>
      <c r="N308" s="282">
        <v>0</v>
      </c>
      <c r="O308" s="282">
        <v>0</v>
      </c>
      <c r="P308" s="282">
        <v>0</v>
      </c>
      <c r="Q308" s="282">
        <f>SUM(Q309:Q310)</f>
        <v>986868.38985857158</v>
      </c>
      <c r="R308" s="287">
        <v>0</v>
      </c>
    </row>
    <row r="309" spans="1:18">
      <c r="A309" s="246"/>
      <c r="B309" s="265">
        <v>0</v>
      </c>
      <c r="C309" s="680" t="s">
        <v>599</v>
      </c>
      <c r="D309" s="266" t="str">
        <f>" - "&amp;'Giá Máy'!E14</f>
        <v xml:space="preserve"> - Máy đào 1,25m3</v>
      </c>
      <c r="E309" s="265" t="str">
        <f>'Giá Máy'!F14</f>
        <v>ca</v>
      </c>
      <c r="F309" s="267">
        <v>0</v>
      </c>
      <c r="G309" s="268">
        <v>0.26400000000000001</v>
      </c>
      <c r="H309" s="268">
        <f>'5.Tiên lượng'!X92</f>
        <v>1</v>
      </c>
      <c r="I309" s="268">
        <f>PRODUCT(F305,G309,H309)</f>
        <v>0.24467520000000004</v>
      </c>
      <c r="J309" s="283">
        <f>'Giá Máy'!G14</f>
        <v>3407481.1497142902</v>
      </c>
      <c r="K309" s="283">
        <f t="shared" ref="K309:K310" si="129">PRODUCT(G309,H309,J309)</f>
        <v>899575.02352457261</v>
      </c>
      <c r="L309" s="283">
        <f>'Giá Máy'!H14</f>
        <v>3723020</v>
      </c>
      <c r="M309" s="284">
        <f t="shared" ref="M309:M310" si="130">PRODUCT(G309,H309,L309)</f>
        <v>982877.28</v>
      </c>
      <c r="N309" s="284">
        <v>0</v>
      </c>
      <c r="O309" s="284">
        <v>0</v>
      </c>
      <c r="P309" s="284">
        <f>'Giá Máy'!O14</f>
        <v>3496941.8057142859</v>
      </c>
      <c r="Q309" s="284">
        <f t="shared" ref="Q309:Q310" si="131">PRODUCT(G309,H309,P309)</f>
        <v>923192.63670857158</v>
      </c>
      <c r="R309" s="287">
        <v>0</v>
      </c>
    </row>
    <row r="310" spans="1:18">
      <c r="A310" s="251"/>
      <c r="B310" s="269">
        <v>0</v>
      </c>
      <c r="C310" s="681" t="s">
        <v>600</v>
      </c>
      <c r="D310" s="270" t="str">
        <f>" - "&amp;'Giá Máy'!E29</f>
        <v xml:space="preserve"> - Máy ủi 110CV</v>
      </c>
      <c r="E310" s="269" t="str">
        <f>'Giá Máy'!F29</f>
        <v>ca</v>
      </c>
      <c r="F310" s="271">
        <v>0</v>
      </c>
      <c r="G310" s="272">
        <v>3.5000000000000003E-2</v>
      </c>
      <c r="H310" s="272">
        <f>'5.Tiên lượng'!X92</f>
        <v>1</v>
      </c>
      <c r="I310" s="272">
        <f>PRODUCT(F305,G310,H310)</f>
        <v>3.2438000000000008E-2</v>
      </c>
      <c r="J310" s="285">
        <f>'Giá Máy'!G29</f>
        <v>1758596.7608571399</v>
      </c>
      <c r="K310" s="285">
        <f t="shared" si="129"/>
        <v>61550.886629999906</v>
      </c>
      <c r="L310" s="285">
        <f>'Giá Máy'!H29</f>
        <v>1933474</v>
      </c>
      <c r="M310" s="286">
        <f t="shared" si="130"/>
        <v>67671.590000000011</v>
      </c>
      <c r="N310" s="286">
        <v>0</v>
      </c>
      <c r="O310" s="286">
        <v>0</v>
      </c>
      <c r="P310" s="286">
        <f>'Giá Máy'!O29</f>
        <v>1819307.232857143</v>
      </c>
      <c r="Q310" s="286">
        <f t="shared" si="131"/>
        <v>63675.753150000011</v>
      </c>
      <c r="R310" s="288">
        <v>0</v>
      </c>
    </row>
    <row r="311" spans="1:18">
      <c r="A311" s="234"/>
      <c r="B311" s="256">
        <v>38</v>
      </c>
      <c r="C311" s="234" t="str">
        <f>'5.Tiên lượng'!C94</f>
        <v>AB.31132</v>
      </c>
      <c r="D311" s="257" t="str">
        <f>'5.Tiên lượng'!D94</f>
        <v>Đào hữu cơ bằng máy đào 1,25m3 - Cấp đất II</v>
      </c>
      <c r="E311" s="256" t="str">
        <f>'5.Tiên lượng'!E94</f>
        <v>100m3</v>
      </c>
      <c r="F311" s="258">
        <f>'5.Tiên lượng'!M94</f>
        <v>1.2434000000000001</v>
      </c>
      <c r="G311" s="259">
        <v>0</v>
      </c>
      <c r="H311" s="259">
        <v>0</v>
      </c>
      <c r="I311" s="259">
        <v>0</v>
      </c>
      <c r="J311" s="279">
        <v>0</v>
      </c>
      <c r="K311" s="279">
        <v>0</v>
      </c>
      <c r="L311" s="279">
        <v>0</v>
      </c>
      <c r="M311" s="280">
        <v>0</v>
      </c>
      <c r="N311" s="280">
        <v>0</v>
      </c>
      <c r="O311" s="280">
        <v>0</v>
      </c>
      <c r="P311" s="280">
        <v>0</v>
      </c>
      <c r="Q311" s="280">
        <v>0</v>
      </c>
      <c r="R311" s="222">
        <v>0</v>
      </c>
    </row>
    <row r="312" spans="1:18">
      <c r="A312" s="240"/>
      <c r="B312" s="260">
        <v>0</v>
      </c>
      <c r="C312" s="261" t="s">
        <v>590</v>
      </c>
      <c r="D312" s="262" t="s">
        <v>265</v>
      </c>
      <c r="E312" s="260"/>
      <c r="F312" s="263">
        <v>0</v>
      </c>
      <c r="G312" s="264">
        <v>0</v>
      </c>
      <c r="H312" s="264"/>
      <c r="I312" s="264">
        <v>0</v>
      </c>
      <c r="J312" s="281">
        <v>0</v>
      </c>
      <c r="K312" s="281">
        <f>SUM(K313:K313)</f>
        <v>740915.01</v>
      </c>
      <c r="L312" s="281">
        <v>0</v>
      </c>
      <c r="M312" s="282">
        <f>SUM(M313:M313)</f>
        <v>775015.02</v>
      </c>
      <c r="N312" s="282">
        <v>0</v>
      </c>
      <c r="O312" s="282">
        <v>0</v>
      </c>
      <c r="P312" s="282">
        <v>0</v>
      </c>
      <c r="Q312" s="282">
        <f>SUM(Q313:Q313)</f>
        <v>775015.02</v>
      </c>
      <c r="R312" s="287">
        <v>0</v>
      </c>
    </row>
    <row r="313" spans="1:18">
      <c r="A313" s="246"/>
      <c r="B313" s="265">
        <v>0</v>
      </c>
      <c r="C313" s="680" t="s">
        <v>598</v>
      </c>
      <c r="D313" s="266" t="str">
        <f>" - "&amp;'Giá NC'!E5</f>
        <v xml:space="preserve"> - Nhân công bậc 3,0/7 - Nhóm 1</v>
      </c>
      <c r="E313" s="265" t="str">
        <f>'Giá NC'!F5</f>
        <v>công</v>
      </c>
      <c r="F313" s="267">
        <v>0</v>
      </c>
      <c r="G313" s="268">
        <v>3.39</v>
      </c>
      <c r="H313" s="268">
        <f>'5.Tiên lượng'!W94</f>
        <v>1</v>
      </c>
      <c r="I313" s="268">
        <f>PRODUCT(F311,G313,H313)</f>
        <v>4.2151260000000006</v>
      </c>
      <c r="J313" s="283">
        <f>'Giá NC'!G5</f>
        <v>218559</v>
      </c>
      <c r="K313" s="283">
        <f>PRODUCT(G313,H313,J313)</f>
        <v>740915.01</v>
      </c>
      <c r="L313" s="283">
        <f>'Giá NC'!H5</f>
        <v>228618</v>
      </c>
      <c r="M313" s="284">
        <f>PRODUCT(G313,H313,L313)</f>
        <v>775015.02</v>
      </c>
      <c r="N313" s="284">
        <v>0</v>
      </c>
      <c r="O313" s="284">
        <v>0</v>
      </c>
      <c r="P313" s="284">
        <f>'Giá NC'!K5</f>
        <v>228618</v>
      </c>
      <c r="Q313" s="284">
        <f>PRODUCT(G313,H313,P313)</f>
        <v>775015.02</v>
      </c>
      <c r="R313" s="287">
        <v>0</v>
      </c>
    </row>
    <row r="314" spans="1:18">
      <c r="A314" s="240"/>
      <c r="B314" s="260">
        <v>0</v>
      </c>
      <c r="C314" s="261" t="s">
        <v>590</v>
      </c>
      <c r="D314" s="262" t="s">
        <v>267</v>
      </c>
      <c r="E314" s="260"/>
      <c r="F314" s="263">
        <v>0</v>
      </c>
      <c r="G314" s="264">
        <v>0</v>
      </c>
      <c r="H314" s="264"/>
      <c r="I314" s="264">
        <v>0</v>
      </c>
      <c r="J314" s="281">
        <v>0</v>
      </c>
      <c r="K314" s="281">
        <f>SUM(K315:K317)</f>
        <v>961125.91015457246</v>
      </c>
      <c r="L314" s="281">
        <v>0</v>
      </c>
      <c r="M314" s="282">
        <f>SUM(M315:M317)</f>
        <v>1050548.8700000001</v>
      </c>
      <c r="N314" s="282">
        <v>0</v>
      </c>
      <c r="O314" s="282">
        <v>0</v>
      </c>
      <c r="P314" s="282">
        <v>0</v>
      </c>
      <c r="Q314" s="282">
        <f>SUM(Q315:Q317)</f>
        <v>986868.38985857158</v>
      </c>
      <c r="R314" s="287">
        <v>0</v>
      </c>
    </row>
    <row r="315" spans="1:18">
      <c r="A315" s="246"/>
      <c r="B315" s="265">
        <v>0</v>
      </c>
      <c r="C315" s="680" t="s">
        <v>599</v>
      </c>
      <c r="D315" s="266" t="str">
        <f>" - "&amp;'Giá Máy'!E14</f>
        <v xml:space="preserve"> - Máy đào 1,25m3</v>
      </c>
      <c r="E315" s="265" t="str">
        <f>'Giá Máy'!F14</f>
        <v>ca</v>
      </c>
      <c r="F315" s="267">
        <v>0</v>
      </c>
      <c r="G315" s="268">
        <v>0.26400000000000001</v>
      </c>
      <c r="H315" s="268">
        <f>'5.Tiên lượng'!X94</f>
        <v>1</v>
      </c>
      <c r="I315" s="268">
        <f>PRODUCT(F311,G315,H315)</f>
        <v>0.32825760000000004</v>
      </c>
      <c r="J315" s="283">
        <f>'Giá Máy'!G14</f>
        <v>3407481.1497142902</v>
      </c>
      <c r="K315" s="283">
        <f t="shared" ref="K315:K317" si="132">PRODUCT(G315,H315,J315)</f>
        <v>899575.02352457261</v>
      </c>
      <c r="L315" s="283">
        <f>'Giá Máy'!H14</f>
        <v>3723020</v>
      </c>
      <c r="M315" s="284">
        <f t="shared" ref="M315:M317" si="133">PRODUCT(G315,H315,L315)</f>
        <v>982877.28</v>
      </c>
      <c r="N315" s="284">
        <v>0</v>
      </c>
      <c r="O315" s="284">
        <v>0</v>
      </c>
      <c r="P315" s="284">
        <f>'Giá Máy'!O14</f>
        <v>3496941.8057142859</v>
      </c>
      <c r="Q315" s="284">
        <f t="shared" ref="Q315:Q317" si="134">PRODUCT(G315,H315,P315)</f>
        <v>923192.63670857158</v>
      </c>
      <c r="R315" s="287">
        <v>0</v>
      </c>
    </row>
    <row r="316" spans="1:18">
      <c r="A316" s="251"/>
      <c r="B316" s="269">
        <v>0</v>
      </c>
      <c r="C316" s="681" t="s">
        <v>600</v>
      </c>
      <c r="D316" s="270" t="str">
        <f>" - "&amp;'Giá Máy'!E29</f>
        <v xml:space="preserve"> - Máy ủi 110CV</v>
      </c>
      <c r="E316" s="269" t="str">
        <f>'Giá Máy'!F29</f>
        <v>ca</v>
      </c>
      <c r="F316" s="271">
        <v>0</v>
      </c>
      <c r="G316" s="272">
        <v>3.5000000000000003E-2</v>
      </c>
      <c r="H316" s="272">
        <f>'5.Tiên lượng'!X94</f>
        <v>1</v>
      </c>
      <c r="I316" s="272">
        <f>PRODUCT(F311,G316,H316)</f>
        <v>4.3519000000000009E-2</v>
      </c>
      <c r="J316" s="285">
        <f>'Giá Máy'!G29</f>
        <v>1758596.7608571399</v>
      </c>
      <c r="K316" s="285">
        <f t="shared" si="132"/>
        <v>61550.886629999906</v>
      </c>
      <c r="L316" s="285">
        <f>'Giá Máy'!H29</f>
        <v>1933474</v>
      </c>
      <c r="M316" s="286">
        <f t="shared" si="133"/>
        <v>67671.590000000011</v>
      </c>
      <c r="N316" s="286">
        <v>0</v>
      </c>
      <c r="O316" s="286">
        <v>0</v>
      </c>
      <c r="P316" s="286">
        <f>'Giá Máy'!O29</f>
        <v>1819307.232857143</v>
      </c>
      <c r="Q316" s="286">
        <f t="shared" si="134"/>
        <v>63675.753150000011</v>
      </c>
      <c r="R316" s="288">
        <v>0</v>
      </c>
    </row>
    <row r="317" spans="1:18">
      <c r="A317" s="229"/>
      <c r="B317" s="289">
        <v>0</v>
      </c>
      <c r="C317" s="682" t="s">
        <v>339</v>
      </c>
      <c r="D317" s="290" t="s">
        <v>1069</v>
      </c>
      <c r="E317" s="289"/>
      <c r="F317" s="291">
        <v>0</v>
      </c>
      <c r="G317" s="292">
        <v>0</v>
      </c>
      <c r="H317" s="292">
        <f>'5.Tiên lượng'!X94</f>
        <v>1</v>
      </c>
      <c r="I317" s="292">
        <f>PRODUCT(F311,G317,H317)</f>
        <v>0</v>
      </c>
      <c r="J317" s="293">
        <v>0</v>
      </c>
      <c r="K317" s="294">
        <f t="shared" si="132"/>
        <v>0</v>
      </c>
      <c r="L317" s="294">
        <v>0</v>
      </c>
      <c r="M317" s="295">
        <f t="shared" si="133"/>
        <v>0</v>
      </c>
      <c r="N317" s="295">
        <v>0</v>
      </c>
      <c r="O317" s="295">
        <v>0</v>
      </c>
      <c r="P317" s="295">
        <v>0</v>
      </c>
      <c r="Q317" s="295">
        <f t="shared" si="134"/>
        <v>0</v>
      </c>
      <c r="R317" s="146">
        <v>0</v>
      </c>
    </row>
    <row r="318" spans="1:18">
      <c r="A318" s="234"/>
      <c r="B318" s="256">
        <v>39</v>
      </c>
      <c r="C318" s="234" t="str">
        <f>'5.Tiên lượng'!C97</f>
        <v>AB.67110</v>
      </c>
      <c r="D318" s="257" t="str">
        <f>'5.Tiên lượng'!D97</f>
        <v>Đắp đá hỗn hợp công trình bằng máy ủi 180CV</v>
      </c>
      <c r="E318" s="256" t="str">
        <f>'5.Tiên lượng'!E97</f>
        <v>100m3</v>
      </c>
      <c r="F318" s="258">
        <f>'5.Tiên lượng'!M97</f>
        <v>0</v>
      </c>
      <c r="G318" s="259">
        <v>0</v>
      </c>
      <c r="H318" s="259">
        <v>0</v>
      </c>
      <c r="I318" s="259">
        <v>0</v>
      </c>
      <c r="J318" s="279">
        <v>0</v>
      </c>
      <c r="K318" s="279">
        <v>0</v>
      </c>
      <c r="L318" s="279">
        <v>0</v>
      </c>
      <c r="M318" s="280">
        <v>0</v>
      </c>
      <c r="N318" s="280">
        <v>0</v>
      </c>
      <c r="O318" s="280">
        <v>0</v>
      </c>
      <c r="P318" s="280">
        <v>0</v>
      </c>
      <c r="Q318" s="280">
        <v>0</v>
      </c>
      <c r="R318" s="222">
        <v>0</v>
      </c>
    </row>
    <row r="319" spans="1:18">
      <c r="A319" s="240"/>
      <c r="B319" s="260">
        <v>0</v>
      </c>
      <c r="C319" s="261" t="s">
        <v>590</v>
      </c>
      <c r="D319" s="262" t="s">
        <v>265</v>
      </c>
      <c r="E319" s="260"/>
      <c r="F319" s="263">
        <v>0</v>
      </c>
      <c r="G319" s="264">
        <v>0</v>
      </c>
      <c r="H319" s="264"/>
      <c r="I319" s="264">
        <v>0</v>
      </c>
      <c r="J319" s="281">
        <v>0</v>
      </c>
      <c r="K319" s="281">
        <f>SUM(K320:K320)</f>
        <v>819596.25</v>
      </c>
      <c r="L319" s="281">
        <v>0</v>
      </c>
      <c r="M319" s="282">
        <f>SUM(M320:M320)</f>
        <v>857317.5</v>
      </c>
      <c r="N319" s="282">
        <v>0</v>
      </c>
      <c r="O319" s="282">
        <v>0</v>
      </c>
      <c r="P319" s="282">
        <v>0</v>
      </c>
      <c r="Q319" s="282">
        <f>SUM(Q320:Q320)</f>
        <v>857317.5</v>
      </c>
      <c r="R319" s="287">
        <v>0</v>
      </c>
    </row>
    <row r="320" spans="1:18">
      <c r="A320" s="246"/>
      <c r="B320" s="265">
        <v>0</v>
      </c>
      <c r="C320" s="680" t="s">
        <v>598</v>
      </c>
      <c r="D320" s="266" t="str">
        <f>" - "&amp;'Giá NC'!E5</f>
        <v xml:space="preserve"> - Nhân công bậc 3,0/7 - Nhóm 1</v>
      </c>
      <c r="E320" s="265" t="str">
        <f>'Giá NC'!F5</f>
        <v>công</v>
      </c>
      <c r="F320" s="267">
        <v>0</v>
      </c>
      <c r="G320" s="268">
        <v>3.75</v>
      </c>
      <c r="H320" s="268">
        <f>'5.Tiên lượng'!W97</f>
        <v>1</v>
      </c>
      <c r="I320" s="268">
        <f>PRODUCT(F318,G320,H320)</f>
        <v>0</v>
      </c>
      <c r="J320" s="283">
        <f>'Giá NC'!G5</f>
        <v>218559</v>
      </c>
      <c r="K320" s="283">
        <f>PRODUCT(G320,H320,J320)</f>
        <v>819596.25</v>
      </c>
      <c r="L320" s="283">
        <f>'Giá NC'!H5</f>
        <v>228618</v>
      </c>
      <c r="M320" s="284">
        <f>PRODUCT(G320,H320,L320)</f>
        <v>857317.5</v>
      </c>
      <c r="N320" s="284">
        <v>0</v>
      </c>
      <c r="O320" s="284">
        <v>0</v>
      </c>
      <c r="P320" s="284">
        <f>'Giá NC'!K5</f>
        <v>228618</v>
      </c>
      <c r="Q320" s="284">
        <f>PRODUCT(G320,H320,P320)</f>
        <v>857317.5</v>
      </c>
      <c r="R320" s="287">
        <v>0</v>
      </c>
    </row>
    <row r="321" spans="1:18">
      <c r="A321" s="240"/>
      <c r="B321" s="260">
        <v>0</v>
      </c>
      <c r="C321" s="261" t="s">
        <v>590</v>
      </c>
      <c r="D321" s="262" t="s">
        <v>267</v>
      </c>
      <c r="E321" s="260"/>
      <c r="F321" s="263">
        <v>0</v>
      </c>
      <c r="G321" s="264">
        <v>0</v>
      </c>
      <c r="H321" s="264"/>
      <c r="I321" s="264">
        <v>0</v>
      </c>
      <c r="J321" s="281">
        <v>0</v>
      </c>
      <c r="K321" s="281">
        <f>SUM(K322:K322)</f>
        <v>3359124.9249600004</v>
      </c>
      <c r="L321" s="281">
        <v>0</v>
      </c>
      <c r="M321" s="282">
        <f>SUM(M322:M322)</f>
        <v>3682723.5200000005</v>
      </c>
      <c r="N321" s="282">
        <v>0</v>
      </c>
      <c r="O321" s="282">
        <v>0</v>
      </c>
      <c r="P321" s="282">
        <v>0</v>
      </c>
      <c r="Q321" s="282">
        <f>SUM(Q322:Q322)</f>
        <v>3453228.9288000008</v>
      </c>
      <c r="R321" s="287">
        <v>0</v>
      </c>
    </row>
    <row r="322" spans="1:18">
      <c r="A322" s="251"/>
      <c r="B322" s="269">
        <v>0</v>
      </c>
      <c r="C322" s="681" t="s">
        <v>603</v>
      </c>
      <c r="D322" s="270" t="str">
        <f>" - "&amp;'Giá Máy'!E30</f>
        <v xml:space="preserve"> - Máy ủi 180CV</v>
      </c>
      <c r="E322" s="269" t="str">
        <f>'Giá Máy'!F30</f>
        <v>ca</v>
      </c>
      <c r="F322" s="271">
        <v>0</v>
      </c>
      <c r="G322" s="272">
        <v>1.1200000000000001</v>
      </c>
      <c r="H322" s="272">
        <f>'5.Tiên lượng'!X97</f>
        <v>1</v>
      </c>
      <c r="I322" s="272">
        <f>PRODUCT(F318,G322,H322)</f>
        <v>0</v>
      </c>
      <c r="J322" s="285">
        <f>'Giá Máy'!G30</f>
        <v>2999218.6830000002</v>
      </c>
      <c r="K322" s="285">
        <f>PRODUCT(G322,H322,J322)</f>
        <v>3359124.9249600004</v>
      </c>
      <c r="L322" s="285">
        <f>'Giá Máy'!H30</f>
        <v>3288146</v>
      </c>
      <c r="M322" s="286">
        <f>PRODUCT(G322,H322,L322)</f>
        <v>3682723.5200000005</v>
      </c>
      <c r="N322" s="286">
        <v>0</v>
      </c>
      <c r="O322" s="286">
        <v>0</v>
      </c>
      <c r="P322" s="286">
        <f>'Giá Máy'!O30</f>
        <v>3083240.1150000002</v>
      </c>
      <c r="Q322" s="286">
        <f>PRODUCT(G322,H322,P322)</f>
        <v>3453228.9288000008</v>
      </c>
      <c r="R322" s="288">
        <v>0</v>
      </c>
    </row>
    <row r="323" spans="1:18">
      <c r="A323" s="234"/>
      <c r="B323" s="256">
        <v>40</v>
      </c>
      <c r="C323" s="234" t="str">
        <f>'5.Tiên lượng'!C99</f>
        <v>AD.11212</v>
      </c>
      <c r="D323" s="257" t="str">
        <f>'5.Tiên lượng'!D99</f>
        <v xml:space="preserve">Thi công móng cấp phối đá dăm lớp dưới </v>
      </c>
      <c r="E323" s="256" t="str">
        <f>'5.Tiên lượng'!E99</f>
        <v>100m3</v>
      </c>
      <c r="F323" s="258">
        <f>'5.Tiên lượng'!M99</f>
        <v>4.3350070000000001</v>
      </c>
      <c r="G323" s="259">
        <v>0</v>
      </c>
      <c r="H323" s="259">
        <v>0</v>
      </c>
      <c r="I323" s="259">
        <v>0</v>
      </c>
      <c r="J323" s="279">
        <v>0</v>
      </c>
      <c r="K323" s="279">
        <v>0</v>
      </c>
      <c r="L323" s="279">
        <v>0</v>
      </c>
      <c r="M323" s="280">
        <v>0</v>
      </c>
      <c r="N323" s="280">
        <v>0</v>
      </c>
      <c r="O323" s="280">
        <v>0</v>
      </c>
      <c r="P323" s="280">
        <v>0</v>
      </c>
      <c r="Q323" s="280">
        <v>0</v>
      </c>
      <c r="R323" s="222">
        <v>0</v>
      </c>
    </row>
    <row r="324" spans="1:18">
      <c r="A324" s="240"/>
      <c r="B324" s="260">
        <v>0</v>
      </c>
      <c r="C324" s="261" t="s">
        <v>590</v>
      </c>
      <c r="D324" s="262" t="s">
        <v>262</v>
      </c>
      <c r="E324" s="260"/>
      <c r="F324" s="263">
        <v>0</v>
      </c>
      <c r="G324" s="264">
        <v>0</v>
      </c>
      <c r="H324" s="264"/>
      <c r="I324" s="264">
        <v>0</v>
      </c>
      <c r="J324" s="281">
        <v>0</v>
      </c>
      <c r="K324" s="281">
        <f>SUM(K325:K325)</f>
        <v>12060000</v>
      </c>
      <c r="L324" s="281">
        <v>0</v>
      </c>
      <c r="M324" s="282">
        <f>SUM(M325:M325)</f>
        <v>22780000</v>
      </c>
      <c r="N324" s="282">
        <v>0</v>
      </c>
      <c r="O324" s="282">
        <v>0</v>
      </c>
      <c r="P324" s="282">
        <v>0</v>
      </c>
      <c r="Q324" s="282">
        <f>SUM(Q325:Q325)</f>
        <v>32221379.337286752</v>
      </c>
      <c r="R324" s="287">
        <v>0</v>
      </c>
    </row>
    <row r="325" spans="1:18">
      <c r="A325" s="246"/>
      <c r="B325" s="265">
        <v>0</v>
      </c>
      <c r="C325" s="680" t="s">
        <v>604</v>
      </c>
      <c r="D325" s="266" t="str">
        <f>" - "&amp;'Giá VL'!E13</f>
        <v xml:space="preserve"> - Cấp phối đá dăm loại 2</v>
      </c>
      <c r="E325" s="265" t="str">
        <f>'Giá VL'!F13</f>
        <v>m3</v>
      </c>
      <c r="F325" s="267">
        <v>0</v>
      </c>
      <c r="G325" s="268">
        <v>134</v>
      </c>
      <c r="H325" s="268">
        <f>'5.Tiên lượng'!V99</f>
        <v>1</v>
      </c>
      <c r="I325" s="268">
        <f>PRODUCT(F323,G325,H325)</f>
        <v>580.89093800000001</v>
      </c>
      <c r="J325" s="283">
        <f>'Giá VL'!G13</f>
        <v>90000</v>
      </c>
      <c r="K325" s="283">
        <f>PRODUCT(G325,H325,J325)</f>
        <v>12060000</v>
      </c>
      <c r="L325" s="283">
        <f>'Giá VL'!J13</f>
        <v>170000</v>
      </c>
      <c r="M325" s="284">
        <f>PRODUCT(G325,H325,L325)</f>
        <v>22780000</v>
      </c>
      <c r="N325" s="284">
        <v>0</v>
      </c>
      <c r="O325" s="284">
        <v>0</v>
      </c>
      <c r="P325" s="284">
        <f>'Giá VL'!V13</f>
        <v>240458.05475587127</v>
      </c>
      <c r="Q325" s="284">
        <f>PRODUCT(G325,H325,P325)</f>
        <v>32221379.337286752</v>
      </c>
      <c r="R325" s="287">
        <v>0</v>
      </c>
    </row>
    <row r="326" spans="1:18">
      <c r="A326" s="240"/>
      <c r="B326" s="260">
        <v>0</v>
      </c>
      <c r="C326" s="261" t="s">
        <v>590</v>
      </c>
      <c r="D326" s="262" t="s">
        <v>265</v>
      </c>
      <c r="E326" s="260"/>
      <c r="F326" s="263">
        <v>0</v>
      </c>
      <c r="G326" s="264">
        <v>0</v>
      </c>
      <c r="H326" s="264"/>
      <c r="I326" s="264">
        <v>0</v>
      </c>
      <c r="J326" s="281">
        <v>0</v>
      </c>
      <c r="K326" s="281">
        <f>SUM(K327:K327)</f>
        <v>704730</v>
      </c>
      <c r="L326" s="281">
        <v>0</v>
      </c>
      <c r="M326" s="282">
        <f>SUM(M327:M327)</f>
        <v>770352.96000000008</v>
      </c>
      <c r="N326" s="282">
        <v>0</v>
      </c>
      <c r="O326" s="282">
        <v>0</v>
      </c>
      <c r="P326" s="282">
        <v>0</v>
      </c>
      <c r="Q326" s="282">
        <f>SUM(Q327:Q327)</f>
        <v>770352.96000000008</v>
      </c>
      <c r="R326" s="287">
        <v>0</v>
      </c>
    </row>
    <row r="327" spans="1:18">
      <c r="A327" s="246"/>
      <c r="B327" s="265">
        <v>0</v>
      </c>
      <c r="C327" s="680" t="s">
        <v>605</v>
      </c>
      <c r="D327" s="266" t="str">
        <f>" - "&amp;'Giá NC'!E8</f>
        <v xml:space="preserve"> - Nhân công bậc 3,0/7 - Nhóm 2</v>
      </c>
      <c r="E327" s="265" t="str">
        <f>'Giá NC'!F8</f>
        <v>công</v>
      </c>
      <c r="F327" s="267">
        <v>0</v>
      </c>
      <c r="G327" s="268">
        <v>3.12</v>
      </c>
      <c r="H327" s="268">
        <f>'5.Tiên lượng'!W99</f>
        <v>1</v>
      </c>
      <c r="I327" s="268">
        <f>PRODUCT(F323,G327,H327)</f>
        <v>13.52522184</v>
      </c>
      <c r="J327" s="283">
        <f>'Giá NC'!G8</f>
        <v>225875</v>
      </c>
      <c r="K327" s="283">
        <f>PRODUCT(G327,H327,J327)</f>
        <v>704730</v>
      </c>
      <c r="L327" s="283">
        <f>'Giá NC'!H8</f>
        <v>246908</v>
      </c>
      <c r="M327" s="284">
        <f>PRODUCT(G327,H327,L327)</f>
        <v>770352.96000000008</v>
      </c>
      <c r="N327" s="284">
        <v>0</v>
      </c>
      <c r="O327" s="284">
        <v>0</v>
      </c>
      <c r="P327" s="284">
        <f>'Giá NC'!K8</f>
        <v>246908</v>
      </c>
      <c r="Q327" s="284">
        <f>PRODUCT(G327,H327,P327)</f>
        <v>770352.96000000008</v>
      </c>
      <c r="R327" s="287">
        <v>0</v>
      </c>
    </row>
    <row r="328" spans="1:18">
      <c r="A328" s="240"/>
      <c r="B328" s="260">
        <v>0</v>
      </c>
      <c r="C328" s="261" t="s">
        <v>590</v>
      </c>
      <c r="D328" s="262" t="s">
        <v>267</v>
      </c>
      <c r="E328" s="260"/>
      <c r="F328" s="263">
        <v>0</v>
      </c>
      <c r="G328" s="264">
        <v>0</v>
      </c>
      <c r="H328" s="264"/>
      <c r="I328" s="264">
        <v>0</v>
      </c>
      <c r="J328" s="281">
        <v>0</v>
      </c>
      <c r="K328" s="281">
        <f>SUM(K329:K334)</f>
        <v>2313287.7064239779</v>
      </c>
      <c r="L328" s="281">
        <v>0</v>
      </c>
      <c r="M328" s="282">
        <f>SUM(M329:M334)</f>
        <v>198171.84959999999</v>
      </c>
      <c r="N328" s="282">
        <v>0</v>
      </c>
      <c r="O328" s="282">
        <v>0</v>
      </c>
      <c r="P328" s="282">
        <v>0</v>
      </c>
      <c r="Q328" s="282">
        <f>SUM(Q329:Q334)</f>
        <v>2369565.459726376</v>
      </c>
      <c r="R328" s="287">
        <v>0</v>
      </c>
    </row>
    <row r="329" spans="1:18">
      <c r="A329" s="246"/>
      <c r="B329" s="265">
        <v>0</v>
      </c>
      <c r="C329" s="680" t="s">
        <v>606</v>
      </c>
      <c r="D329" s="266" t="str">
        <f>" - "&amp;'Giá Máy'!E24</f>
        <v xml:space="preserve"> - Máy rải cấp phối đá dăm 50 - 60m3/h</v>
      </c>
      <c r="E329" s="265" t="str">
        <f>'Giá Máy'!F24</f>
        <v>ca</v>
      </c>
      <c r="F329" s="267">
        <v>0</v>
      </c>
      <c r="G329" s="268">
        <v>0.21</v>
      </c>
      <c r="H329" s="268">
        <f>'5.Tiên lượng'!X99</f>
        <v>1</v>
      </c>
      <c r="I329" s="268">
        <f>PRODUCT(F323,G329,H329)</f>
        <v>0.91035146999999994</v>
      </c>
      <c r="J329" s="283">
        <f>'Giá Máy'!G24</f>
        <v>3528139.6955555598</v>
      </c>
      <c r="K329" s="283">
        <f t="shared" ref="K329:K334" si="135">PRODUCT(G329,H329,J329)</f>
        <v>740909.33606666757</v>
      </c>
      <c r="L329" s="283">
        <f>'Giá Máy'!H24</f>
        <v>0</v>
      </c>
      <c r="M329" s="284">
        <f t="shared" ref="M329:M334" si="136">PRODUCT(G329,H329,L329)</f>
        <v>0</v>
      </c>
      <c r="N329" s="284">
        <v>0</v>
      </c>
      <c r="O329" s="284">
        <v>0</v>
      </c>
      <c r="P329" s="284">
        <f>'Giá Máy'!O24</f>
        <v>3572483.6555555556</v>
      </c>
      <c r="Q329" s="284">
        <f t="shared" ref="Q329:Q334" si="137">PRODUCT(G329,H329,P329)</f>
        <v>750221.5676666667</v>
      </c>
      <c r="R329" s="287">
        <v>0.5</v>
      </c>
    </row>
    <row r="330" spans="1:18">
      <c r="A330" s="246"/>
      <c r="B330" s="265">
        <v>0</v>
      </c>
      <c r="C330" s="680" t="s">
        <v>607</v>
      </c>
      <c r="D330" s="266" t="str">
        <f>" - "&amp;'Giá Máy'!E19</f>
        <v xml:space="preserve"> - Máy lu rung tự hành 25T</v>
      </c>
      <c r="E330" s="265" t="str">
        <f>'Giá Máy'!F19</f>
        <v>ca</v>
      </c>
      <c r="F330" s="267">
        <v>0</v>
      </c>
      <c r="G330" s="268">
        <v>0.32</v>
      </c>
      <c r="H330" s="268">
        <f>'5.Tiên lượng'!X99</f>
        <v>1</v>
      </c>
      <c r="I330" s="268">
        <f>PRODUCT(F323,G330,H330)</f>
        <v>1.3872022400000001</v>
      </c>
      <c r="J330" s="283">
        <f>'Giá Máy'!G19</f>
        <v>2717265.9248888898</v>
      </c>
      <c r="K330" s="283">
        <f t="shared" si="135"/>
        <v>869525.0959644448</v>
      </c>
      <c r="L330" s="283">
        <f>'Giá Máy'!H19</f>
        <v>0</v>
      </c>
      <c r="M330" s="284">
        <f t="shared" si="136"/>
        <v>0</v>
      </c>
      <c r="N330" s="284">
        <v>0</v>
      </c>
      <c r="O330" s="284">
        <v>0</v>
      </c>
      <c r="P330" s="284">
        <f>'Giá Máy'!O19</f>
        <v>2794294.0688888887</v>
      </c>
      <c r="Q330" s="284">
        <f t="shared" si="137"/>
        <v>894174.10204444441</v>
      </c>
      <c r="R330" s="287">
        <v>0.5</v>
      </c>
    </row>
    <row r="331" spans="1:18">
      <c r="A331" s="246"/>
      <c r="B331" s="265">
        <v>0</v>
      </c>
      <c r="C331" s="680" t="s">
        <v>608</v>
      </c>
      <c r="D331" s="266" t="str">
        <f>" - "&amp;'Giá Máy'!E38</f>
        <v xml:space="preserve"> - Máy lu bánh hơi tự hành 16T</v>
      </c>
      <c r="E331" s="265" t="str">
        <f>'Giá Máy'!F38</f>
        <v>ca</v>
      </c>
      <c r="F331" s="267">
        <v>0</v>
      </c>
      <c r="G331" s="268">
        <v>0.12</v>
      </c>
      <c r="H331" s="268">
        <f>'5.Tiên lượng'!X99</f>
        <v>1</v>
      </c>
      <c r="I331" s="268">
        <f>PRODUCT(F323,G331,H331)</f>
        <v>0.52020084</v>
      </c>
      <c r="J331" s="283">
        <f>'Giá Máy'!G38</f>
        <v>1498752.32622222</v>
      </c>
      <c r="K331" s="283">
        <f t="shared" si="135"/>
        <v>179850.27914666638</v>
      </c>
      <c r="L331" s="283">
        <f>'Giá Máy'!H38</f>
        <v>1643216</v>
      </c>
      <c r="M331" s="284">
        <f t="shared" si="136"/>
        <v>197185.91999999998</v>
      </c>
      <c r="N331" s="284">
        <v>0</v>
      </c>
      <c r="O331" s="284">
        <v>0</v>
      </c>
      <c r="P331" s="284">
        <f>'Giá Máy'!O38</f>
        <v>1553246.5422222223</v>
      </c>
      <c r="Q331" s="284">
        <f t="shared" si="137"/>
        <v>186389.58506666668</v>
      </c>
      <c r="R331" s="287">
        <v>0.5</v>
      </c>
    </row>
    <row r="332" spans="1:18">
      <c r="A332" s="246"/>
      <c r="B332" s="265">
        <v>0</v>
      </c>
      <c r="C332" s="680" t="s">
        <v>609</v>
      </c>
      <c r="D332" s="266" t="str">
        <f>" - "&amp;'Giá Máy'!E17</f>
        <v xml:space="preserve"> - Máy lu bánh thép 10T</v>
      </c>
      <c r="E332" s="265" t="str">
        <f>'Giá Máy'!F17</f>
        <v>ca</v>
      </c>
      <c r="F332" s="267">
        <v>0</v>
      </c>
      <c r="G332" s="268">
        <v>0.26</v>
      </c>
      <c r="H332" s="268">
        <f>'5.Tiên lượng'!X99</f>
        <v>1</v>
      </c>
      <c r="I332" s="268">
        <f>PRODUCT(F323,G332,H332)</f>
        <v>1.12710182</v>
      </c>
      <c r="J332" s="283">
        <f>'Giá Máy'!G17</f>
        <v>1086987.4154074099</v>
      </c>
      <c r="K332" s="283">
        <f t="shared" si="135"/>
        <v>282616.72800592659</v>
      </c>
      <c r="L332" s="283">
        <f>'Giá Máy'!H17</f>
        <v>0</v>
      </c>
      <c r="M332" s="284">
        <f t="shared" si="136"/>
        <v>0</v>
      </c>
      <c r="N332" s="284">
        <v>0</v>
      </c>
      <c r="O332" s="284">
        <v>0</v>
      </c>
      <c r="P332" s="284">
        <f>'Giá Máy'!O17</f>
        <v>1132157.2474074075</v>
      </c>
      <c r="Q332" s="284">
        <f t="shared" si="137"/>
        <v>294360.88432592596</v>
      </c>
      <c r="R332" s="287">
        <v>0.5</v>
      </c>
    </row>
    <row r="333" spans="1:18">
      <c r="A333" s="246"/>
      <c r="B333" s="265">
        <v>0</v>
      </c>
      <c r="C333" s="680" t="s">
        <v>610</v>
      </c>
      <c r="D333" s="266" t="str">
        <f>" - "&amp;'Giá Máy'!E33</f>
        <v xml:space="preserve"> - Ô tô tưới nước 5m3</v>
      </c>
      <c r="E333" s="265" t="str">
        <f>'Giá Máy'!F33</f>
        <v>ca</v>
      </c>
      <c r="F333" s="267">
        <v>0</v>
      </c>
      <c r="G333" s="268">
        <v>0.21</v>
      </c>
      <c r="H333" s="268">
        <f>'5.Tiên lượng'!X99</f>
        <v>1</v>
      </c>
      <c r="I333" s="268">
        <f>PRODUCT(F323,G333,H333)</f>
        <v>0.91035146999999994</v>
      </c>
      <c r="J333" s="283">
        <f>'Giá Máy'!G33</f>
        <v>1089892.2532307699</v>
      </c>
      <c r="K333" s="283">
        <f t="shared" si="135"/>
        <v>228877.37317846165</v>
      </c>
      <c r="L333" s="283">
        <f>'Giá Máy'!H33</f>
        <v>0</v>
      </c>
      <c r="M333" s="284">
        <f t="shared" si="136"/>
        <v>0</v>
      </c>
      <c r="N333" s="284">
        <v>0</v>
      </c>
      <c r="O333" s="284">
        <v>0</v>
      </c>
      <c r="P333" s="284">
        <f>'Giá Máy'!O33</f>
        <v>1107763.9892307692</v>
      </c>
      <c r="Q333" s="284">
        <f t="shared" si="137"/>
        <v>232630.43773846154</v>
      </c>
      <c r="R333" s="287">
        <v>0.5</v>
      </c>
    </row>
    <row r="334" spans="1:18">
      <c r="A334" s="251"/>
      <c r="B334" s="269">
        <v>0</v>
      </c>
      <c r="C334" s="681" t="s">
        <v>611</v>
      </c>
      <c r="D334" s="270" t="s">
        <v>612</v>
      </c>
      <c r="E334" s="269" t="s">
        <v>37</v>
      </c>
      <c r="F334" s="271">
        <v>0</v>
      </c>
      <c r="G334" s="272">
        <f>AVERAGE(R329:R333)</f>
        <v>0.5</v>
      </c>
      <c r="H334" s="272">
        <f>'5.Tiên lượng'!X99</f>
        <v>1</v>
      </c>
      <c r="I334" s="272">
        <f>PRODUCT(F323,G334,H334)</f>
        <v>2.1675035</v>
      </c>
      <c r="J334" s="285">
        <f>(G329*J329+G330*J330+G331*J331+G332*J332+G333*J333)/100</f>
        <v>23017.788123621671</v>
      </c>
      <c r="K334" s="285">
        <f t="shared" si="135"/>
        <v>11508.894061810835</v>
      </c>
      <c r="L334" s="285">
        <f>(G329*L329+G330*L330+G331*L331+G332*L332+G333*L333)/100</f>
        <v>1971.8591999999999</v>
      </c>
      <c r="M334" s="286">
        <f t="shared" si="136"/>
        <v>985.92959999999994</v>
      </c>
      <c r="N334" s="286">
        <v>0</v>
      </c>
      <c r="O334" s="286">
        <v>0</v>
      </c>
      <c r="P334" s="286">
        <f>(G329*P329+G330*P330+G331*P331+G332*P332+G333*P333)/100</f>
        <v>23577.76576842165</v>
      </c>
      <c r="Q334" s="286">
        <f t="shared" si="137"/>
        <v>11788.882884210825</v>
      </c>
      <c r="R334" s="288">
        <v>0</v>
      </c>
    </row>
    <row r="335" spans="1:18" ht="27.6">
      <c r="A335" s="234"/>
      <c r="B335" s="256">
        <v>41</v>
      </c>
      <c r="C335" s="234" t="str">
        <f>'5.Tiên lượng'!C101</f>
        <v>AB.64113</v>
      </c>
      <c r="D335" s="257" t="str">
        <f>'5.Tiên lượng'!D101</f>
        <v>Đắp nền đường bằng máy lu bánh thép 9T, máy ủi 110CV, độ chặt Y/C K = 0,95</v>
      </c>
      <c r="E335" s="256" t="str">
        <f>'5.Tiên lượng'!E101</f>
        <v>100m3</v>
      </c>
      <c r="F335" s="258">
        <f>'5.Tiên lượng'!M101</f>
        <v>8.2415929999999999</v>
      </c>
      <c r="G335" s="259">
        <v>0</v>
      </c>
      <c r="H335" s="259">
        <v>0</v>
      </c>
      <c r="I335" s="259">
        <v>0</v>
      </c>
      <c r="J335" s="279">
        <v>0</v>
      </c>
      <c r="K335" s="279">
        <v>0</v>
      </c>
      <c r="L335" s="279">
        <v>0</v>
      </c>
      <c r="M335" s="280">
        <v>0</v>
      </c>
      <c r="N335" s="280">
        <v>0</v>
      </c>
      <c r="O335" s="280">
        <v>0</v>
      </c>
      <c r="P335" s="280">
        <v>0</v>
      </c>
      <c r="Q335" s="280">
        <v>0</v>
      </c>
      <c r="R335" s="222">
        <v>0</v>
      </c>
    </row>
    <row r="336" spans="1:18">
      <c r="A336" s="240"/>
      <c r="B336" s="260">
        <v>0</v>
      </c>
      <c r="C336" s="261" t="s">
        <v>590</v>
      </c>
      <c r="D336" s="262" t="s">
        <v>265</v>
      </c>
      <c r="E336" s="260"/>
      <c r="F336" s="263">
        <v>0</v>
      </c>
      <c r="G336" s="264">
        <v>0</v>
      </c>
      <c r="H336" s="264"/>
      <c r="I336" s="264">
        <v>0</v>
      </c>
      <c r="J336" s="281">
        <v>0</v>
      </c>
      <c r="K336" s="281">
        <f>SUM(K337:K337)</f>
        <v>360622.35</v>
      </c>
      <c r="L336" s="281">
        <v>0</v>
      </c>
      <c r="M336" s="282">
        <f>SUM(M337:M337)</f>
        <v>377219.69999999995</v>
      </c>
      <c r="N336" s="282">
        <v>0</v>
      </c>
      <c r="O336" s="282">
        <v>0</v>
      </c>
      <c r="P336" s="282">
        <v>0</v>
      </c>
      <c r="Q336" s="282">
        <f>SUM(Q337:Q337)</f>
        <v>377219.69999999995</v>
      </c>
      <c r="R336" s="287">
        <v>0</v>
      </c>
    </row>
    <row r="337" spans="1:18">
      <c r="A337" s="246"/>
      <c r="B337" s="265">
        <v>0</v>
      </c>
      <c r="C337" s="680" t="s">
        <v>598</v>
      </c>
      <c r="D337" s="266" t="str">
        <f>" - "&amp;'Giá NC'!E5</f>
        <v xml:space="preserve"> - Nhân công bậc 3,0/7 - Nhóm 1</v>
      </c>
      <c r="E337" s="265" t="str">
        <f>'Giá NC'!F5</f>
        <v>công</v>
      </c>
      <c r="F337" s="267">
        <v>0</v>
      </c>
      <c r="G337" s="268">
        <v>1.65</v>
      </c>
      <c r="H337" s="268">
        <f>'5.Tiên lượng'!W101</f>
        <v>1</v>
      </c>
      <c r="I337" s="268">
        <f>PRODUCT(F335,G337,H337)</f>
        <v>13.59862845</v>
      </c>
      <c r="J337" s="283">
        <f>'Giá NC'!G5</f>
        <v>218559</v>
      </c>
      <c r="K337" s="283">
        <f>PRODUCT(G337,H337,J337)</f>
        <v>360622.35</v>
      </c>
      <c r="L337" s="283">
        <f>'Giá NC'!H5</f>
        <v>228618</v>
      </c>
      <c r="M337" s="284">
        <f>PRODUCT(G337,H337,L337)</f>
        <v>377219.69999999995</v>
      </c>
      <c r="N337" s="284">
        <v>0</v>
      </c>
      <c r="O337" s="284">
        <v>0</v>
      </c>
      <c r="P337" s="284">
        <f>'Giá NC'!K5</f>
        <v>228618</v>
      </c>
      <c r="Q337" s="284">
        <f>PRODUCT(G337,H337,P337)</f>
        <v>377219.69999999995</v>
      </c>
      <c r="R337" s="287">
        <v>0</v>
      </c>
    </row>
    <row r="338" spans="1:18">
      <c r="A338" s="240"/>
      <c r="B338" s="260">
        <v>0</v>
      </c>
      <c r="C338" s="261" t="s">
        <v>590</v>
      </c>
      <c r="D338" s="262" t="s">
        <v>267</v>
      </c>
      <c r="E338" s="260"/>
      <c r="F338" s="263">
        <v>0</v>
      </c>
      <c r="G338" s="264">
        <v>0</v>
      </c>
      <c r="H338" s="264"/>
      <c r="I338" s="264">
        <v>0</v>
      </c>
      <c r="J338" s="281">
        <v>0</v>
      </c>
      <c r="K338" s="281">
        <f>SUM(K339:K343)</f>
        <v>786591.09942629933</v>
      </c>
      <c r="L338" s="281">
        <v>0</v>
      </c>
      <c r="M338" s="282">
        <f>SUM(M339:M343)</f>
        <v>862761.71310000005</v>
      </c>
      <c r="N338" s="282">
        <v>0</v>
      </c>
      <c r="O338" s="282">
        <v>0</v>
      </c>
      <c r="P338" s="282">
        <v>0</v>
      </c>
      <c r="Q338" s="282">
        <f>SUM(Q339:Q343)</f>
        <v>818124.93843149999</v>
      </c>
      <c r="R338" s="287">
        <v>0</v>
      </c>
    </row>
    <row r="339" spans="1:18">
      <c r="A339" s="246"/>
      <c r="B339" s="265">
        <v>0</v>
      </c>
      <c r="C339" s="680" t="s">
        <v>638</v>
      </c>
      <c r="D339" s="266" t="str">
        <f>" - "&amp;'Giá Máy'!E41</f>
        <v xml:space="preserve"> - Máy lu bánh thép 9T</v>
      </c>
      <c r="E339" s="265" t="str">
        <f>'Giá Máy'!F41</f>
        <v>ca</v>
      </c>
      <c r="F339" s="267">
        <v>0</v>
      </c>
      <c r="G339" s="268">
        <v>0.42</v>
      </c>
      <c r="H339" s="268">
        <f>'5.Tiên lượng'!X101</f>
        <v>1</v>
      </c>
      <c r="I339" s="268">
        <f>PRODUCT(F335,G339,H339)</f>
        <v>3.4614690599999998</v>
      </c>
      <c r="J339" s="283">
        <f>'Giá Máy'!G41</f>
        <v>965860.19200000004</v>
      </c>
      <c r="K339" s="283">
        <f t="shared" ref="K339:K343" si="138">PRODUCT(G339,H339,J339)</f>
        <v>405661.28064000001</v>
      </c>
      <c r="L339" s="283">
        <f>'Giá Máy'!H41</f>
        <v>1057100</v>
      </c>
      <c r="M339" s="284">
        <f t="shared" ref="M339:M343" si="139">PRODUCT(G339,H339,L339)</f>
        <v>443982</v>
      </c>
      <c r="N339" s="284">
        <v>0</v>
      </c>
      <c r="O339" s="284">
        <v>0</v>
      </c>
      <c r="P339" s="284">
        <f>'Giá Máy'!O41</f>
        <v>1009475.96</v>
      </c>
      <c r="Q339" s="284">
        <f t="shared" ref="Q339:Q343" si="140">PRODUCT(G339,H339,P339)</f>
        <v>423979.90319999994</v>
      </c>
      <c r="R339" s="287">
        <v>1.5</v>
      </c>
    </row>
    <row r="340" spans="1:18">
      <c r="A340" s="246"/>
      <c r="B340" s="265">
        <v>0</v>
      </c>
      <c r="C340" s="680" t="s">
        <v>600</v>
      </c>
      <c r="D340" s="266" t="str">
        <f>" - "&amp;'Giá Máy'!E29</f>
        <v xml:space="preserve"> - Máy ủi 110CV</v>
      </c>
      <c r="E340" s="265" t="str">
        <f>'Giá Máy'!F29</f>
        <v>ca</v>
      </c>
      <c r="F340" s="267">
        <v>0</v>
      </c>
      <c r="G340" s="268">
        <v>0.21</v>
      </c>
      <c r="H340" s="268">
        <f>'5.Tiên lượng'!X101</f>
        <v>1</v>
      </c>
      <c r="I340" s="268">
        <f>PRODUCT(F335,G340,H340)</f>
        <v>1.7307345299999999</v>
      </c>
      <c r="J340" s="283">
        <f>'Giá Máy'!G29</f>
        <v>1758596.7608571399</v>
      </c>
      <c r="K340" s="283">
        <f t="shared" si="138"/>
        <v>369305.31977999938</v>
      </c>
      <c r="L340" s="283">
        <f>'Giá Máy'!H29</f>
        <v>1933474</v>
      </c>
      <c r="M340" s="284">
        <f t="shared" si="139"/>
        <v>406029.54</v>
      </c>
      <c r="N340" s="284">
        <v>0</v>
      </c>
      <c r="O340" s="284">
        <v>0</v>
      </c>
      <c r="P340" s="284">
        <f>'Giá Máy'!O29</f>
        <v>1819307.232857143</v>
      </c>
      <c r="Q340" s="284">
        <f t="shared" si="140"/>
        <v>382054.51890000002</v>
      </c>
      <c r="R340" s="287">
        <v>1.5</v>
      </c>
    </row>
    <row r="341" spans="1:18">
      <c r="A341" s="251"/>
      <c r="B341" s="269">
        <v>0</v>
      </c>
      <c r="C341" s="681" t="s">
        <v>611</v>
      </c>
      <c r="D341" s="270" t="s">
        <v>612</v>
      </c>
      <c r="E341" s="269" t="s">
        <v>37</v>
      </c>
      <c r="F341" s="271">
        <v>0</v>
      </c>
      <c r="G341" s="272">
        <f>AVERAGE(R339:R340)</f>
        <v>1.5</v>
      </c>
      <c r="H341" s="272">
        <f>'5.Tiên lượng'!X101</f>
        <v>1</v>
      </c>
      <c r="I341" s="272">
        <f>PRODUCT(F335,G341,H341)</f>
        <v>12.362389499999999</v>
      </c>
      <c r="J341" s="285">
        <f>(G339*J339+G340*J340)/100</f>
        <v>7749.666004199993</v>
      </c>
      <c r="K341" s="285">
        <f t="shared" si="138"/>
        <v>11624.49900629999</v>
      </c>
      <c r="L341" s="285">
        <f>(G339*L339+G340*L340)/100</f>
        <v>8500.1154000000006</v>
      </c>
      <c r="M341" s="286">
        <f t="shared" si="139"/>
        <v>12750.1731</v>
      </c>
      <c r="N341" s="286">
        <v>0</v>
      </c>
      <c r="O341" s="286">
        <v>0</v>
      </c>
      <c r="P341" s="286">
        <f>(G339*P339+G340*P340)/100</f>
        <v>8060.3442209999994</v>
      </c>
      <c r="Q341" s="286">
        <f t="shared" si="140"/>
        <v>12090.516331499999</v>
      </c>
      <c r="R341" s="288">
        <v>0</v>
      </c>
    </row>
    <row r="342" spans="1:18">
      <c r="A342" s="229"/>
      <c r="B342" s="289">
        <v>0</v>
      </c>
      <c r="C342" s="682" t="s">
        <v>339</v>
      </c>
      <c r="D342" s="290" t="s">
        <v>1070</v>
      </c>
      <c r="E342" s="289"/>
      <c r="F342" s="291">
        <v>0</v>
      </c>
      <c r="G342" s="292">
        <v>0</v>
      </c>
      <c r="H342" s="292">
        <f>'5.Tiên lượng'!X101</f>
        <v>1</v>
      </c>
      <c r="I342" s="292">
        <f>PRODUCT(F335,G342,H342)</f>
        <v>0</v>
      </c>
      <c r="J342" s="293">
        <v>0</v>
      </c>
      <c r="K342" s="294">
        <f t="shared" si="138"/>
        <v>0</v>
      </c>
      <c r="L342" s="294">
        <v>0</v>
      </c>
      <c r="M342" s="295">
        <f t="shared" si="139"/>
        <v>0</v>
      </c>
      <c r="N342" s="295">
        <v>0</v>
      </c>
      <c r="O342" s="295">
        <v>0</v>
      </c>
      <c r="P342" s="295">
        <v>0</v>
      </c>
      <c r="Q342" s="295">
        <f t="shared" si="140"/>
        <v>0</v>
      </c>
      <c r="R342" s="146">
        <v>0</v>
      </c>
    </row>
    <row r="343" spans="1:18">
      <c r="A343" s="229"/>
      <c r="B343" s="289">
        <v>0</v>
      </c>
      <c r="C343" s="682" t="s">
        <v>339</v>
      </c>
      <c r="D343" s="290" t="s">
        <v>1074</v>
      </c>
      <c r="E343" s="289"/>
      <c r="F343" s="291">
        <v>0</v>
      </c>
      <c r="G343" s="292">
        <v>0</v>
      </c>
      <c r="H343" s="292">
        <v>0</v>
      </c>
      <c r="I343" s="292">
        <v>0</v>
      </c>
      <c r="J343" s="293">
        <v>0</v>
      </c>
      <c r="K343" s="294">
        <f t="shared" si="138"/>
        <v>0</v>
      </c>
      <c r="L343" s="294">
        <v>0</v>
      </c>
      <c r="M343" s="295">
        <f t="shared" si="139"/>
        <v>0</v>
      </c>
      <c r="N343" s="295">
        <v>0</v>
      </c>
      <c r="O343" s="295">
        <v>0</v>
      </c>
      <c r="P343" s="295">
        <v>0</v>
      </c>
      <c r="Q343" s="295">
        <f t="shared" si="140"/>
        <v>0</v>
      </c>
      <c r="R343" s="146">
        <v>0</v>
      </c>
    </row>
    <row r="344" spans="1:18" ht="27.6">
      <c r="A344" s="234"/>
      <c r="B344" s="256">
        <v>42</v>
      </c>
      <c r="C344" s="234" t="str">
        <f>'5.Tiên lượng'!C105</f>
        <v>AD.11212(VD)</v>
      </c>
      <c r="D344" s="257" t="str">
        <f>'5.Tiên lượng'!D105</f>
        <v>Bù vật liệu (trên mặt đường cũ lồi lõm) bằng cấp phối đá dăm loại 2 (không lu)</v>
      </c>
      <c r="E344" s="256" t="str">
        <f>'5.Tiên lượng'!E105</f>
        <v>100m3</v>
      </c>
      <c r="F344" s="258">
        <f>'5.Tiên lượng'!M105</f>
        <v>10.24</v>
      </c>
      <c r="G344" s="259">
        <v>0</v>
      </c>
      <c r="H344" s="259">
        <v>0</v>
      </c>
      <c r="I344" s="259">
        <v>0</v>
      </c>
      <c r="J344" s="279">
        <v>0</v>
      </c>
      <c r="K344" s="279">
        <v>0</v>
      </c>
      <c r="L344" s="279">
        <v>0</v>
      </c>
      <c r="M344" s="280">
        <v>0</v>
      </c>
      <c r="N344" s="280">
        <v>0</v>
      </c>
      <c r="O344" s="280">
        <v>0</v>
      </c>
      <c r="P344" s="280">
        <v>0</v>
      </c>
      <c r="Q344" s="280">
        <v>0</v>
      </c>
      <c r="R344" s="222">
        <v>0</v>
      </c>
    </row>
    <row r="345" spans="1:18">
      <c r="A345" s="240"/>
      <c r="B345" s="260">
        <v>0</v>
      </c>
      <c r="C345" s="261" t="s">
        <v>590</v>
      </c>
      <c r="D345" s="262" t="s">
        <v>262</v>
      </c>
      <c r="E345" s="260"/>
      <c r="F345" s="263">
        <v>0</v>
      </c>
      <c r="G345" s="264">
        <v>0</v>
      </c>
      <c r="H345" s="264"/>
      <c r="I345" s="264">
        <v>0</v>
      </c>
      <c r="J345" s="281">
        <v>0</v>
      </c>
      <c r="K345" s="281">
        <f>SUM(K346:K346)</f>
        <v>12060000</v>
      </c>
      <c r="L345" s="281">
        <v>0</v>
      </c>
      <c r="M345" s="282">
        <f>SUM(M346:M346)</f>
        <v>22780000</v>
      </c>
      <c r="N345" s="282">
        <v>0</v>
      </c>
      <c r="O345" s="282">
        <v>0</v>
      </c>
      <c r="P345" s="282">
        <v>0</v>
      </c>
      <c r="Q345" s="282">
        <f>SUM(Q346:Q346)</f>
        <v>32221379.337286752</v>
      </c>
      <c r="R345" s="287">
        <v>0</v>
      </c>
    </row>
    <row r="346" spans="1:18">
      <c r="A346" s="246"/>
      <c r="B346" s="265">
        <v>0</v>
      </c>
      <c r="C346" s="680" t="s">
        <v>604</v>
      </c>
      <c r="D346" s="266" t="str">
        <f>" - "&amp;'Giá VL'!E13</f>
        <v xml:space="preserve"> - Cấp phối đá dăm loại 2</v>
      </c>
      <c r="E346" s="265" t="str">
        <f>'Giá VL'!F13</f>
        <v>m3</v>
      </c>
      <c r="F346" s="267">
        <v>0</v>
      </c>
      <c r="G346" s="268">
        <v>134</v>
      </c>
      <c r="H346" s="268">
        <f>'5.Tiên lượng'!V105</f>
        <v>1</v>
      </c>
      <c r="I346" s="268">
        <f>PRODUCT(F344,G346,H346)</f>
        <v>1372.16</v>
      </c>
      <c r="J346" s="283">
        <f>'Giá VL'!G13</f>
        <v>90000</v>
      </c>
      <c r="K346" s="283">
        <f>PRODUCT(G346,H346,J346)</f>
        <v>12060000</v>
      </c>
      <c r="L346" s="283">
        <f>'Giá VL'!J13</f>
        <v>170000</v>
      </c>
      <c r="M346" s="284">
        <f>PRODUCT(G346,H346,L346)</f>
        <v>22780000</v>
      </c>
      <c r="N346" s="284">
        <v>0</v>
      </c>
      <c r="O346" s="284">
        <v>0</v>
      </c>
      <c r="P346" s="284">
        <f>'Giá VL'!V13</f>
        <v>240458.05475587127</v>
      </c>
      <c r="Q346" s="284">
        <f>PRODUCT(G346,H346,P346)</f>
        <v>32221379.337286752</v>
      </c>
      <c r="R346" s="287">
        <v>0</v>
      </c>
    </row>
    <row r="347" spans="1:18">
      <c r="A347" s="240"/>
      <c r="B347" s="260">
        <v>0</v>
      </c>
      <c r="C347" s="261" t="s">
        <v>590</v>
      </c>
      <c r="D347" s="262" t="s">
        <v>265</v>
      </c>
      <c r="E347" s="260"/>
      <c r="F347" s="263">
        <v>0</v>
      </c>
      <c r="G347" s="264">
        <v>0</v>
      </c>
      <c r="H347" s="264"/>
      <c r="I347" s="264">
        <v>0</v>
      </c>
      <c r="J347" s="281">
        <v>0</v>
      </c>
      <c r="K347" s="281">
        <f>SUM(K348:K348)</f>
        <v>704730</v>
      </c>
      <c r="L347" s="281">
        <v>0</v>
      </c>
      <c r="M347" s="282">
        <f>SUM(M348:M348)</f>
        <v>770352.96000000008</v>
      </c>
      <c r="N347" s="282">
        <v>0</v>
      </c>
      <c r="O347" s="282">
        <v>0</v>
      </c>
      <c r="P347" s="282">
        <v>0</v>
      </c>
      <c r="Q347" s="282">
        <f>SUM(Q348:Q348)</f>
        <v>770352.96000000008</v>
      </c>
      <c r="R347" s="287">
        <v>0</v>
      </c>
    </row>
    <row r="348" spans="1:18">
      <c r="A348" s="246"/>
      <c r="B348" s="265">
        <v>0</v>
      </c>
      <c r="C348" s="680" t="s">
        <v>605</v>
      </c>
      <c r="D348" s="266" t="str">
        <f>" - "&amp;'Giá NC'!E8</f>
        <v xml:space="preserve"> - Nhân công bậc 3,0/7 - Nhóm 2</v>
      </c>
      <c r="E348" s="265" t="str">
        <f>'Giá NC'!F8</f>
        <v>công</v>
      </c>
      <c r="F348" s="267">
        <v>0</v>
      </c>
      <c r="G348" s="268">
        <v>3.12</v>
      </c>
      <c r="H348" s="268">
        <f>'5.Tiên lượng'!W105</f>
        <v>1</v>
      </c>
      <c r="I348" s="268">
        <f>PRODUCT(F344,G348,H348)</f>
        <v>31.948800000000002</v>
      </c>
      <c r="J348" s="283">
        <f>'Giá NC'!G8</f>
        <v>225875</v>
      </c>
      <c r="K348" s="283">
        <f>PRODUCT(G348,H348,J348)</f>
        <v>704730</v>
      </c>
      <c r="L348" s="283">
        <f>'Giá NC'!H8</f>
        <v>246908</v>
      </c>
      <c r="M348" s="284">
        <f>PRODUCT(G348,H348,L348)</f>
        <v>770352.96000000008</v>
      </c>
      <c r="N348" s="284">
        <v>0</v>
      </c>
      <c r="O348" s="284">
        <v>0</v>
      </c>
      <c r="P348" s="284">
        <f>'Giá NC'!K8</f>
        <v>246908</v>
      </c>
      <c r="Q348" s="284">
        <f>PRODUCT(G348,H348,P348)</f>
        <v>770352.96000000008</v>
      </c>
      <c r="R348" s="287">
        <v>0</v>
      </c>
    </row>
    <row r="349" spans="1:18">
      <c r="A349" s="240"/>
      <c r="B349" s="260">
        <v>0</v>
      </c>
      <c r="C349" s="261" t="s">
        <v>590</v>
      </c>
      <c r="D349" s="262" t="s">
        <v>267</v>
      </c>
      <c r="E349" s="260"/>
      <c r="F349" s="263">
        <v>0</v>
      </c>
      <c r="G349" s="264">
        <v>0</v>
      </c>
      <c r="H349" s="264"/>
      <c r="I349" s="264">
        <v>0</v>
      </c>
      <c r="J349" s="281">
        <v>0</v>
      </c>
      <c r="K349" s="281">
        <f>SUM(K350:K355)</f>
        <v>2313287.7064239779</v>
      </c>
      <c r="L349" s="281">
        <v>0</v>
      </c>
      <c r="M349" s="282">
        <f>SUM(M350:M355)</f>
        <v>198171.84959999999</v>
      </c>
      <c r="N349" s="282">
        <v>0</v>
      </c>
      <c r="O349" s="282">
        <v>0</v>
      </c>
      <c r="P349" s="282">
        <v>0</v>
      </c>
      <c r="Q349" s="282">
        <f>SUM(Q350:Q355)</f>
        <v>2369565.459726376</v>
      </c>
      <c r="R349" s="287">
        <v>0</v>
      </c>
    </row>
    <row r="350" spans="1:18">
      <c r="A350" s="246"/>
      <c r="B350" s="265">
        <v>0</v>
      </c>
      <c r="C350" s="680" t="s">
        <v>606</v>
      </c>
      <c r="D350" s="266" t="str">
        <f>" - "&amp;'Giá Máy'!E24</f>
        <v xml:space="preserve"> - Máy rải cấp phối đá dăm 50 - 60m3/h</v>
      </c>
      <c r="E350" s="265" t="str">
        <f>'Giá Máy'!F24</f>
        <v>ca</v>
      </c>
      <c r="F350" s="267">
        <v>0</v>
      </c>
      <c r="G350" s="268">
        <v>0.21</v>
      </c>
      <c r="H350" s="268">
        <f>'5.Tiên lượng'!X105</f>
        <v>1</v>
      </c>
      <c r="I350" s="268">
        <f>PRODUCT(F344,G350,H350)</f>
        <v>2.1503999999999999</v>
      </c>
      <c r="J350" s="283">
        <f>'Giá Máy'!G24</f>
        <v>3528139.6955555598</v>
      </c>
      <c r="K350" s="283">
        <f t="shared" ref="K350:K355" si="141">PRODUCT(G350,H350,J350)</f>
        <v>740909.33606666757</v>
      </c>
      <c r="L350" s="283">
        <f>'Giá Máy'!H24</f>
        <v>0</v>
      </c>
      <c r="M350" s="284">
        <f t="shared" ref="M350:M355" si="142">PRODUCT(G350,H350,L350)</f>
        <v>0</v>
      </c>
      <c r="N350" s="284">
        <v>0</v>
      </c>
      <c r="O350" s="284">
        <v>0</v>
      </c>
      <c r="P350" s="284">
        <f>'Giá Máy'!O24</f>
        <v>3572483.6555555556</v>
      </c>
      <c r="Q350" s="284">
        <f t="shared" ref="Q350:Q355" si="143">PRODUCT(G350,H350,P350)</f>
        <v>750221.5676666667</v>
      </c>
      <c r="R350" s="287">
        <v>0.5</v>
      </c>
    </row>
    <row r="351" spans="1:18">
      <c r="A351" s="246"/>
      <c r="B351" s="265">
        <v>0</v>
      </c>
      <c r="C351" s="680" t="s">
        <v>607</v>
      </c>
      <c r="D351" s="266" t="str">
        <f>" - "&amp;'Giá Máy'!E19</f>
        <v xml:space="preserve"> - Máy lu rung tự hành 25T</v>
      </c>
      <c r="E351" s="265" t="str">
        <f>'Giá Máy'!F19</f>
        <v>ca</v>
      </c>
      <c r="F351" s="267">
        <v>0</v>
      </c>
      <c r="G351" s="268">
        <v>0.32</v>
      </c>
      <c r="H351" s="268">
        <f>'5.Tiên lượng'!X105</f>
        <v>1</v>
      </c>
      <c r="I351" s="268">
        <f>PRODUCT(F344,G351,H351)</f>
        <v>3.2768000000000002</v>
      </c>
      <c r="J351" s="283">
        <f>'Giá Máy'!G19</f>
        <v>2717265.9248888898</v>
      </c>
      <c r="K351" s="283">
        <f t="shared" si="141"/>
        <v>869525.0959644448</v>
      </c>
      <c r="L351" s="283">
        <f>'Giá Máy'!H19</f>
        <v>0</v>
      </c>
      <c r="M351" s="284">
        <f t="shared" si="142"/>
        <v>0</v>
      </c>
      <c r="N351" s="284">
        <v>0</v>
      </c>
      <c r="O351" s="284">
        <v>0</v>
      </c>
      <c r="P351" s="284">
        <f>'Giá Máy'!O19</f>
        <v>2794294.0688888887</v>
      </c>
      <c r="Q351" s="284">
        <f t="shared" si="143"/>
        <v>894174.10204444441</v>
      </c>
      <c r="R351" s="287">
        <v>0.5</v>
      </c>
    </row>
    <row r="352" spans="1:18">
      <c r="A352" s="246"/>
      <c r="B352" s="265">
        <v>0</v>
      </c>
      <c r="C352" s="680" t="s">
        <v>608</v>
      </c>
      <c r="D352" s="266" t="str">
        <f>" - "&amp;'Giá Máy'!E38</f>
        <v xml:space="preserve"> - Máy lu bánh hơi tự hành 16T</v>
      </c>
      <c r="E352" s="265" t="str">
        <f>'Giá Máy'!F38</f>
        <v>ca</v>
      </c>
      <c r="F352" s="267">
        <v>0</v>
      </c>
      <c r="G352" s="268">
        <v>0.12</v>
      </c>
      <c r="H352" s="268">
        <f>'5.Tiên lượng'!X105</f>
        <v>1</v>
      </c>
      <c r="I352" s="268">
        <f>PRODUCT(F344,G352,H352)</f>
        <v>1.2287999999999999</v>
      </c>
      <c r="J352" s="283">
        <f>'Giá Máy'!G38</f>
        <v>1498752.32622222</v>
      </c>
      <c r="K352" s="283">
        <f t="shared" si="141"/>
        <v>179850.27914666638</v>
      </c>
      <c r="L352" s="283">
        <f>'Giá Máy'!H38</f>
        <v>1643216</v>
      </c>
      <c r="M352" s="284">
        <f t="shared" si="142"/>
        <v>197185.91999999998</v>
      </c>
      <c r="N352" s="284">
        <v>0</v>
      </c>
      <c r="O352" s="284">
        <v>0</v>
      </c>
      <c r="P352" s="284">
        <f>'Giá Máy'!O38</f>
        <v>1553246.5422222223</v>
      </c>
      <c r="Q352" s="284">
        <f t="shared" si="143"/>
        <v>186389.58506666668</v>
      </c>
      <c r="R352" s="287">
        <v>0.5</v>
      </c>
    </row>
    <row r="353" spans="1:18">
      <c r="A353" s="246"/>
      <c r="B353" s="265">
        <v>0</v>
      </c>
      <c r="C353" s="680" t="s">
        <v>609</v>
      </c>
      <c r="D353" s="266" t="str">
        <f>" - "&amp;'Giá Máy'!E17</f>
        <v xml:space="preserve"> - Máy lu bánh thép 10T</v>
      </c>
      <c r="E353" s="265" t="str">
        <f>'Giá Máy'!F17</f>
        <v>ca</v>
      </c>
      <c r="F353" s="267">
        <v>0</v>
      </c>
      <c r="G353" s="268">
        <v>0.26</v>
      </c>
      <c r="H353" s="268">
        <f>'5.Tiên lượng'!X105</f>
        <v>1</v>
      </c>
      <c r="I353" s="268">
        <f>PRODUCT(F344,G353,H353)</f>
        <v>2.6624000000000003</v>
      </c>
      <c r="J353" s="283">
        <f>'Giá Máy'!G17</f>
        <v>1086987.4154074099</v>
      </c>
      <c r="K353" s="283">
        <f t="shared" si="141"/>
        <v>282616.72800592659</v>
      </c>
      <c r="L353" s="283">
        <f>'Giá Máy'!H17</f>
        <v>0</v>
      </c>
      <c r="M353" s="284">
        <f t="shared" si="142"/>
        <v>0</v>
      </c>
      <c r="N353" s="284">
        <v>0</v>
      </c>
      <c r="O353" s="284">
        <v>0</v>
      </c>
      <c r="P353" s="284">
        <f>'Giá Máy'!O17</f>
        <v>1132157.2474074075</v>
      </c>
      <c r="Q353" s="284">
        <f t="shared" si="143"/>
        <v>294360.88432592596</v>
      </c>
      <c r="R353" s="287">
        <v>0.5</v>
      </c>
    </row>
    <row r="354" spans="1:18">
      <c r="A354" s="246"/>
      <c r="B354" s="265">
        <v>0</v>
      </c>
      <c r="C354" s="680" t="s">
        <v>610</v>
      </c>
      <c r="D354" s="266" t="str">
        <f>" - "&amp;'Giá Máy'!E33</f>
        <v xml:space="preserve"> - Ô tô tưới nước 5m3</v>
      </c>
      <c r="E354" s="265" t="str">
        <f>'Giá Máy'!F33</f>
        <v>ca</v>
      </c>
      <c r="F354" s="267">
        <v>0</v>
      </c>
      <c r="G354" s="268">
        <v>0.21</v>
      </c>
      <c r="H354" s="268">
        <f>'5.Tiên lượng'!X105</f>
        <v>1</v>
      </c>
      <c r="I354" s="268">
        <f>PRODUCT(F344,G354,H354)</f>
        <v>2.1503999999999999</v>
      </c>
      <c r="J354" s="283">
        <f>'Giá Máy'!G33</f>
        <v>1089892.2532307699</v>
      </c>
      <c r="K354" s="283">
        <f t="shared" si="141"/>
        <v>228877.37317846165</v>
      </c>
      <c r="L354" s="283">
        <f>'Giá Máy'!H33</f>
        <v>0</v>
      </c>
      <c r="M354" s="284">
        <f t="shared" si="142"/>
        <v>0</v>
      </c>
      <c r="N354" s="284">
        <v>0</v>
      </c>
      <c r="O354" s="284">
        <v>0</v>
      </c>
      <c r="P354" s="284">
        <f>'Giá Máy'!O33</f>
        <v>1107763.9892307692</v>
      </c>
      <c r="Q354" s="284">
        <f t="shared" si="143"/>
        <v>232630.43773846154</v>
      </c>
      <c r="R354" s="287">
        <v>0.5</v>
      </c>
    </row>
    <row r="355" spans="1:18">
      <c r="A355" s="251"/>
      <c r="B355" s="269">
        <v>0</v>
      </c>
      <c r="C355" s="681" t="s">
        <v>611</v>
      </c>
      <c r="D355" s="270" t="s">
        <v>612</v>
      </c>
      <c r="E355" s="269" t="s">
        <v>37</v>
      </c>
      <c r="F355" s="271">
        <v>0</v>
      </c>
      <c r="G355" s="272">
        <f>AVERAGE(R350:R354)</f>
        <v>0.5</v>
      </c>
      <c r="H355" s="272">
        <f>'5.Tiên lượng'!X105</f>
        <v>1</v>
      </c>
      <c r="I355" s="272">
        <f>PRODUCT(F344,G355,H355)</f>
        <v>5.12</v>
      </c>
      <c r="J355" s="285">
        <f>(G350*J350+G351*J351+G352*J352+G353*J353+G354*J354)/100</f>
        <v>23017.788123621671</v>
      </c>
      <c r="K355" s="285">
        <f t="shared" si="141"/>
        <v>11508.894061810835</v>
      </c>
      <c r="L355" s="285">
        <f>(G350*L350+G351*L351+G352*L352+G353*L353+G354*L354)/100</f>
        <v>1971.8591999999999</v>
      </c>
      <c r="M355" s="286">
        <f t="shared" si="142"/>
        <v>985.92959999999994</v>
      </c>
      <c r="N355" s="286">
        <v>0</v>
      </c>
      <c r="O355" s="286">
        <v>0</v>
      </c>
      <c r="P355" s="286">
        <f>(G350*P350+G351*P351+G352*P352+G353*P353+G354*P354)/100</f>
        <v>23577.76576842165</v>
      </c>
      <c r="Q355" s="286">
        <f t="shared" si="143"/>
        <v>11788.882884210825</v>
      </c>
      <c r="R355" s="288">
        <v>0</v>
      </c>
    </row>
    <row r="356" spans="1:18" ht="27.6">
      <c r="A356" s="234"/>
      <c r="B356" s="256">
        <v>43</v>
      </c>
      <c r="C356" s="234" t="str">
        <f>'5.Tiên lượng'!C107</f>
        <v>AB.31133</v>
      </c>
      <c r="D356" s="257" t="str">
        <f>'5.Tiên lượng'!D107</f>
        <v>Đào đất phần cạp mở rộng bằng máy đào 1,25m3 - Cấp đất III</v>
      </c>
      <c r="E356" s="256" t="str">
        <f>'5.Tiên lượng'!E107</f>
        <v>100m3</v>
      </c>
      <c r="F356" s="258">
        <f>'5.Tiên lượng'!M107</f>
        <v>2.1415000000000002</v>
      </c>
      <c r="G356" s="259">
        <v>0</v>
      </c>
      <c r="H356" s="259">
        <v>0</v>
      </c>
      <c r="I356" s="259">
        <v>0</v>
      </c>
      <c r="J356" s="279">
        <v>0</v>
      </c>
      <c r="K356" s="279">
        <v>0</v>
      </c>
      <c r="L356" s="279">
        <v>0</v>
      </c>
      <c r="M356" s="280">
        <v>0</v>
      </c>
      <c r="N356" s="280">
        <v>0</v>
      </c>
      <c r="O356" s="280">
        <v>0</v>
      </c>
      <c r="P356" s="280">
        <v>0</v>
      </c>
      <c r="Q356" s="280">
        <v>0</v>
      </c>
      <c r="R356" s="222">
        <v>0</v>
      </c>
    </row>
    <row r="357" spans="1:18">
      <c r="A357" s="240"/>
      <c r="B357" s="260">
        <v>0</v>
      </c>
      <c r="C357" s="261" t="s">
        <v>590</v>
      </c>
      <c r="D357" s="262" t="s">
        <v>265</v>
      </c>
      <c r="E357" s="260"/>
      <c r="F357" s="263">
        <v>0</v>
      </c>
      <c r="G357" s="264">
        <v>0</v>
      </c>
      <c r="H357" s="264"/>
      <c r="I357" s="264">
        <v>0</v>
      </c>
      <c r="J357" s="281">
        <v>0</v>
      </c>
      <c r="K357" s="281">
        <f>SUM(K358:K358)</f>
        <v>887349.53999999992</v>
      </c>
      <c r="L357" s="281">
        <v>0</v>
      </c>
      <c r="M357" s="282">
        <f>SUM(M358:M358)</f>
        <v>928189.08</v>
      </c>
      <c r="N357" s="282">
        <v>0</v>
      </c>
      <c r="O357" s="282">
        <v>0</v>
      </c>
      <c r="P357" s="282">
        <v>0</v>
      </c>
      <c r="Q357" s="282">
        <f>SUM(Q358:Q358)</f>
        <v>928189.08</v>
      </c>
      <c r="R357" s="287">
        <v>0</v>
      </c>
    </row>
    <row r="358" spans="1:18">
      <c r="A358" s="246"/>
      <c r="B358" s="265">
        <v>0</v>
      </c>
      <c r="C358" s="680" t="s">
        <v>598</v>
      </c>
      <c r="D358" s="266" t="str">
        <f>" - "&amp;'Giá NC'!E5</f>
        <v xml:space="preserve"> - Nhân công bậc 3,0/7 - Nhóm 1</v>
      </c>
      <c r="E358" s="265" t="str">
        <f>'Giá NC'!F5</f>
        <v>công</v>
      </c>
      <c r="F358" s="267">
        <v>0</v>
      </c>
      <c r="G358" s="268">
        <v>4.0599999999999996</v>
      </c>
      <c r="H358" s="268">
        <f>'5.Tiên lượng'!W107</f>
        <v>1</v>
      </c>
      <c r="I358" s="268">
        <f>PRODUCT(F356,G358,H358)</f>
        <v>8.6944900000000001</v>
      </c>
      <c r="J358" s="283">
        <f>'Giá NC'!G5</f>
        <v>218559</v>
      </c>
      <c r="K358" s="283">
        <f>PRODUCT(G358,H358,J358)</f>
        <v>887349.53999999992</v>
      </c>
      <c r="L358" s="283">
        <f>'Giá NC'!H5</f>
        <v>228618</v>
      </c>
      <c r="M358" s="284">
        <f>PRODUCT(G358,H358,L358)</f>
        <v>928189.08</v>
      </c>
      <c r="N358" s="284">
        <v>0</v>
      </c>
      <c r="O358" s="284">
        <v>0</v>
      </c>
      <c r="P358" s="284">
        <f>'Giá NC'!K5</f>
        <v>228618</v>
      </c>
      <c r="Q358" s="284">
        <f>PRODUCT(G358,H358,P358)</f>
        <v>928189.08</v>
      </c>
      <c r="R358" s="287">
        <v>0</v>
      </c>
    </row>
    <row r="359" spans="1:18">
      <c r="A359" s="240"/>
      <c r="B359" s="260">
        <v>0</v>
      </c>
      <c r="C359" s="261" t="s">
        <v>590</v>
      </c>
      <c r="D359" s="262" t="s">
        <v>267</v>
      </c>
      <c r="E359" s="260"/>
      <c r="F359" s="263">
        <v>0</v>
      </c>
      <c r="G359" s="264">
        <v>0</v>
      </c>
      <c r="H359" s="264"/>
      <c r="I359" s="264">
        <v>0</v>
      </c>
      <c r="J359" s="281">
        <v>0</v>
      </c>
      <c r="K359" s="281">
        <f>SUM(K360:K361)</f>
        <v>1130070.5079954299</v>
      </c>
      <c r="L359" s="281">
        <v>0</v>
      </c>
      <c r="M359" s="282">
        <f>SUM(M360:M361)</f>
        <v>1235198.18</v>
      </c>
      <c r="N359" s="282">
        <v>0</v>
      </c>
      <c r="O359" s="282">
        <v>0</v>
      </c>
      <c r="P359" s="282">
        <v>0</v>
      </c>
      <c r="Q359" s="282">
        <f>SUM(Q360:Q361)</f>
        <v>1160321.1908914286</v>
      </c>
      <c r="R359" s="287">
        <v>0</v>
      </c>
    </row>
    <row r="360" spans="1:18">
      <c r="A360" s="246"/>
      <c r="B360" s="265">
        <v>0</v>
      </c>
      <c r="C360" s="680" t="s">
        <v>599</v>
      </c>
      <c r="D360" s="266" t="str">
        <f>" - "&amp;'Giá Máy'!E14</f>
        <v xml:space="preserve"> - Máy đào 1,25m3</v>
      </c>
      <c r="E360" s="265" t="str">
        <f>'Giá Máy'!F14</f>
        <v>ca</v>
      </c>
      <c r="F360" s="267">
        <v>0</v>
      </c>
      <c r="G360" s="268">
        <v>0.311</v>
      </c>
      <c r="H360" s="268">
        <f>'5.Tiên lượng'!X107</f>
        <v>1</v>
      </c>
      <c r="I360" s="268">
        <f>PRODUCT(F356,G360,H360)</f>
        <v>0.66600650000000006</v>
      </c>
      <c r="J360" s="283">
        <f>'Giá Máy'!G14</f>
        <v>3407481.1497142902</v>
      </c>
      <c r="K360" s="283">
        <f t="shared" ref="K360:K361" si="144">PRODUCT(G360,H360,J360)</f>
        <v>1059726.6375611443</v>
      </c>
      <c r="L360" s="283">
        <f>'Giá Máy'!H14</f>
        <v>3723020</v>
      </c>
      <c r="M360" s="284">
        <f t="shared" ref="M360:M361" si="145">PRODUCT(G360,H360,L360)</f>
        <v>1157859.22</v>
      </c>
      <c r="N360" s="284">
        <v>0</v>
      </c>
      <c r="O360" s="284">
        <v>0</v>
      </c>
      <c r="P360" s="284">
        <f>'Giá Máy'!O14</f>
        <v>3496941.8057142859</v>
      </c>
      <c r="Q360" s="284">
        <f t="shared" ref="Q360:Q361" si="146">PRODUCT(G360,H360,P360)</f>
        <v>1087548.901577143</v>
      </c>
      <c r="R360" s="287">
        <v>0</v>
      </c>
    </row>
    <row r="361" spans="1:18">
      <c r="A361" s="251"/>
      <c r="B361" s="269">
        <v>0</v>
      </c>
      <c r="C361" s="681" t="s">
        <v>600</v>
      </c>
      <c r="D361" s="270" t="str">
        <f>" - "&amp;'Giá Máy'!E29</f>
        <v xml:space="preserve"> - Máy ủi 110CV</v>
      </c>
      <c r="E361" s="269" t="str">
        <f>'Giá Máy'!F29</f>
        <v>ca</v>
      </c>
      <c r="F361" s="271">
        <v>0</v>
      </c>
      <c r="G361" s="272">
        <v>0.04</v>
      </c>
      <c r="H361" s="272">
        <f>'5.Tiên lượng'!X107</f>
        <v>1</v>
      </c>
      <c r="I361" s="272">
        <f>PRODUCT(F356,G361,H361)</f>
        <v>8.5660000000000014E-2</v>
      </c>
      <c r="J361" s="285">
        <f>'Giá Máy'!G29</f>
        <v>1758596.7608571399</v>
      </c>
      <c r="K361" s="285">
        <f t="shared" si="144"/>
        <v>70343.870434285593</v>
      </c>
      <c r="L361" s="285">
        <f>'Giá Máy'!H29</f>
        <v>1933474</v>
      </c>
      <c r="M361" s="286">
        <f t="shared" si="145"/>
        <v>77338.960000000006</v>
      </c>
      <c r="N361" s="286">
        <v>0</v>
      </c>
      <c r="O361" s="286">
        <v>0</v>
      </c>
      <c r="P361" s="286">
        <f>'Giá Máy'!O29</f>
        <v>1819307.232857143</v>
      </c>
      <c r="Q361" s="286">
        <f t="shared" si="146"/>
        <v>72772.289314285721</v>
      </c>
      <c r="R361" s="288">
        <v>0</v>
      </c>
    </row>
    <row r="362" spans="1:18" ht="27.6">
      <c r="A362" s="234"/>
      <c r="B362" s="256">
        <v>44</v>
      </c>
      <c r="C362" s="234" t="str">
        <f>'5.Tiên lượng'!C109</f>
        <v>AD.11212</v>
      </c>
      <c r="D362" s="257" t="str">
        <f>'5.Tiên lượng'!D109</f>
        <v>Bù trả vật liệu phần cạp mở rộng bằng cấp phối đá dăm loại 2 dày 18cm (không lu)</v>
      </c>
      <c r="E362" s="256" t="str">
        <f>'5.Tiên lượng'!E109</f>
        <v>100m3</v>
      </c>
      <c r="F362" s="258">
        <f>'5.Tiên lượng'!M109</f>
        <v>4.8311000000000002</v>
      </c>
      <c r="G362" s="259">
        <v>0</v>
      </c>
      <c r="H362" s="259">
        <v>0</v>
      </c>
      <c r="I362" s="259">
        <v>0</v>
      </c>
      <c r="J362" s="279">
        <v>0</v>
      </c>
      <c r="K362" s="279">
        <v>0</v>
      </c>
      <c r="L362" s="279">
        <v>0</v>
      </c>
      <c r="M362" s="280">
        <v>0</v>
      </c>
      <c r="N362" s="280">
        <v>0</v>
      </c>
      <c r="O362" s="280">
        <v>0</v>
      </c>
      <c r="P362" s="280">
        <v>0</v>
      </c>
      <c r="Q362" s="280">
        <v>0</v>
      </c>
      <c r="R362" s="222">
        <v>0</v>
      </c>
    </row>
    <row r="363" spans="1:18">
      <c r="A363" s="240"/>
      <c r="B363" s="260">
        <v>0</v>
      </c>
      <c r="C363" s="261" t="s">
        <v>590</v>
      </c>
      <c r="D363" s="262" t="s">
        <v>262</v>
      </c>
      <c r="E363" s="260"/>
      <c r="F363" s="263">
        <v>0</v>
      </c>
      <c r="G363" s="264">
        <v>0</v>
      </c>
      <c r="H363" s="264"/>
      <c r="I363" s="264">
        <v>0</v>
      </c>
      <c r="J363" s="281">
        <v>0</v>
      </c>
      <c r="K363" s="281">
        <f>SUM(K364:K364)</f>
        <v>12060000</v>
      </c>
      <c r="L363" s="281">
        <v>0</v>
      </c>
      <c r="M363" s="282">
        <f>SUM(M364:M364)</f>
        <v>22780000</v>
      </c>
      <c r="N363" s="282">
        <v>0</v>
      </c>
      <c r="O363" s="282">
        <v>0</v>
      </c>
      <c r="P363" s="282">
        <v>0</v>
      </c>
      <c r="Q363" s="282">
        <f>SUM(Q364:Q364)</f>
        <v>32221379.337286752</v>
      </c>
      <c r="R363" s="287">
        <v>0</v>
      </c>
    </row>
    <row r="364" spans="1:18">
      <c r="A364" s="246"/>
      <c r="B364" s="265">
        <v>0</v>
      </c>
      <c r="C364" s="680" t="s">
        <v>604</v>
      </c>
      <c r="D364" s="266" t="str">
        <f>" - "&amp;'Giá VL'!E13</f>
        <v xml:space="preserve"> - Cấp phối đá dăm loại 2</v>
      </c>
      <c r="E364" s="265" t="str">
        <f>'Giá VL'!F13</f>
        <v>m3</v>
      </c>
      <c r="F364" s="267">
        <v>0</v>
      </c>
      <c r="G364" s="268">
        <v>134</v>
      </c>
      <c r="H364" s="268">
        <f>'5.Tiên lượng'!V109</f>
        <v>1</v>
      </c>
      <c r="I364" s="268">
        <f>PRODUCT(F362,G364,H364)</f>
        <v>647.36739999999998</v>
      </c>
      <c r="J364" s="283">
        <f>'Giá VL'!G13</f>
        <v>90000</v>
      </c>
      <c r="K364" s="283">
        <f>PRODUCT(G364,H364,J364)</f>
        <v>12060000</v>
      </c>
      <c r="L364" s="283">
        <f>'Giá VL'!J13</f>
        <v>170000</v>
      </c>
      <c r="M364" s="284">
        <f>PRODUCT(G364,H364,L364)</f>
        <v>22780000</v>
      </c>
      <c r="N364" s="284">
        <v>0</v>
      </c>
      <c r="O364" s="284">
        <v>0</v>
      </c>
      <c r="P364" s="284">
        <f>'Giá VL'!V13</f>
        <v>240458.05475587127</v>
      </c>
      <c r="Q364" s="284">
        <f>PRODUCT(G364,H364,P364)</f>
        <v>32221379.337286752</v>
      </c>
      <c r="R364" s="287">
        <v>0</v>
      </c>
    </row>
    <row r="365" spans="1:18">
      <c r="A365" s="240"/>
      <c r="B365" s="260">
        <v>0</v>
      </c>
      <c r="C365" s="261" t="s">
        <v>590</v>
      </c>
      <c r="D365" s="262" t="s">
        <v>265</v>
      </c>
      <c r="E365" s="260"/>
      <c r="F365" s="263">
        <v>0</v>
      </c>
      <c r="G365" s="264">
        <v>0</v>
      </c>
      <c r="H365" s="264"/>
      <c r="I365" s="264">
        <v>0</v>
      </c>
      <c r="J365" s="281">
        <v>0</v>
      </c>
      <c r="K365" s="281">
        <f>SUM(K366:K366)</f>
        <v>704730</v>
      </c>
      <c r="L365" s="281">
        <v>0</v>
      </c>
      <c r="M365" s="282">
        <f>SUM(M366:M366)</f>
        <v>770352.96000000008</v>
      </c>
      <c r="N365" s="282">
        <v>0</v>
      </c>
      <c r="O365" s="282">
        <v>0</v>
      </c>
      <c r="P365" s="282">
        <v>0</v>
      </c>
      <c r="Q365" s="282">
        <f>SUM(Q366:Q366)</f>
        <v>770352.96000000008</v>
      </c>
      <c r="R365" s="287">
        <v>0</v>
      </c>
    </row>
    <row r="366" spans="1:18">
      <c r="A366" s="246"/>
      <c r="B366" s="265">
        <v>0</v>
      </c>
      <c r="C366" s="680" t="s">
        <v>605</v>
      </c>
      <c r="D366" s="266" t="str">
        <f>" - "&amp;'Giá NC'!E8</f>
        <v xml:space="preserve"> - Nhân công bậc 3,0/7 - Nhóm 2</v>
      </c>
      <c r="E366" s="265" t="str">
        <f>'Giá NC'!F8</f>
        <v>công</v>
      </c>
      <c r="F366" s="267">
        <v>0</v>
      </c>
      <c r="G366" s="268">
        <v>3.12</v>
      </c>
      <c r="H366" s="268">
        <f>'5.Tiên lượng'!W109</f>
        <v>1</v>
      </c>
      <c r="I366" s="268">
        <f>PRODUCT(F362,G366,H366)</f>
        <v>15.073032000000001</v>
      </c>
      <c r="J366" s="283">
        <f>'Giá NC'!G8</f>
        <v>225875</v>
      </c>
      <c r="K366" s="283">
        <f>PRODUCT(G366,H366,J366)</f>
        <v>704730</v>
      </c>
      <c r="L366" s="283">
        <f>'Giá NC'!H8</f>
        <v>246908</v>
      </c>
      <c r="M366" s="284">
        <f>PRODUCT(G366,H366,L366)</f>
        <v>770352.96000000008</v>
      </c>
      <c r="N366" s="284">
        <v>0</v>
      </c>
      <c r="O366" s="284">
        <v>0</v>
      </c>
      <c r="P366" s="284">
        <f>'Giá NC'!K8</f>
        <v>246908</v>
      </c>
      <c r="Q366" s="284">
        <f>PRODUCT(G366,H366,P366)</f>
        <v>770352.96000000008</v>
      </c>
      <c r="R366" s="287">
        <v>0</v>
      </c>
    </row>
    <row r="367" spans="1:18">
      <c r="A367" s="240"/>
      <c r="B367" s="260">
        <v>0</v>
      </c>
      <c r="C367" s="261" t="s">
        <v>590</v>
      </c>
      <c r="D367" s="262" t="s">
        <v>267</v>
      </c>
      <c r="E367" s="260"/>
      <c r="F367" s="263">
        <v>0</v>
      </c>
      <c r="G367" s="264">
        <v>0</v>
      </c>
      <c r="H367" s="264"/>
      <c r="I367" s="264">
        <v>0</v>
      </c>
      <c r="J367" s="281">
        <v>0</v>
      </c>
      <c r="K367" s="281">
        <f>SUM(K368:K373)</f>
        <v>2313287.7064239779</v>
      </c>
      <c r="L367" s="281">
        <v>0</v>
      </c>
      <c r="M367" s="282">
        <f>SUM(M368:M373)</f>
        <v>198171.84959999999</v>
      </c>
      <c r="N367" s="282">
        <v>0</v>
      </c>
      <c r="O367" s="282">
        <v>0</v>
      </c>
      <c r="P367" s="282">
        <v>0</v>
      </c>
      <c r="Q367" s="282">
        <f>SUM(Q368:Q373)</f>
        <v>2369565.459726376</v>
      </c>
      <c r="R367" s="287">
        <v>0</v>
      </c>
    </row>
    <row r="368" spans="1:18">
      <c r="A368" s="246"/>
      <c r="B368" s="265">
        <v>0</v>
      </c>
      <c r="C368" s="680" t="s">
        <v>606</v>
      </c>
      <c r="D368" s="266" t="str">
        <f>" - "&amp;'Giá Máy'!E24</f>
        <v xml:space="preserve"> - Máy rải cấp phối đá dăm 50 - 60m3/h</v>
      </c>
      <c r="E368" s="265" t="str">
        <f>'Giá Máy'!F24</f>
        <v>ca</v>
      </c>
      <c r="F368" s="267">
        <v>0</v>
      </c>
      <c r="G368" s="268">
        <v>0.21</v>
      </c>
      <c r="H368" s="268">
        <f>'5.Tiên lượng'!X109</f>
        <v>1</v>
      </c>
      <c r="I368" s="268">
        <f>PRODUCT(F362,G368,H368)</f>
        <v>1.0145310000000001</v>
      </c>
      <c r="J368" s="283">
        <f>'Giá Máy'!G24</f>
        <v>3528139.6955555598</v>
      </c>
      <c r="K368" s="283">
        <f t="shared" ref="K368:K373" si="147">PRODUCT(G368,H368,J368)</f>
        <v>740909.33606666757</v>
      </c>
      <c r="L368" s="283">
        <f>'Giá Máy'!H24</f>
        <v>0</v>
      </c>
      <c r="M368" s="284">
        <f t="shared" ref="M368:M373" si="148">PRODUCT(G368,H368,L368)</f>
        <v>0</v>
      </c>
      <c r="N368" s="284">
        <v>0</v>
      </c>
      <c r="O368" s="284">
        <v>0</v>
      </c>
      <c r="P368" s="284">
        <f>'Giá Máy'!O24</f>
        <v>3572483.6555555556</v>
      </c>
      <c r="Q368" s="284">
        <f t="shared" ref="Q368:Q373" si="149">PRODUCT(G368,H368,P368)</f>
        <v>750221.5676666667</v>
      </c>
      <c r="R368" s="287">
        <v>0.5</v>
      </c>
    </row>
    <row r="369" spans="1:18">
      <c r="A369" s="246"/>
      <c r="B369" s="265">
        <v>0</v>
      </c>
      <c r="C369" s="680" t="s">
        <v>607</v>
      </c>
      <c r="D369" s="266" t="str">
        <f>" - "&amp;'Giá Máy'!E19</f>
        <v xml:space="preserve"> - Máy lu rung tự hành 25T</v>
      </c>
      <c r="E369" s="265" t="str">
        <f>'Giá Máy'!F19</f>
        <v>ca</v>
      </c>
      <c r="F369" s="267">
        <v>0</v>
      </c>
      <c r="G369" s="268">
        <v>0.32</v>
      </c>
      <c r="H369" s="268">
        <f>'5.Tiên lượng'!X109</f>
        <v>1</v>
      </c>
      <c r="I369" s="268">
        <f>PRODUCT(F362,G369,H369)</f>
        <v>1.545952</v>
      </c>
      <c r="J369" s="283">
        <f>'Giá Máy'!G19</f>
        <v>2717265.9248888898</v>
      </c>
      <c r="K369" s="283">
        <f t="shared" si="147"/>
        <v>869525.0959644448</v>
      </c>
      <c r="L369" s="283">
        <f>'Giá Máy'!H19</f>
        <v>0</v>
      </c>
      <c r="M369" s="284">
        <f t="shared" si="148"/>
        <v>0</v>
      </c>
      <c r="N369" s="284">
        <v>0</v>
      </c>
      <c r="O369" s="284">
        <v>0</v>
      </c>
      <c r="P369" s="284">
        <f>'Giá Máy'!O19</f>
        <v>2794294.0688888887</v>
      </c>
      <c r="Q369" s="284">
        <f t="shared" si="149"/>
        <v>894174.10204444441</v>
      </c>
      <c r="R369" s="287">
        <v>0.5</v>
      </c>
    </row>
    <row r="370" spans="1:18">
      <c r="A370" s="246"/>
      <c r="B370" s="265">
        <v>0</v>
      </c>
      <c r="C370" s="680" t="s">
        <v>608</v>
      </c>
      <c r="D370" s="266" t="str">
        <f>" - "&amp;'Giá Máy'!E38</f>
        <v xml:space="preserve"> - Máy lu bánh hơi tự hành 16T</v>
      </c>
      <c r="E370" s="265" t="str">
        <f>'Giá Máy'!F38</f>
        <v>ca</v>
      </c>
      <c r="F370" s="267">
        <v>0</v>
      </c>
      <c r="G370" s="268">
        <v>0.12</v>
      </c>
      <c r="H370" s="268">
        <f>'5.Tiên lượng'!X109</f>
        <v>1</v>
      </c>
      <c r="I370" s="268">
        <f>PRODUCT(F362,G370,H370)</f>
        <v>0.57973200000000003</v>
      </c>
      <c r="J370" s="283">
        <f>'Giá Máy'!G38</f>
        <v>1498752.32622222</v>
      </c>
      <c r="K370" s="283">
        <f t="shared" si="147"/>
        <v>179850.27914666638</v>
      </c>
      <c r="L370" s="283">
        <f>'Giá Máy'!H38</f>
        <v>1643216</v>
      </c>
      <c r="M370" s="284">
        <f t="shared" si="148"/>
        <v>197185.91999999998</v>
      </c>
      <c r="N370" s="284">
        <v>0</v>
      </c>
      <c r="O370" s="284">
        <v>0</v>
      </c>
      <c r="P370" s="284">
        <f>'Giá Máy'!O38</f>
        <v>1553246.5422222223</v>
      </c>
      <c r="Q370" s="284">
        <f t="shared" si="149"/>
        <v>186389.58506666668</v>
      </c>
      <c r="R370" s="287">
        <v>0.5</v>
      </c>
    </row>
    <row r="371" spans="1:18">
      <c r="A371" s="246"/>
      <c r="B371" s="265">
        <v>0</v>
      </c>
      <c r="C371" s="680" t="s">
        <v>609</v>
      </c>
      <c r="D371" s="266" t="str">
        <f>" - "&amp;'Giá Máy'!E17</f>
        <v xml:space="preserve"> - Máy lu bánh thép 10T</v>
      </c>
      <c r="E371" s="265" t="str">
        <f>'Giá Máy'!F17</f>
        <v>ca</v>
      </c>
      <c r="F371" s="267">
        <v>0</v>
      </c>
      <c r="G371" s="268">
        <v>0.26</v>
      </c>
      <c r="H371" s="268">
        <f>'5.Tiên lượng'!X109</f>
        <v>1</v>
      </c>
      <c r="I371" s="268">
        <f>PRODUCT(F362,G371,H371)</f>
        <v>1.256086</v>
      </c>
      <c r="J371" s="283">
        <f>'Giá Máy'!G17</f>
        <v>1086987.4154074099</v>
      </c>
      <c r="K371" s="283">
        <f t="shared" si="147"/>
        <v>282616.72800592659</v>
      </c>
      <c r="L371" s="283">
        <f>'Giá Máy'!H17</f>
        <v>0</v>
      </c>
      <c r="M371" s="284">
        <f t="shared" si="148"/>
        <v>0</v>
      </c>
      <c r="N371" s="284">
        <v>0</v>
      </c>
      <c r="O371" s="284">
        <v>0</v>
      </c>
      <c r="P371" s="284">
        <f>'Giá Máy'!O17</f>
        <v>1132157.2474074075</v>
      </c>
      <c r="Q371" s="284">
        <f t="shared" si="149"/>
        <v>294360.88432592596</v>
      </c>
      <c r="R371" s="287">
        <v>0.5</v>
      </c>
    </row>
    <row r="372" spans="1:18">
      <c r="A372" s="246"/>
      <c r="B372" s="265">
        <v>0</v>
      </c>
      <c r="C372" s="680" t="s">
        <v>610</v>
      </c>
      <c r="D372" s="266" t="str">
        <f>" - "&amp;'Giá Máy'!E33</f>
        <v xml:space="preserve"> - Ô tô tưới nước 5m3</v>
      </c>
      <c r="E372" s="265" t="str">
        <f>'Giá Máy'!F33</f>
        <v>ca</v>
      </c>
      <c r="F372" s="267">
        <v>0</v>
      </c>
      <c r="G372" s="268">
        <v>0.21</v>
      </c>
      <c r="H372" s="268">
        <f>'5.Tiên lượng'!X109</f>
        <v>1</v>
      </c>
      <c r="I372" s="268">
        <f>PRODUCT(F362,G372,H372)</f>
        <v>1.0145310000000001</v>
      </c>
      <c r="J372" s="283">
        <f>'Giá Máy'!G33</f>
        <v>1089892.2532307699</v>
      </c>
      <c r="K372" s="283">
        <f t="shared" si="147"/>
        <v>228877.37317846165</v>
      </c>
      <c r="L372" s="283">
        <f>'Giá Máy'!H33</f>
        <v>0</v>
      </c>
      <c r="M372" s="284">
        <f t="shared" si="148"/>
        <v>0</v>
      </c>
      <c r="N372" s="284">
        <v>0</v>
      </c>
      <c r="O372" s="284">
        <v>0</v>
      </c>
      <c r="P372" s="284">
        <f>'Giá Máy'!O33</f>
        <v>1107763.9892307692</v>
      </c>
      <c r="Q372" s="284">
        <f t="shared" si="149"/>
        <v>232630.43773846154</v>
      </c>
      <c r="R372" s="287">
        <v>0.5</v>
      </c>
    </row>
    <row r="373" spans="1:18">
      <c r="A373" s="251"/>
      <c r="B373" s="269">
        <v>0</v>
      </c>
      <c r="C373" s="681" t="s">
        <v>611</v>
      </c>
      <c r="D373" s="270" t="s">
        <v>612</v>
      </c>
      <c r="E373" s="269" t="s">
        <v>37</v>
      </c>
      <c r="F373" s="271">
        <v>0</v>
      </c>
      <c r="G373" s="272">
        <f>AVERAGE(R368:R372)</f>
        <v>0.5</v>
      </c>
      <c r="H373" s="272">
        <f>'5.Tiên lượng'!X109</f>
        <v>1</v>
      </c>
      <c r="I373" s="272">
        <f>PRODUCT(F362,G373,H373)</f>
        <v>2.4155500000000001</v>
      </c>
      <c r="J373" s="285">
        <f>(G368*J368+G369*J369+G370*J370+G371*J371+G372*J372)/100</f>
        <v>23017.788123621671</v>
      </c>
      <c r="K373" s="285">
        <f t="shared" si="147"/>
        <v>11508.894061810835</v>
      </c>
      <c r="L373" s="285">
        <f>(G368*L368+G369*L369+G370*L370+G371*L371+G372*L372)/100</f>
        <v>1971.8591999999999</v>
      </c>
      <c r="M373" s="286">
        <f t="shared" si="148"/>
        <v>985.92959999999994</v>
      </c>
      <c r="N373" s="286">
        <v>0</v>
      </c>
      <c r="O373" s="286">
        <v>0</v>
      </c>
      <c r="P373" s="286">
        <f>(G368*P368+G369*P369+G370*P370+G371*P371+G372*P372)/100</f>
        <v>23577.76576842165</v>
      </c>
      <c r="Q373" s="286">
        <f t="shared" si="149"/>
        <v>11788.882884210825</v>
      </c>
      <c r="R373" s="288">
        <v>0</v>
      </c>
    </row>
    <row r="374" spans="1:18" ht="41.4">
      <c r="A374" s="234"/>
      <c r="B374" s="256">
        <v>45</v>
      </c>
      <c r="C374" s="234" t="str">
        <f>'5.Tiên lượng'!C111</f>
        <v>LS.11110(ĐM.1322)</v>
      </c>
      <c r="D374" s="257" t="str">
        <f>'5.Tiên lượng'!D111</f>
        <v>Cào bóc tái sinh nguội tại chỗ bằng máy cào bóc tái sinh WR2400 trên mặt đường láng nhựa, chiều dày 18cm (4% xi măng rải thủ công)</v>
      </c>
      <c r="E374" s="256" t="str">
        <f>'5.Tiên lượng'!E111</f>
        <v>100m3</v>
      </c>
      <c r="F374" s="258">
        <f>'5.Tiên lượng'!M111</f>
        <v>19.253299999999999</v>
      </c>
      <c r="G374" s="259">
        <v>0</v>
      </c>
      <c r="H374" s="259">
        <v>0</v>
      </c>
      <c r="I374" s="259">
        <v>0</v>
      </c>
      <c r="J374" s="279">
        <v>0</v>
      </c>
      <c r="K374" s="279">
        <v>0</v>
      </c>
      <c r="L374" s="279">
        <v>0</v>
      </c>
      <c r="M374" s="280">
        <v>0</v>
      </c>
      <c r="N374" s="280">
        <v>0</v>
      </c>
      <c r="O374" s="280">
        <v>0</v>
      </c>
      <c r="P374" s="280">
        <v>0</v>
      </c>
      <c r="Q374" s="280">
        <v>0</v>
      </c>
      <c r="R374" s="222">
        <v>0</v>
      </c>
    </row>
    <row r="375" spans="1:18">
      <c r="A375" s="240"/>
      <c r="B375" s="260">
        <v>0</v>
      </c>
      <c r="C375" s="261" t="s">
        <v>590</v>
      </c>
      <c r="D375" s="262" t="s">
        <v>262</v>
      </c>
      <c r="E375" s="260"/>
      <c r="F375" s="263">
        <v>0</v>
      </c>
      <c r="G375" s="264">
        <v>0</v>
      </c>
      <c r="H375" s="264"/>
      <c r="I375" s="264">
        <v>0</v>
      </c>
      <c r="J375" s="281">
        <v>0</v>
      </c>
      <c r="K375" s="281">
        <f>SUM(K376:K379)</f>
        <v>16295224.859999999</v>
      </c>
      <c r="L375" s="281">
        <v>0</v>
      </c>
      <c r="M375" s="282">
        <f>SUM(M376:M379)</f>
        <v>18169355.609999999</v>
      </c>
      <c r="N375" s="282">
        <v>0</v>
      </c>
      <c r="O375" s="282">
        <v>0</v>
      </c>
      <c r="P375" s="282">
        <v>0</v>
      </c>
      <c r="Q375" s="282">
        <f>SUM(Q376:Q379)</f>
        <v>19188881.861584913</v>
      </c>
      <c r="R375" s="287">
        <v>0</v>
      </c>
    </row>
    <row r="376" spans="1:18">
      <c r="A376" s="246"/>
      <c r="B376" s="265">
        <v>0</v>
      </c>
      <c r="C376" s="680" t="s">
        <v>614</v>
      </c>
      <c r="D376" s="266" t="str">
        <f>" - "&amp;'Giá VL'!E45</f>
        <v xml:space="preserve"> - Xi măng PCB40</v>
      </c>
      <c r="E376" s="265" t="str">
        <f>'Giá VL'!F45</f>
        <v>kg</v>
      </c>
      <c r="F376" s="267">
        <v>0</v>
      </c>
      <c r="G376" s="268">
        <v>8247</v>
      </c>
      <c r="H376" s="268">
        <f>'5.Tiên lượng'!V111</f>
        <v>0.9</v>
      </c>
      <c r="I376" s="268">
        <f>PRODUCT(F374,G376,H376)</f>
        <v>142903.76858999999</v>
      </c>
      <c r="J376" s="283">
        <f>'Giá VL'!G45</f>
        <v>1350</v>
      </c>
      <c r="K376" s="283">
        <f t="shared" ref="K376:K379" si="150">PRODUCT(G376,H376,J376)</f>
        <v>10020105</v>
      </c>
      <c r="L376" s="283">
        <f>'Giá VL'!J45</f>
        <v>1600</v>
      </c>
      <c r="M376" s="284">
        <f t="shared" ref="M376:M379" si="151">PRODUCT(G376,H376,L376)</f>
        <v>11875680</v>
      </c>
      <c r="N376" s="284">
        <v>0</v>
      </c>
      <c r="O376" s="284">
        <v>0</v>
      </c>
      <c r="P376" s="284">
        <f>'Giá VL'!V45</f>
        <v>1730</v>
      </c>
      <c r="Q376" s="284">
        <f t="shared" ref="Q376:Q379" si="152">PRODUCT(G376,H376,P376)</f>
        <v>12840579</v>
      </c>
      <c r="R376" s="287">
        <v>1</v>
      </c>
    </row>
    <row r="377" spans="1:18">
      <c r="A377" s="246"/>
      <c r="B377" s="265">
        <v>0</v>
      </c>
      <c r="C377" s="680" t="s">
        <v>617</v>
      </c>
      <c r="D377" s="266" t="str">
        <f>" - "&amp;'Giá VL'!E33</f>
        <v xml:space="preserve"> - Nước</v>
      </c>
      <c r="E377" s="265" t="str">
        <f>'Giá VL'!F33</f>
        <v>lít</v>
      </c>
      <c r="F377" s="267">
        <v>0</v>
      </c>
      <c r="G377" s="268">
        <v>12918</v>
      </c>
      <c r="H377" s="268">
        <f>'5.Tiên lượng'!V111</f>
        <v>0.9</v>
      </c>
      <c r="I377" s="268">
        <f>PRODUCT(F374,G377,H377)</f>
        <v>223842.71646</v>
      </c>
      <c r="J377" s="283">
        <f>'Giá VL'!G33</f>
        <v>15</v>
      </c>
      <c r="K377" s="283">
        <f t="shared" si="150"/>
        <v>174393</v>
      </c>
      <c r="L377" s="283">
        <f>'Giá VL'!J33</f>
        <v>15</v>
      </c>
      <c r="M377" s="284">
        <f t="shared" si="151"/>
        <v>174393</v>
      </c>
      <c r="N377" s="284">
        <v>0</v>
      </c>
      <c r="O377" s="284">
        <v>0</v>
      </c>
      <c r="P377" s="284">
        <f>'Giá VL'!V33</f>
        <v>15</v>
      </c>
      <c r="Q377" s="284">
        <f t="shared" si="152"/>
        <v>174393</v>
      </c>
      <c r="R377" s="287">
        <v>1</v>
      </c>
    </row>
    <row r="378" spans="1:18">
      <c r="A378" s="246"/>
      <c r="B378" s="265">
        <v>0</v>
      </c>
      <c r="C378" s="680" t="s">
        <v>639</v>
      </c>
      <c r="D378" s="266" t="str">
        <f>" - "&amp;'Giá VL'!E36</f>
        <v xml:space="preserve"> - Phụ gia chống trương nở đất TS</v>
      </c>
      <c r="E378" s="265" t="str">
        <f>'Giá VL'!F36</f>
        <v>kg</v>
      </c>
      <c r="F378" s="267">
        <v>0</v>
      </c>
      <c r="G378" s="268">
        <v>280</v>
      </c>
      <c r="H378" s="268">
        <f>'5.Tiên lượng'!V111</f>
        <v>0.9</v>
      </c>
      <c r="I378" s="268">
        <f>PRODUCT(F374,G378,H378)</f>
        <v>4851.8316000000004</v>
      </c>
      <c r="J378" s="283">
        <f>'Giá VL'!G36</f>
        <v>23569</v>
      </c>
      <c r="K378" s="283">
        <f t="shared" si="150"/>
        <v>5939388</v>
      </c>
      <c r="L378" s="283">
        <f>'Giá VL'!J36</f>
        <v>23569</v>
      </c>
      <c r="M378" s="284">
        <f t="shared" si="151"/>
        <v>5939388</v>
      </c>
      <c r="N378" s="284">
        <v>0</v>
      </c>
      <c r="O378" s="284">
        <v>0</v>
      </c>
      <c r="P378" s="284">
        <f>'Giá VL'!V36</f>
        <v>23745.717985167823</v>
      </c>
      <c r="Q378" s="284">
        <f t="shared" si="152"/>
        <v>5983920.9322622912</v>
      </c>
      <c r="R378" s="287">
        <v>1</v>
      </c>
    </row>
    <row r="379" spans="1:18">
      <c r="A379" s="246"/>
      <c r="B379" s="265">
        <v>0</v>
      </c>
      <c r="C379" s="680" t="s">
        <v>620</v>
      </c>
      <c r="D379" s="266" t="s">
        <v>621</v>
      </c>
      <c r="E379" s="265" t="s">
        <v>37</v>
      </c>
      <c r="F379" s="267">
        <v>0</v>
      </c>
      <c r="G379" s="268">
        <f>AVERAGE(R376:R378)</f>
        <v>1</v>
      </c>
      <c r="H379" s="268">
        <f>'5.Tiên lượng'!V111</f>
        <v>0.9</v>
      </c>
      <c r="I379" s="268">
        <f>PRODUCT(F374,G379,H379)</f>
        <v>17.327970000000001</v>
      </c>
      <c r="J379" s="283">
        <f>(G376*J376+G377*J377+G378*J378)/100</f>
        <v>179265.4</v>
      </c>
      <c r="K379" s="283">
        <f t="shared" si="150"/>
        <v>161338.85999999999</v>
      </c>
      <c r="L379" s="283">
        <f>(G376*L376+G377*L377+G378*L378)/100</f>
        <v>199882.9</v>
      </c>
      <c r="M379" s="284">
        <f t="shared" si="151"/>
        <v>179894.61</v>
      </c>
      <c r="N379" s="284">
        <v>0</v>
      </c>
      <c r="O379" s="284">
        <v>0</v>
      </c>
      <c r="P379" s="284">
        <f>(G376*P376+G377*P377+G378*P378)/100</f>
        <v>211098.8103584699</v>
      </c>
      <c r="Q379" s="284">
        <f t="shared" si="152"/>
        <v>189988.92932262292</v>
      </c>
      <c r="R379" s="287">
        <v>0</v>
      </c>
    </row>
    <row r="380" spans="1:18">
      <c r="A380" s="240"/>
      <c r="B380" s="260">
        <v>0</v>
      </c>
      <c r="C380" s="261" t="s">
        <v>590</v>
      </c>
      <c r="D380" s="262" t="s">
        <v>265</v>
      </c>
      <c r="E380" s="260"/>
      <c r="F380" s="263">
        <v>0</v>
      </c>
      <c r="G380" s="264">
        <v>0</v>
      </c>
      <c r="H380" s="264"/>
      <c r="I380" s="264">
        <v>0</v>
      </c>
      <c r="J380" s="281">
        <v>0</v>
      </c>
      <c r="K380" s="281">
        <f>SUM(K381:K382)</f>
        <v>2307147.9750000001</v>
      </c>
      <c r="L380" s="281">
        <v>0</v>
      </c>
      <c r="M380" s="282">
        <f>SUM(M381:M382)</f>
        <v>2466402.8760000002</v>
      </c>
      <c r="N380" s="282">
        <v>0</v>
      </c>
      <c r="O380" s="282">
        <v>0</v>
      </c>
      <c r="P380" s="282">
        <v>0</v>
      </c>
      <c r="Q380" s="282">
        <f>SUM(Q381:Q382)</f>
        <v>2466402.8760000002</v>
      </c>
      <c r="R380" s="287">
        <v>0</v>
      </c>
    </row>
    <row r="381" spans="1:18">
      <c r="A381" s="246"/>
      <c r="B381" s="265">
        <v>0</v>
      </c>
      <c r="C381" s="680" t="s">
        <v>629</v>
      </c>
      <c r="D381" s="266" t="str">
        <f>" - "&amp;'Giá NC'!E10</f>
        <v xml:space="preserve"> - Nhân công bậc 4,0/7 - Nhóm 2</v>
      </c>
      <c r="E381" s="265" t="str">
        <f>'Giá NC'!F10</f>
        <v>công</v>
      </c>
      <c r="F381" s="267">
        <v>0</v>
      </c>
      <c r="G381" s="268">
        <v>4.67</v>
      </c>
      <c r="H381" s="268">
        <f>'5.Tiên lượng'!W111</f>
        <v>0.9</v>
      </c>
      <c r="I381" s="268">
        <f>PRODUCT(F374,G381,H381)</f>
        <v>80.921619899999996</v>
      </c>
      <c r="J381" s="283">
        <f>'Giá NC'!G10</f>
        <v>268125</v>
      </c>
      <c r="K381" s="283">
        <f t="shared" ref="K381:K382" si="153">PRODUCT(G381,H381,J381)</f>
        <v>1126929.375</v>
      </c>
      <c r="L381" s="283">
        <f>'Giá NC'!H10</f>
        <v>293092</v>
      </c>
      <c r="M381" s="284">
        <f t="shared" ref="M381:M382" si="154">PRODUCT(G381,H381,L381)</f>
        <v>1231865.676</v>
      </c>
      <c r="N381" s="284">
        <v>0</v>
      </c>
      <c r="O381" s="284">
        <v>0</v>
      </c>
      <c r="P381" s="284">
        <f>'Giá NC'!K10</f>
        <v>293092</v>
      </c>
      <c r="Q381" s="284">
        <f t="shared" ref="Q381:Q382" si="155">PRODUCT(G381,H381,P381)</f>
        <v>1231865.676</v>
      </c>
      <c r="R381" s="287">
        <v>0</v>
      </c>
    </row>
    <row r="382" spans="1:18">
      <c r="A382" s="246"/>
      <c r="B382" s="265">
        <v>0</v>
      </c>
      <c r="C382" s="680" t="s">
        <v>598</v>
      </c>
      <c r="D382" s="266" t="str">
        <f>" - "&amp;'Giá NC'!E5</f>
        <v xml:space="preserve"> - Nhân công bậc 3,0/7 - Nhóm 1</v>
      </c>
      <c r="E382" s="265" t="str">
        <f>'Giá NC'!F5</f>
        <v>công</v>
      </c>
      <c r="F382" s="267">
        <v>0</v>
      </c>
      <c r="G382" s="268">
        <v>6</v>
      </c>
      <c r="H382" s="268">
        <f>'5.Tiên lượng'!W111</f>
        <v>0.9</v>
      </c>
      <c r="I382" s="268">
        <f>PRODUCT(F374,G382,H382)</f>
        <v>103.96782</v>
      </c>
      <c r="J382" s="283">
        <f>'Giá NC'!G5</f>
        <v>218559</v>
      </c>
      <c r="K382" s="283">
        <f t="shared" si="153"/>
        <v>1180218.6000000001</v>
      </c>
      <c r="L382" s="283">
        <f>'Giá NC'!H5</f>
        <v>228618</v>
      </c>
      <c r="M382" s="284">
        <f t="shared" si="154"/>
        <v>1234537.2000000002</v>
      </c>
      <c r="N382" s="284">
        <v>0</v>
      </c>
      <c r="O382" s="284">
        <v>0</v>
      </c>
      <c r="P382" s="284">
        <f>'Giá NC'!K5</f>
        <v>228618</v>
      </c>
      <c r="Q382" s="284">
        <f t="shared" si="155"/>
        <v>1234537.2000000002</v>
      </c>
      <c r="R382" s="287">
        <v>0</v>
      </c>
    </row>
    <row r="383" spans="1:18">
      <c r="A383" s="240"/>
      <c r="B383" s="260">
        <v>0</v>
      </c>
      <c r="C383" s="261" t="s">
        <v>590</v>
      </c>
      <c r="D383" s="262" t="s">
        <v>267</v>
      </c>
      <c r="E383" s="260"/>
      <c r="F383" s="263">
        <v>0</v>
      </c>
      <c r="G383" s="264">
        <v>0</v>
      </c>
      <c r="H383" s="264"/>
      <c r="I383" s="264">
        <v>0</v>
      </c>
      <c r="J383" s="281">
        <v>0</v>
      </c>
      <c r="K383" s="281">
        <f>SUM(K384:K392)</f>
        <v>15269702.095626252</v>
      </c>
      <c r="L383" s="281">
        <v>0</v>
      </c>
      <c r="M383" s="282">
        <f>SUM(M384:M392)</f>
        <v>15544311.345009821</v>
      </c>
      <c r="N383" s="282">
        <v>0</v>
      </c>
      <c r="O383" s="282">
        <v>0</v>
      </c>
      <c r="P383" s="282">
        <v>0</v>
      </c>
      <c r="Q383" s="282">
        <f>SUM(Q384:Q392)</f>
        <v>15451394.796850516</v>
      </c>
      <c r="R383" s="287">
        <v>0</v>
      </c>
    </row>
    <row r="384" spans="1:18">
      <c r="A384" s="246"/>
      <c r="B384" s="265">
        <v>0</v>
      </c>
      <c r="C384" s="680" t="s">
        <v>640</v>
      </c>
      <c r="D384" s="266" t="str">
        <f>" - "&amp;'Giá Máy'!E35</f>
        <v xml:space="preserve"> - Máy cào bóc tái sinh Wirtgen 2400</v>
      </c>
      <c r="E384" s="265" t="str">
        <f>'Giá Máy'!F35</f>
        <v>ca</v>
      </c>
      <c r="F384" s="267">
        <v>0</v>
      </c>
      <c r="G384" s="268">
        <v>0.32400000000000001</v>
      </c>
      <c r="H384" s="268">
        <f>'5.Tiên lượng'!X111</f>
        <v>0.9</v>
      </c>
      <c r="I384" s="268">
        <f>PRODUCT(F374,G384,H384)</f>
        <v>5.6142622800000002</v>
      </c>
      <c r="J384" s="283">
        <f>'Giá Máy'!G35</f>
        <v>40653159.719999999</v>
      </c>
      <c r="K384" s="283">
        <f t="shared" ref="K384:K392" si="156">PRODUCT(G384,H384,J384)</f>
        <v>11854461.374352001</v>
      </c>
      <c r="L384" s="283">
        <f>'Giá Máy'!H35</f>
        <v>41945728</v>
      </c>
      <c r="M384" s="284">
        <f t="shared" ref="M384:M392" si="157">PRODUCT(G384,H384,L384)</f>
        <v>12231374.2848</v>
      </c>
      <c r="N384" s="284">
        <v>0</v>
      </c>
      <c r="O384" s="284">
        <v>0</v>
      </c>
      <c r="P384" s="284">
        <f>'Giá Máy'!O35</f>
        <v>40942317.600000001</v>
      </c>
      <c r="Q384" s="284">
        <f t="shared" ref="Q384:Q392" si="158">PRODUCT(G384,H384,P384)</f>
        <v>11938779.812160002</v>
      </c>
      <c r="R384" s="287">
        <v>0.72727272727272696</v>
      </c>
    </row>
    <row r="385" spans="1:18">
      <c r="A385" s="246"/>
      <c r="B385" s="265">
        <v>0</v>
      </c>
      <c r="C385" s="680" t="s">
        <v>641</v>
      </c>
      <c r="D385" s="266" t="str">
        <f>" - "&amp;'Giá Máy'!E43</f>
        <v xml:space="preserve"> - Máy rải xi măng SW16TC (16m3)</v>
      </c>
      <c r="E385" s="265" t="str">
        <f>'Giá Máy'!F43</f>
        <v>ca</v>
      </c>
      <c r="F385" s="267">
        <v>0</v>
      </c>
      <c r="G385" s="268">
        <v>0</v>
      </c>
      <c r="H385" s="268">
        <f>'5.Tiên lượng'!X111</f>
        <v>0.9</v>
      </c>
      <c r="I385" s="268">
        <f>PRODUCT(F374,G385,H385)</f>
        <v>0</v>
      </c>
      <c r="J385" s="283">
        <f>'Giá Máy'!G43</f>
        <v>10247292.844888899</v>
      </c>
      <c r="K385" s="283">
        <f t="shared" si="156"/>
        <v>0</v>
      </c>
      <c r="L385" s="283">
        <f>'Giá Máy'!H43</f>
        <v>10463988</v>
      </c>
      <c r="M385" s="284">
        <f t="shared" si="157"/>
        <v>0</v>
      </c>
      <c r="N385" s="284">
        <v>0</v>
      </c>
      <c r="O385" s="284">
        <v>0</v>
      </c>
      <c r="P385" s="284">
        <f>'Giá Máy'!O43</f>
        <v>10312616.668888887</v>
      </c>
      <c r="Q385" s="284">
        <f t="shared" si="158"/>
        <v>0</v>
      </c>
      <c r="R385" s="287">
        <v>0.72727272727272696</v>
      </c>
    </row>
    <row r="386" spans="1:18">
      <c r="A386" s="246"/>
      <c r="B386" s="265">
        <v>0</v>
      </c>
      <c r="C386" s="680" t="s">
        <v>642</v>
      </c>
      <c r="D386" s="266" t="str">
        <f>" - "&amp;'Giá Máy'!E40</f>
        <v xml:space="preserve"> - Ô tô tưới nước 10m3</v>
      </c>
      <c r="E386" s="265" t="str">
        <f>'Giá Máy'!F40</f>
        <v>ca</v>
      </c>
      <c r="F386" s="267">
        <v>0</v>
      </c>
      <c r="G386" s="268">
        <v>0.63200000000000001</v>
      </c>
      <c r="H386" s="268">
        <f>'5.Tiên lượng'!X111</f>
        <v>0.9</v>
      </c>
      <c r="I386" s="268">
        <f>PRODUCT(F374,G386,H386)</f>
        <v>10.951277039999999</v>
      </c>
      <c r="J386" s="283">
        <f>'Giá Máy'!G40</f>
        <v>1468502.9323076899</v>
      </c>
      <c r="K386" s="283">
        <f t="shared" si="156"/>
        <v>835284.46789661399</v>
      </c>
      <c r="L386" s="283">
        <f>'Giá Máy'!H40</f>
        <v>1582553</v>
      </c>
      <c r="M386" s="284">
        <f t="shared" si="157"/>
        <v>900156.14639999997</v>
      </c>
      <c r="N386" s="284">
        <v>0</v>
      </c>
      <c r="O386" s="284">
        <v>0</v>
      </c>
      <c r="P386" s="284">
        <f>'Giá Máy'!O40</f>
        <v>1491813.8923076922</v>
      </c>
      <c r="Q386" s="284">
        <f t="shared" si="158"/>
        <v>848543.74194461526</v>
      </c>
      <c r="R386" s="287">
        <v>0.72727272727272696</v>
      </c>
    </row>
    <row r="387" spans="1:18">
      <c r="A387" s="246"/>
      <c r="B387" s="265">
        <v>0</v>
      </c>
      <c r="C387" s="680" t="s">
        <v>643</v>
      </c>
      <c r="D387" s="266" t="str">
        <f>" - "&amp;'Giá Máy'!E36</f>
        <v xml:space="preserve"> - Máy lu rung chân cừu 12T</v>
      </c>
      <c r="E387" s="265" t="str">
        <f>'Giá Máy'!F36</f>
        <v>ca</v>
      </c>
      <c r="F387" s="267">
        <v>0</v>
      </c>
      <c r="G387" s="268">
        <v>0.46600000000000003</v>
      </c>
      <c r="H387" s="268">
        <f>'5.Tiên lượng'!X111</f>
        <v>0.9</v>
      </c>
      <c r="I387" s="268">
        <f>PRODUCT(F374,G387,H387)</f>
        <v>8.0748340200000008</v>
      </c>
      <c r="J387" s="283">
        <f>'Giá Máy'!G36</f>
        <v>1638784.24681481</v>
      </c>
      <c r="K387" s="283">
        <f t="shared" si="156"/>
        <v>687306.11311413138</v>
      </c>
      <c r="L387" s="283">
        <f>'Giá Máy'!H36</f>
        <v>1749033</v>
      </c>
      <c r="M387" s="284">
        <f t="shared" si="157"/>
        <v>733544.44020000007</v>
      </c>
      <c r="N387" s="284">
        <v>0</v>
      </c>
      <c r="O387" s="284">
        <v>0</v>
      </c>
      <c r="P387" s="284">
        <f>'Giá Máy'!O36</f>
        <v>1686285.1748148147</v>
      </c>
      <c r="Q387" s="284">
        <f t="shared" si="158"/>
        <v>707228.00231733336</v>
      </c>
      <c r="R387" s="287">
        <v>0.72727272727272696</v>
      </c>
    </row>
    <row r="388" spans="1:18">
      <c r="A388" s="246"/>
      <c r="B388" s="265">
        <v>0</v>
      </c>
      <c r="C388" s="680" t="s">
        <v>644</v>
      </c>
      <c r="D388" s="266" t="str">
        <f>" - "&amp;'Giá Máy'!E44</f>
        <v xml:space="preserve"> - Máy lu bánh thép tự hành 12T</v>
      </c>
      <c r="E388" s="265" t="str">
        <f>'Giá Máy'!F44</f>
        <v>ca</v>
      </c>
      <c r="F388" s="267">
        <v>0</v>
      </c>
      <c r="G388" s="268">
        <v>0.46100000000000002</v>
      </c>
      <c r="H388" s="268">
        <f>'5.Tiên lượng'!X111</f>
        <v>0.9</v>
      </c>
      <c r="I388" s="268">
        <f>PRODUCT(F374,G388,H388)</f>
        <v>7.9881941700000008</v>
      </c>
      <c r="J388" s="283">
        <f>'Giá Máy'!G44</f>
        <v>1220464.9226666701</v>
      </c>
      <c r="K388" s="283">
        <f t="shared" si="156"/>
        <v>506370.89641440148</v>
      </c>
      <c r="L388" s="283">
        <f>'Giá Máy'!H44</f>
        <v>1342118</v>
      </c>
      <c r="M388" s="284">
        <f t="shared" si="157"/>
        <v>556844.75820000004</v>
      </c>
      <c r="N388" s="284">
        <v>0</v>
      </c>
      <c r="O388" s="284">
        <v>0</v>
      </c>
      <c r="P388" s="284">
        <f>'Giá Máy'!O44</f>
        <v>1270296.9466666668</v>
      </c>
      <c r="Q388" s="284">
        <f t="shared" si="158"/>
        <v>527046.20317200013</v>
      </c>
      <c r="R388" s="287">
        <v>0.72727272727272696</v>
      </c>
    </row>
    <row r="389" spans="1:18">
      <c r="A389" s="246"/>
      <c r="B389" s="265">
        <v>0</v>
      </c>
      <c r="C389" s="680" t="s">
        <v>609</v>
      </c>
      <c r="D389" s="266" t="str">
        <f>" - "&amp;'Giá Máy'!E17</f>
        <v xml:space="preserve"> - Máy lu bánh thép 10T</v>
      </c>
      <c r="E389" s="265" t="str">
        <f>'Giá Máy'!F17</f>
        <v>ca</v>
      </c>
      <c r="F389" s="267">
        <v>0</v>
      </c>
      <c r="G389" s="268">
        <v>0.35699999999999998</v>
      </c>
      <c r="H389" s="268">
        <f>'5.Tiên lượng'!X111</f>
        <v>0.9</v>
      </c>
      <c r="I389" s="268">
        <f>PRODUCT(F374,G389,H389)</f>
        <v>6.1860852899999994</v>
      </c>
      <c r="J389" s="283">
        <f>'Giá Máy'!G17</f>
        <v>1086987.4154074099</v>
      </c>
      <c r="K389" s="283">
        <f t="shared" si="156"/>
        <v>349249.05657040077</v>
      </c>
      <c r="L389" s="283">
        <f>'Giá Máy'!H17</f>
        <v>0</v>
      </c>
      <c r="M389" s="284">
        <f t="shared" si="157"/>
        <v>0</v>
      </c>
      <c r="N389" s="284">
        <v>0</v>
      </c>
      <c r="O389" s="284">
        <v>0</v>
      </c>
      <c r="P389" s="284">
        <f>'Giá Máy'!O17</f>
        <v>1132157.2474074075</v>
      </c>
      <c r="Q389" s="284">
        <f t="shared" si="158"/>
        <v>363762.12359199999</v>
      </c>
      <c r="R389" s="287">
        <v>0.72727272727272696</v>
      </c>
    </row>
    <row r="390" spans="1:18">
      <c r="A390" s="246"/>
      <c r="B390" s="265">
        <v>0</v>
      </c>
      <c r="C390" s="680" t="s">
        <v>608</v>
      </c>
      <c r="D390" s="266" t="str">
        <f>" - "&amp;'Giá Máy'!E38</f>
        <v xml:space="preserve"> - Máy lu bánh hơi tự hành 16T</v>
      </c>
      <c r="E390" s="265" t="str">
        <f>'Giá Máy'!F38</f>
        <v>ca</v>
      </c>
      <c r="F390" s="267">
        <v>0</v>
      </c>
      <c r="G390" s="268">
        <v>0.47399999999999998</v>
      </c>
      <c r="H390" s="268">
        <f>'5.Tiên lượng'!X111</f>
        <v>0.9</v>
      </c>
      <c r="I390" s="268">
        <f>PRODUCT(F374,G390,H390)</f>
        <v>8.2134577800000006</v>
      </c>
      <c r="J390" s="283">
        <f>'Giá Máy'!G38</f>
        <v>1498752.32622222</v>
      </c>
      <c r="K390" s="283">
        <f t="shared" si="156"/>
        <v>639367.74236639903</v>
      </c>
      <c r="L390" s="283">
        <f>'Giá Máy'!H38</f>
        <v>1643216</v>
      </c>
      <c r="M390" s="284">
        <f t="shared" si="157"/>
        <v>700995.94559999998</v>
      </c>
      <c r="N390" s="284">
        <v>0</v>
      </c>
      <c r="O390" s="284">
        <v>0</v>
      </c>
      <c r="P390" s="284">
        <f>'Giá Máy'!O38</f>
        <v>1553246.5422222223</v>
      </c>
      <c r="Q390" s="284">
        <f t="shared" si="158"/>
        <v>662614.97491200001</v>
      </c>
      <c r="R390" s="287">
        <v>0.72727272727272696</v>
      </c>
    </row>
    <row r="391" spans="1:18">
      <c r="A391" s="246"/>
      <c r="B391" s="265">
        <v>0</v>
      </c>
      <c r="C391" s="680" t="s">
        <v>645</v>
      </c>
      <c r="D391" s="266" t="str">
        <f>" - "&amp;'Giá Máy'!E26</f>
        <v xml:space="preserve"> - Máy san 110CV</v>
      </c>
      <c r="E391" s="265" t="str">
        <f>'Giá Máy'!F26</f>
        <v>ca</v>
      </c>
      <c r="F391" s="267">
        <v>0</v>
      </c>
      <c r="G391" s="268">
        <v>0.16300000000000001</v>
      </c>
      <c r="H391" s="268">
        <f>'5.Tiên lượng'!X111</f>
        <v>0.9</v>
      </c>
      <c r="I391" s="268">
        <f>PRODUCT(F374,G391,H391)</f>
        <v>2.8244591099999998</v>
      </c>
      <c r="J391" s="283">
        <f>'Giá Máy'!G26</f>
        <v>1959181.2424347801</v>
      </c>
      <c r="K391" s="283">
        <f t="shared" si="156"/>
        <v>287411.88826518226</v>
      </c>
      <c r="L391" s="283">
        <f>'Giá Máy'!H26</f>
        <v>2107447</v>
      </c>
      <c r="M391" s="284">
        <f t="shared" si="157"/>
        <v>309162.47489999997</v>
      </c>
      <c r="N391" s="284">
        <v>0</v>
      </c>
      <c r="O391" s="284">
        <v>0</v>
      </c>
      <c r="P391" s="284">
        <f>'Giá Máy'!O26</f>
        <v>1989485.4904347826</v>
      </c>
      <c r="Q391" s="284">
        <f t="shared" si="158"/>
        <v>291857.52144678257</v>
      </c>
      <c r="R391" s="287">
        <v>0.72727272727272696</v>
      </c>
    </row>
    <row r="392" spans="1:18">
      <c r="A392" s="251"/>
      <c r="B392" s="269">
        <v>0</v>
      </c>
      <c r="C392" s="681" t="s">
        <v>611</v>
      </c>
      <c r="D392" s="270" t="s">
        <v>612</v>
      </c>
      <c r="E392" s="269" t="s">
        <v>37</v>
      </c>
      <c r="F392" s="271">
        <v>0</v>
      </c>
      <c r="G392" s="272">
        <f>AVERAGE(R384:R391)</f>
        <v>0.72727272727272685</v>
      </c>
      <c r="H392" s="272">
        <f>'5.Tiên lượng'!X111</f>
        <v>0.9</v>
      </c>
      <c r="I392" s="272">
        <f>PRODUCT(F374,G392,H392)</f>
        <v>12.602159999999992</v>
      </c>
      <c r="J392" s="285">
        <f>(G384*J384+G385*J385+G386*J386+G387*J387+G388*J388+G389*J389+G390*J390+G391*J391)/100</f>
        <v>168438.35043310144</v>
      </c>
      <c r="K392" s="285">
        <f t="shared" si="156"/>
        <v>110250.55664712089</v>
      </c>
      <c r="L392" s="285">
        <f>(G384*L384+G385*L385+G386*L386+G387*L387+G388*L388+G389*L389+G390*L390+G391*L391)/100</f>
        <v>171467.53389000002</v>
      </c>
      <c r="M392" s="286">
        <f t="shared" si="157"/>
        <v>112233.29490981814</v>
      </c>
      <c r="N392" s="286">
        <v>0</v>
      </c>
      <c r="O392" s="286">
        <v>0</v>
      </c>
      <c r="P392" s="286">
        <f>(G384*P384+G385*P385+G386*P386+G387*P387+G388*P388+G389*P389+G390*P390+G391*P391)/100</f>
        <v>170442.58199494146</v>
      </c>
      <c r="Q392" s="286">
        <f t="shared" si="158"/>
        <v>111562.4173057798</v>
      </c>
      <c r="R392" s="288">
        <v>0</v>
      </c>
    </row>
    <row r="393" spans="1:18" ht="27.6">
      <c r="A393" s="234"/>
      <c r="B393" s="256">
        <v>46</v>
      </c>
      <c r="C393" s="234" t="str">
        <f>'5.Tiên lượng'!C113</f>
        <v>AD.24223</v>
      </c>
      <c r="D393" s="257" t="str">
        <f>'5.Tiên lượng'!D113</f>
        <v>Tưới lớp dính bám mặt đường, nhũ tương CSS1, lượng nhũ tương 1kg/m2</v>
      </c>
      <c r="E393" s="256" t="str">
        <f>'5.Tiên lượng'!E113</f>
        <v>100m2</v>
      </c>
      <c r="F393" s="258">
        <f>'5.Tiên lượng'!M113</f>
        <v>106.9627</v>
      </c>
      <c r="G393" s="259">
        <v>0</v>
      </c>
      <c r="H393" s="259">
        <v>0</v>
      </c>
      <c r="I393" s="259">
        <v>0</v>
      </c>
      <c r="J393" s="279">
        <v>0</v>
      </c>
      <c r="K393" s="279">
        <v>0</v>
      </c>
      <c r="L393" s="279">
        <v>0</v>
      </c>
      <c r="M393" s="280">
        <v>0</v>
      </c>
      <c r="N393" s="280">
        <v>0</v>
      </c>
      <c r="O393" s="280">
        <v>0</v>
      </c>
      <c r="P393" s="280">
        <v>0</v>
      </c>
      <c r="Q393" s="280">
        <v>0</v>
      </c>
      <c r="R393" s="222">
        <v>0</v>
      </c>
    </row>
    <row r="394" spans="1:18">
      <c r="A394" s="240"/>
      <c r="B394" s="260">
        <v>0</v>
      </c>
      <c r="C394" s="261" t="s">
        <v>590</v>
      </c>
      <c r="D394" s="262" t="s">
        <v>262</v>
      </c>
      <c r="E394" s="260"/>
      <c r="F394" s="263">
        <v>0</v>
      </c>
      <c r="G394" s="264">
        <v>0</v>
      </c>
      <c r="H394" s="264"/>
      <c r="I394" s="264">
        <v>0</v>
      </c>
      <c r="J394" s="281">
        <v>0</v>
      </c>
      <c r="K394" s="281">
        <f>SUM(K395:K395)</f>
        <v>1394000</v>
      </c>
      <c r="L394" s="281">
        <v>0</v>
      </c>
      <c r="M394" s="282">
        <f>SUM(M395:M395)</f>
        <v>1394000</v>
      </c>
      <c r="N394" s="282">
        <v>0</v>
      </c>
      <c r="O394" s="282">
        <v>0</v>
      </c>
      <c r="P394" s="282">
        <v>0</v>
      </c>
      <c r="Q394" s="282">
        <f>SUM(Q395:Q395)</f>
        <v>1406043.8394685537</v>
      </c>
      <c r="R394" s="287">
        <v>0</v>
      </c>
    </row>
    <row r="395" spans="1:18">
      <c r="A395" s="246"/>
      <c r="B395" s="265">
        <v>0</v>
      </c>
      <c r="C395" s="680" t="s">
        <v>646</v>
      </c>
      <c r="D395" s="266" t="str">
        <f>" - "&amp;'Giá VL'!E32</f>
        <v xml:space="preserve"> - Nhựa nhũ tương gốc axít 60%</v>
      </c>
      <c r="E395" s="265" t="str">
        <f>'Giá VL'!F32</f>
        <v>kg</v>
      </c>
      <c r="F395" s="267">
        <v>0</v>
      </c>
      <c r="G395" s="268">
        <v>102.5</v>
      </c>
      <c r="H395" s="268">
        <f>'5.Tiên lượng'!V113</f>
        <v>1</v>
      </c>
      <c r="I395" s="268">
        <f>PRODUCT(F393,G395,H395)</f>
        <v>10963.676750000001</v>
      </c>
      <c r="J395" s="283">
        <f>'Giá VL'!G32</f>
        <v>13600</v>
      </c>
      <c r="K395" s="283">
        <f>PRODUCT(G395,H395,J395)</f>
        <v>1394000</v>
      </c>
      <c r="L395" s="283">
        <f>'Giá VL'!J32</f>
        <v>13600</v>
      </c>
      <c r="M395" s="284">
        <f>PRODUCT(G395,H395,L395)</f>
        <v>1394000</v>
      </c>
      <c r="N395" s="284">
        <v>0</v>
      </c>
      <c r="O395" s="284">
        <v>0</v>
      </c>
      <c r="P395" s="284">
        <f>'Giá VL'!V32</f>
        <v>13717.500872863939</v>
      </c>
      <c r="Q395" s="284">
        <f>PRODUCT(G395,H395,P395)</f>
        <v>1406043.8394685537</v>
      </c>
      <c r="R395" s="287">
        <v>0</v>
      </c>
    </row>
    <row r="396" spans="1:18">
      <c r="A396" s="240"/>
      <c r="B396" s="260">
        <v>0</v>
      </c>
      <c r="C396" s="261" t="s">
        <v>590</v>
      </c>
      <c r="D396" s="262" t="s">
        <v>265</v>
      </c>
      <c r="E396" s="260"/>
      <c r="F396" s="263">
        <v>0</v>
      </c>
      <c r="G396" s="264">
        <v>0</v>
      </c>
      <c r="H396" s="264"/>
      <c r="I396" s="264">
        <v>0</v>
      </c>
      <c r="J396" s="281">
        <v>0</v>
      </c>
      <c r="K396" s="281">
        <f>SUM(K397:K397)</f>
        <v>56810</v>
      </c>
      <c r="L396" s="281">
        <v>0</v>
      </c>
      <c r="M396" s="282">
        <f>SUM(M397:M397)</f>
        <v>62100</v>
      </c>
      <c r="N396" s="282">
        <v>0</v>
      </c>
      <c r="O396" s="282">
        <v>0</v>
      </c>
      <c r="P396" s="282">
        <v>0</v>
      </c>
      <c r="Q396" s="282">
        <f>SUM(Q397:Q397)</f>
        <v>62100</v>
      </c>
      <c r="R396" s="287">
        <v>0</v>
      </c>
    </row>
    <row r="397" spans="1:18">
      <c r="A397" s="246"/>
      <c r="B397" s="265">
        <v>0</v>
      </c>
      <c r="C397" s="680" t="s">
        <v>622</v>
      </c>
      <c r="D397" s="266" t="str">
        <f>" - "&amp;'Giá NC'!E9</f>
        <v xml:space="preserve"> - Nhân công bậc 3,5/7 - Nhóm 2</v>
      </c>
      <c r="E397" s="265" t="str">
        <f>'Giá NC'!F9</f>
        <v>công</v>
      </c>
      <c r="F397" s="267">
        <v>0</v>
      </c>
      <c r="G397" s="268">
        <v>0.23</v>
      </c>
      <c r="H397" s="268">
        <f>'5.Tiên lượng'!W113</f>
        <v>1</v>
      </c>
      <c r="I397" s="268">
        <f>PRODUCT(F393,G397,H397)</f>
        <v>24.601421000000002</v>
      </c>
      <c r="J397" s="283">
        <f>'Giá NC'!G9</f>
        <v>247000</v>
      </c>
      <c r="K397" s="283">
        <f>PRODUCT(G397,H397,J397)</f>
        <v>56810</v>
      </c>
      <c r="L397" s="283">
        <f>'Giá NC'!H9</f>
        <v>270000</v>
      </c>
      <c r="M397" s="284">
        <f>PRODUCT(G397,H397,L397)</f>
        <v>62100</v>
      </c>
      <c r="N397" s="284">
        <v>0</v>
      </c>
      <c r="O397" s="284">
        <v>0</v>
      </c>
      <c r="P397" s="284">
        <f>'Giá NC'!K9</f>
        <v>270000</v>
      </c>
      <c r="Q397" s="284">
        <f>PRODUCT(G397,H397,P397)</f>
        <v>62100</v>
      </c>
      <c r="R397" s="287">
        <v>0</v>
      </c>
    </row>
    <row r="398" spans="1:18">
      <c r="A398" s="240"/>
      <c r="B398" s="260">
        <v>0</v>
      </c>
      <c r="C398" s="261" t="s">
        <v>590</v>
      </c>
      <c r="D398" s="262" t="s">
        <v>267</v>
      </c>
      <c r="E398" s="260"/>
      <c r="F398" s="263">
        <v>0</v>
      </c>
      <c r="G398" s="264">
        <v>0</v>
      </c>
      <c r="H398" s="264"/>
      <c r="I398" s="264">
        <v>0</v>
      </c>
      <c r="J398" s="281">
        <v>0</v>
      </c>
      <c r="K398" s="281">
        <f>SUM(K399:K401)</f>
        <v>254038.6571590401</v>
      </c>
      <c r="L398" s="281">
        <v>0</v>
      </c>
      <c r="M398" s="282">
        <f>SUM(M399:M401)</f>
        <v>275265.25188000005</v>
      </c>
      <c r="N398" s="282">
        <v>0</v>
      </c>
      <c r="O398" s="282">
        <v>0</v>
      </c>
      <c r="P398" s="282">
        <v>0</v>
      </c>
      <c r="Q398" s="282">
        <f>SUM(Q399:Q401)</f>
        <v>259243.05535040001</v>
      </c>
      <c r="R398" s="287">
        <v>0</v>
      </c>
    </row>
    <row r="399" spans="1:18">
      <c r="A399" s="246"/>
      <c r="B399" s="265">
        <v>0</v>
      </c>
      <c r="C399" s="680" t="s">
        <v>647</v>
      </c>
      <c r="D399" s="266" t="str">
        <f>" - "&amp;'Giá Máy'!E23</f>
        <v xml:space="preserve"> - Máy phun nhựa đường 190CV</v>
      </c>
      <c r="E399" s="265" t="str">
        <f>'Giá Máy'!F23</f>
        <v>ca</v>
      </c>
      <c r="F399" s="267">
        <v>0</v>
      </c>
      <c r="G399" s="268">
        <v>6.8000000000000005E-2</v>
      </c>
      <c r="H399" s="268">
        <f>'5.Tiên lượng'!X113</f>
        <v>1</v>
      </c>
      <c r="I399" s="268">
        <f>PRODUCT(F393,G399,H399)</f>
        <v>7.2734636000000004</v>
      </c>
      <c r="J399" s="283">
        <f>'Giá Máy'!G23</f>
        <v>2914031.0426666699</v>
      </c>
      <c r="K399" s="283">
        <f t="shared" ref="K399:K401" si="159">PRODUCT(G399,H399,J399)</f>
        <v>198154.11090133357</v>
      </c>
      <c r="L399" s="283">
        <f>'Giá Máy'!H23</f>
        <v>3130727</v>
      </c>
      <c r="M399" s="284">
        <f t="shared" ref="M399:M401" si="160">PRODUCT(G399,H399,L399)</f>
        <v>212889.43600000002</v>
      </c>
      <c r="N399" s="284">
        <v>0</v>
      </c>
      <c r="O399" s="284">
        <v>0</v>
      </c>
      <c r="P399" s="284">
        <f>'Giá Máy'!O23</f>
        <v>2958321.8666666662</v>
      </c>
      <c r="Q399" s="284">
        <f t="shared" ref="Q399:Q401" si="161">PRODUCT(G399,H399,P399)</f>
        <v>201165.88693333333</v>
      </c>
      <c r="R399" s="287">
        <v>2</v>
      </c>
    </row>
    <row r="400" spans="1:18">
      <c r="A400" s="246"/>
      <c r="B400" s="265">
        <v>0</v>
      </c>
      <c r="C400" s="680" t="s">
        <v>634</v>
      </c>
      <c r="D400" s="266" t="str">
        <f>" - "&amp;'Giá Máy'!E22</f>
        <v xml:space="preserve"> - Máy nén khí diezel 600m3/h</v>
      </c>
      <c r="E400" s="265" t="str">
        <f>'Giá Máy'!F22</f>
        <v>ca</v>
      </c>
      <c r="F400" s="267">
        <v>0</v>
      </c>
      <c r="G400" s="268">
        <v>3.4000000000000002E-2</v>
      </c>
      <c r="H400" s="268">
        <f>'5.Tiên lượng'!X113</f>
        <v>1</v>
      </c>
      <c r="I400" s="268">
        <f>PRODUCT(F393,G400,H400)</f>
        <v>3.6367318000000002</v>
      </c>
      <c r="J400" s="283">
        <f>'Giá Máy'!G22</f>
        <v>1497158.7093333299</v>
      </c>
      <c r="K400" s="283">
        <f t="shared" si="159"/>
        <v>50903.396117333221</v>
      </c>
      <c r="L400" s="283">
        <f>'Giá Máy'!H22</f>
        <v>1675837</v>
      </c>
      <c r="M400" s="284">
        <f t="shared" si="160"/>
        <v>56978.458000000006</v>
      </c>
      <c r="N400" s="284">
        <v>0</v>
      </c>
      <c r="O400" s="284">
        <v>0</v>
      </c>
      <c r="P400" s="284">
        <f>'Giá Máy'!O22</f>
        <v>1558646.2133333334</v>
      </c>
      <c r="Q400" s="284">
        <f t="shared" si="161"/>
        <v>52993.971253333337</v>
      </c>
      <c r="R400" s="287">
        <v>2</v>
      </c>
    </row>
    <row r="401" spans="1:18">
      <c r="A401" s="251"/>
      <c r="B401" s="269">
        <v>0</v>
      </c>
      <c r="C401" s="681" t="s">
        <v>611</v>
      </c>
      <c r="D401" s="270" t="s">
        <v>612</v>
      </c>
      <c r="E401" s="269" t="s">
        <v>37</v>
      </c>
      <c r="F401" s="271">
        <v>0</v>
      </c>
      <c r="G401" s="272">
        <f>AVERAGE(R399:R400)</f>
        <v>2</v>
      </c>
      <c r="H401" s="272">
        <f>'5.Tiên lượng'!X113</f>
        <v>1</v>
      </c>
      <c r="I401" s="272">
        <f>PRODUCT(F393,G401,H401)</f>
        <v>213.9254</v>
      </c>
      <c r="J401" s="285">
        <f>(G399*J399+G400*J400)/100</f>
        <v>2490.5750701866677</v>
      </c>
      <c r="K401" s="285">
        <f t="shared" si="159"/>
        <v>4981.1501403733355</v>
      </c>
      <c r="L401" s="285">
        <f>(G399*L399+G400*L400)/100</f>
        <v>2698.6789400000002</v>
      </c>
      <c r="M401" s="286">
        <f t="shared" si="160"/>
        <v>5397.3578800000005</v>
      </c>
      <c r="N401" s="286">
        <v>0</v>
      </c>
      <c r="O401" s="286">
        <v>0</v>
      </c>
      <c r="P401" s="286">
        <f>(G399*P399+G400*P400)/100</f>
        <v>2541.5985818666668</v>
      </c>
      <c r="Q401" s="286">
        <f t="shared" si="161"/>
        <v>5083.1971637333336</v>
      </c>
      <c r="R401" s="288">
        <v>0</v>
      </c>
    </row>
    <row r="402" spans="1:18" ht="27.6">
      <c r="A402" s="234"/>
      <c r="B402" s="256">
        <v>47</v>
      </c>
      <c r="C402" s="234" t="str">
        <f>'5.Tiên lượng'!C115</f>
        <v>AD.24132</v>
      </c>
      <c r="D402" s="257" t="str">
        <f>'5.Tiên lượng'!D115</f>
        <v>Thi công mặt đường láng nhũ tương 03 lớp - Tiêu chuẩn nhựa 4,5kg/m2</v>
      </c>
      <c r="E402" s="256" t="str">
        <f>'5.Tiên lượng'!E115</f>
        <v>100m2</v>
      </c>
      <c r="F402" s="258">
        <f>'5.Tiên lượng'!M115</f>
        <v>106.9627</v>
      </c>
      <c r="G402" s="259">
        <v>0</v>
      </c>
      <c r="H402" s="259">
        <v>0</v>
      </c>
      <c r="I402" s="259">
        <v>0</v>
      </c>
      <c r="J402" s="279">
        <v>0</v>
      </c>
      <c r="K402" s="279">
        <v>0</v>
      </c>
      <c r="L402" s="279">
        <v>0</v>
      </c>
      <c r="M402" s="280">
        <v>0</v>
      </c>
      <c r="N402" s="280">
        <v>0</v>
      </c>
      <c r="O402" s="280">
        <v>0</v>
      </c>
      <c r="P402" s="280">
        <v>0</v>
      </c>
      <c r="Q402" s="280">
        <v>0</v>
      </c>
      <c r="R402" s="222">
        <v>0</v>
      </c>
    </row>
    <row r="403" spans="1:18">
      <c r="A403" s="240"/>
      <c r="B403" s="260">
        <v>0</v>
      </c>
      <c r="C403" s="261" t="s">
        <v>590</v>
      </c>
      <c r="D403" s="262" t="s">
        <v>262</v>
      </c>
      <c r="E403" s="260"/>
      <c r="F403" s="263">
        <v>0</v>
      </c>
      <c r="G403" s="264">
        <v>0</v>
      </c>
      <c r="H403" s="264"/>
      <c r="I403" s="264">
        <v>0</v>
      </c>
      <c r="J403" s="281">
        <v>0</v>
      </c>
      <c r="K403" s="281">
        <f>SUM(K404:K407)</f>
        <v>7031650</v>
      </c>
      <c r="L403" s="281">
        <v>0</v>
      </c>
      <c r="M403" s="282">
        <f>SUM(M404:M407)</f>
        <v>7242900</v>
      </c>
      <c r="N403" s="282">
        <v>0</v>
      </c>
      <c r="O403" s="282">
        <v>0</v>
      </c>
      <c r="P403" s="282">
        <v>0</v>
      </c>
      <c r="Q403" s="282">
        <f>SUM(Q404:Q407)</f>
        <v>7572500.995428551</v>
      </c>
      <c r="R403" s="287">
        <v>0</v>
      </c>
    </row>
    <row r="404" spans="1:18">
      <c r="A404" s="246"/>
      <c r="B404" s="265">
        <v>0</v>
      </c>
      <c r="C404" s="680" t="s">
        <v>648</v>
      </c>
      <c r="D404" s="266" t="str">
        <f>" - "&amp;'Giá VL'!E46</f>
        <v xml:space="preserve"> - Đá 4,75÷9,5 (mm)</v>
      </c>
      <c r="E404" s="265" t="str">
        <f>'Giá VL'!F46</f>
        <v>m3</v>
      </c>
      <c r="F404" s="267">
        <v>0</v>
      </c>
      <c r="G404" s="268">
        <v>0.67</v>
      </c>
      <c r="H404" s="268">
        <f>'5.Tiên lượng'!V115</f>
        <v>1</v>
      </c>
      <c r="I404" s="268">
        <f>PRODUCT(F402,G404,H404)</f>
        <v>71.665008999999998</v>
      </c>
      <c r="J404" s="283">
        <f>'Giá VL'!G46</f>
        <v>135000</v>
      </c>
      <c r="K404" s="283">
        <f t="shared" ref="K404:K407" si="162">PRODUCT(G404,H404,J404)</f>
        <v>90450</v>
      </c>
      <c r="L404" s="283">
        <f>'Giá VL'!J46</f>
        <v>210000</v>
      </c>
      <c r="M404" s="284">
        <f t="shared" ref="M404:M407" si="163">PRODUCT(G404,H404,L404)</f>
        <v>140700</v>
      </c>
      <c r="N404" s="284">
        <v>0</v>
      </c>
      <c r="O404" s="284">
        <v>0</v>
      </c>
      <c r="P404" s="284">
        <f>'Giá VL'!V46</f>
        <v>280458.0547558713</v>
      </c>
      <c r="Q404" s="284">
        <f t="shared" ref="Q404:Q407" si="164">PRODUCT(G404,H404,P404)</f>
        <v>187906.89668643379</v>
      </c>
      <c r="R404" s="287">
        <v>0</v>
      </c>
    </row>
    <row r="405" spans="1:18">
      <c r="A405" s="246"/>
      <c r="B405" s="265">
        <v>0</v>
      </c>
      <c r="C405" s="680" t="s">
        <v>649</v>
      </c>
      <c r="D405" s="266" t="str">
        <f>" - "&amp;'Giá VL'!E47</f>
        <v xml:space="preserve"> - Đá 9,5÷12,5 (mm)</v>
      </c>
      <c r="E405" s="265" t="str">
        <f>'Giá VL'!F47</f>
        <v>m3</v>
      </c>
      <c r="F405" s="267">
        <v>0</v>
      </c>
      <c r="G405" s="268">
        <v>1.21</v>
      </c>
      <c r="H405" s="268">
        <f>'5.Tiên lượng'!V115</f>
        <v>1</v>
      </c>
      <c r="I405" s="268">
        <f>PRODUCT(F402,G405,H405)</f>
        <v>129.42486700000001</v>
      </c>
      <c r="J405" s="283">
        <f>'Giá VL'!G47</f>
        <v>160000</v>
      </c>
      <c r="K405" s="283">
        <f t="shared" si="162"/>
        <v>193600</v>
      </c>
      <c r="L405" s="283">
        <f>'Giá VL'!J47</f>
        <v>210000</v>
      </c>
      <c r="M405" s="284">
        <f t="shared" si="163"/>
        <v>254100</v>
      </c>
      <c r="N405" s="284">
        <v>0</v>
      </c>
      <c r="O405" s="284">
        <v>0</v>
      </c>
      <c r="P405" s="284">
        <f>'Giá VL'!V47</f>
        <v>280458.0547558713</v>
      </c>
      <c r="Q405" s="284">
        <f t="shared" si="164"/>
        <v>339354.24625460425</v>
      </c>
      <c r="R405" s="287">
        <v>0</v>
      </c>
    </row>
    <row r="406" spans="1:18">
      <c r="A406" s="246"/>
      <c r="B406" s="265">
        <v>0</v>
      </c>
      <c r="C406" s="680" t="s">
        <v>650</v>
      </c>
      <c r="D406" s="266" t="str">
        <f>" - "&amp;'Giá VL'!E48</f>
        <v xml:space="preserve"> - Đá 12,5÷19 (mm)</v>
      </c>
      <c r="E406" s="265" t="str">
        <f>'Giá VL'!F48</f>
        <v>m3</v>
      </c>
      <c r="F406" s="267">
        <v>0</v>
      </c>
      <c r="G406" s="268">
        <v>2.0099999999999998</v>
      </c>
      <c r="H406" s="268">
        <f>'5.Tiên lượng'!V115</f>
        <v>1</v>
      </c>
      <c r="I406" s="268">
        <f>PRODUCT(F402,G406,H406)</f>
        <v>214.99502699999996</v>
      </c>
      <c r="J406" s="283">
        <f>'Giá VL'!G48</f>
        <v>160000</v>
      </c>
      <c r="K406" s="283">
        <f t="shared" si="162"/>
        <v>321599.99999999994</v>
      </c>
      <c r="L406" s="283">
        <f>'Giá VL'!J48</f>
        <v>210000</v>
      </c>
      <c r="M406" s="284">
        <f t="shared" si="163"/>
        <v>422099.99999999994</v>
      </c>
      <c r="N406" s="284">
        <v>0</v>
      </c>
      <c r="O406" s="284">
        <v>0</v>
      </c>
      <c r="P406" s="284">
        <f>'Giá VL'!V48</f>
        <v>280458.0547558713</v>
      </c>
      <c r="Q406" s="284">
        <f t="shared" si="164"/>
        <v>563720.69005930121</v>
      </c>
      <c r="R406" s="287">
        <v>0</v>
      </c>
    </row>
    <row r="407" spans="1:18">
      <c r="A407" s="246"/>
      <c r="B407" s="265">
        <v>0</v>
      </c>
      <c r="C407" s="680" t="s">
        <v>646</v>
      </c>
      <c r="D407" s="266" t="str">
        <f>" - "&amp;'Giá VL'!E32</f>
        <v xml:space="preserve"> - Nhựa nhũ tương gốc axít 60%</v>
      </c>
      <c r="E407" s="265" t="str">
        <f>'Giá VL'!F32</f>
        <v>kg</v>
      </c>
      <c r="F407" s="267">
        <v>0</v>
      </c>
      <c r="G407" s="268">
        <v>472.5</v>
      </c>
      <c r="H407" s="268">
        <f>'5.Tiên lượng'!V115</f>
        <v>1</v>
      </c>
      <c r="I407" s="268">
        <f>PRODUCT(F402,G407,H407)</f>
        <v>50539.875749999999</v>
      </c>
      <c r="J407" s="283">
        <f>'Giá VL'!G32</f>
        <v>13600</v>
      </c>
      <c r="K407" s="283">
        <f t="shared" si="162"/>
        <v>6426000</v>
      </c>
      <c r="L407" s="283">
        <f>'Giá VL'!J32</f>
        <v>13600</v>
      </c>
      <c r="M407" s="284">
        <f t="shared" si="163"/>
        <v>6426000</v>
      </c>
      <c r="N407" s="284">
        <v>0</v>
      </c>
      <c r="O407" s="284">
        <v>0</v>
      </c>
      <c r="P407" s="284">
        <f>'Giá VL'!V32</f>
        <v>13717.500872863939</v>
      </c>
      <c r="Q407" s="284">
        <f t="shared" si="164"/>
        <v>6481519.1624282114</v>
      </c>
      <c r="R407" s="287">
        <v>0</v>
      </c>
    </row>
    <row r="408" spans="1:18">
      <c r="A408" s="240"/>
      <c r="B408" s="260">
        <v>0</v>
      </c>
      <c r="C408" s="261" t="s">
        <v>590</v>
      </c>
      <c r="D408" s="262" t="s">
        <v>265</v>
      </c>
      <c r="E408" s="260"/>
      <c r="F408" s="263">
        <v>0</v>
      </c>
      <c r="G408" s="264">
        <v>0</v>
      </c>
      <c r="H408" s="264"/>
      <c r="I408" s="264">
        <v>0</v>
      </c>
      <c r="J408" s="281">
        <v>0</v>
      </c>
      <c r="K408" s="281">
        <f>SUM(K409:K409)</f>
        <v>1067040</v>
      </c>
      <c r="L408" s="281">
        <v>0</v>
      </c>
      <c r="M408" s="282">
        <f>SUM(M409:M409)</f>
        <v>1166400</v>
      </c>
      <c r="N408" s="282">
        <v>0</v>
      </c>
      <c r="O408" s="282">
        <v>0</v>
      </c>
      <c r="P408" s="282">
        <v>0</v>
      </c>
      <c r="Q408" s="282">
        <f>SUM(Q409:Q409)</f>
        <v>1166400</v>
      </c>
      <c r="R408" s="287">
        <v>0</v>
      </c>
    </row>
    <row r="409" spans="1:18">
      <c r="A409" s="246"/>
      <c r="B409" s="265">
        <v>0</v>
      </c>
      <c r="C409" s="680" t="s">
        <v>622</v>
      </c>
      <c r="D409" s="266" t="str">
        <f>" - "&amp;'Giá NC'!E9</f>
        <v xml:space="preserve"> - Nhân công bậc 3,5/7 - Nhóm 2</v>
      </c>
      <c r="E409" s="265" t="str">
        <f>'Giá NC'!F9</f>
        <v>công</v>
      </c>
      <c r="F409" s="267">
        <v>0</v>
      </c>
      <c r="G409" s="268">
        <v>4.32</v>
      </c>
      <c r="H409" s="268">
        <f>'5.Tiên lượng'!W115</f>
        <v>1</v>
      </c>
      <c r="I409" s="268">
        <f>PRODUCT(F402,G409,H409)</f>
        <v>462.07886400000001</v>
      </c>
      <c r="J409" s="283">
        <f>'Giá NC'!G9</f>
        <v>247000</v>
      </c>
      <c r="K409" s="283">
        <f>PRODUCT(G409,H409,J409)</f>
        <v>1067040</v>
      </c>
      <c r="L409" s="283">
        <f>'Giá NC'!H9</f>
        <v>270000</v>
      </c>
      <c r="M409" s="284">
        <f>PRODUCT(G409,H409,L409)</f>
        <v>1166400</v>
      </c>
      <c r="N409" s="284">
        <v>0</v>
      </c>
      <c r="O409" s="284">
        <v>0</v>
      </c>
      <c r="P409" s="284">
        <f>'Giá NC'!K9</f>
        <v>270000</v>
      </c>
      <c r="Q409" s="284">
        <f>PRODUCT(G409,H409,P409)</f>
        <v>1166400</v>
      </c>
      <c r="R409" s="287">
        <v>0</v>
      </c>
    </row>
    <row r="410" spans="1:18">
      <c r="A410" s="240"/>
      <c r="B410" s="260">
        <v>0</v>
      </c>
      <c r="C410" s="261" t="s">
        <v>590</v>
      </c>
      <c r="D410" s="262" t="s">
        <v>267</v>
      </c>
      <c r="E410" s="260"/>
      <c r="F410" s="263">
        <v>0</v>
      </c>
      <c r="G410" s="264">
        <v>0</v>
      </c>
      <c r="H410" s="264"/>
      <c r="I410" s="264">
        <v>0</v>
      </c>
      <c r="J410" s="281">
        <v>0</v>
      </c>
      <c r="K410" s="281">
        <f>SUM(K411:K414)</f>
        <v>800277.14898553921</v>
      </c>
      <c r="L410" s="281">
        <v>0</v>
      </c>
      <c r="M410" s="282">
        <f>SUM(M411:M414)</f>
        <v>871227.73800000001</v>
      </c>
      <c r="N410" s="282">
        <v>0</v>
      </c>
      <c r="O410" s="282">
        <v>0</v>
      </c>
      <c r="P410" s="282">
        <v>0</v>
      </c>
      <c r="Q410" s="282">
        <f>SUM(Q411:Q414)</f>
        <v>821220.38320153835</v>
      </c>
      <c r="R410" s="287">
        <v>0</v>
      </c>
    </row>
    <row r="411" spans="1:18">
      <c r="A411" s="246"/>
      <c r="B411" s="265">
        <v>0</v>
      </c>
      <c r="C411" s="680" t="s">
        <v>651</v>
      </c>
      <c r="D411" s="266" t="str">
        <f>" - "&amp;'Giá Máy'!E39</f>
        <v xml:space="preserve"> - Máy lu bánh thép tự hành 8,5T</v>
      </c>
      <c r="E411" s="265" t="str">
        <f>'Giá Máy'!F39</f>
        <v>ca</v>
      </c>
      <c r="F411" s="267">
        <v>0</v>
      </c>
      <c r="G411" s="268">
        <v>0.25800000000000001</v>
      </c>
      <c r="H411" s="268">
        <f>'5.Tiên lượng'!X115</f>
        <v>1</v>
      </c>
      <c r="I411" s="268">
        <f>PRODUCT(F402,G411,H411)</f>
        <v>27.596376599999999</v>
      </c>
      <c r="J411" s="283">
        <f>'Giá Máy'!G39</f>
        <v>965860.19200000004</v>
      </c>
      <c r="K411" s="283">
        <f t="shared" ref="K411:K414" si="165">PRODUCT(G411,H411,J411)</f>
        <v>249191.92953600001</v>
      </c>
      <c r="L411" s="283">
        <f>'Giá Máy'!H39</f>
        <v>1057100</v>
      </c>
      <c r="M411" s="284">
        <f t="shared" ref="M411:M414" si="166">PRODUCT(G411,H411,L411)</f>
        <v>272731.8</v>
      </c>
      <c r="N411" s="284">
        <v>0</v>
      </c>
      <c r="O411" s="284">
        <v>0</v>
      </c>
      <c r="P411" s="284">
        <f>'Giá Máy'!O39</f>
        <v>1009475.96</v>
      </c>
      <c r="Q411" s="284">
        <f t="shared" ref="Q411:Q414" si="167">PRODUCT(G411,H411,P411)</f>
        <v>260444.79767999999</v>
      </c>
      <c r="R411" s="287">
        <v>0</v>
      </c>
    </row>
    <row r="412" spans="1:18">
      <c r="A412" s="246"/>
      <c r="B412" s="265">
        <v>0</v>
      </c>
      <c r="C412" s="680" t="s">
        <v>647</v>
      </c>
      <c r="D412" s="266" t="str">
        <f>" - "&amp;'Giá Máy'!E23</f>
        <v xml:space="preserve"> - Máy phun nhựa đường 190CV</v>
      </c>
      <c r="E412" s="265" t="str">
        <f>'Giá Máy'!F23</f>
        <v>ca</v>
      </c>
      <c r="F412" s="267">
        <v>0</v>
      </c>
      <c r="G412" s="268">
        <v>0.126</v>
      </c>
      <c r="H412" s="268">
        <f>'5.Tiên lượng'!X115</f>
        <v>1</v>
      </c>
      <c r="I412" s="268">
        <f>PRODUCT(F402,G412,H412)</f>
        <v>13.4773002</v>
      </c>
      <c r="J412" s="283">
        <f>'Giá Máy'!G23</f>
        <v>2914031.0426666699</v>
      </c>
      <c r="K412" s="283">
        <f t="shared" si="165"/>
        <v>367167.91137600044</v>
      </c>
      <c r="L412" s="283">
        <f>'Giá Máy'!H23</f>
        <v>3130727</v>
      </c>
      <c r="M412" s="284">
        <f t="shared" si="166"/>
        <v>394471.60200000001</v>
      </c>
      <c r="N412" s="284">
        <v>0</v>
      </c>
      <c r="O412" s="284">
        <v>0</v>
      </c>
      <c r="P412" s="284">
        <f>'Giá Máy'!O23</f>
        <v>2958321.8666666662</v>
      </c>
      <c r="Q412" s="284">
        <f t="shared" si="167"/>
        <v>372748.55519999994</v>
      </c>
      <c r="R412" s="287">
        <v>0</v>
      </c>
    </row>
    <row r="413" spans="1:18">
      <c r="A413" s="251"/>
      <c r="B413" s="269">
        <v>0</v>
      </c>
      <c r="C413" s="681" t="s">
        <v>652</v>
      </c>
      <c r="D413" s="270" t="str">
        <f>" - "&amp;'Giá Máy'!E32</f>
        <v xml:space="preserve"> - Ô tô tự đổ 5T</v>
      </c>
      <c r="E413" s="269" t="str">
        <f>'Giá Máy'!F32</f>
        <v>ca</v>
      </c>
      <c r="F413" s="271">
        <v>0</v>
      </c>
      <c r="G413" s="272">
        <v>0.129</v>
      </c>
      <c r="H413" s="272">
        <f>'5.Tiên lượng'!X115</f>
        <v>1</v>
      </c>
      <c r="I413" s="272">
        <f>PRODUCT(F402,G413,H413)</f>
        <v>13.7981883</v>
      </c>
      <c r="J413" s="285">
        <f>'Giá Máy'!G32</f>
        <v>1425715.5664615401</v>
      </c>
      <c r="K413" s="285">
        <f t="shared" si="165"/>
        <v>183917.30807353868</v>
      </c>
      <c r="L413" s="285">
        <f>'Giá Máy'!H32</f>
        <v>1581584</v>
      </c>
      <c r="M413" s="286">
        <f t="shared" si="166"/>
        <v>204024.33600000001</v>
      </c>
      <c r="N413" s="286">
        <v>0</v>
      </c>
      <c r="O413" s="286">
        <v>0</v>
      </c>
      <c r="P413" s="286">
        <f>'Giá Máy'!O32</f>
        <v>1457573.8784615383</v>
      </c>
      <c r="Q413" s="286">
        <f t="shared" si="167"/>
        <v>188027.03032153845</v>
      </c>
      <c r="R413" s="288">
        <v>0</v>
      </c>
    </row>
    <row r="414" spans="1:18">
      <c r="A414" s="229"/>
      <c r="B414" s="289">
        <v>0</v>
      </c>
      <c r="C414" s="682" t="s">
        <v>339</v>
      </c>
      <c r="D414" s="290" t="s">
        <v>1075</v>
      </c>
      <c r="E414" s="289"/>
      <c r="F414" s="291">
        <v>0</v>
      </c>
      <c r="G414" s="292">
        <v>0</v>
      </c>
      <c r="H414" s="292">
        <f>'5.Tiên lượng'!X115</f>
        <v>1</v>
      </c>
      <c r="I414" s="292">
        <f>PRODUCT(F402,G414,H414)</f>
        <v>0</v>
      </c>
      <c r="J414" s="293">
        <v>0</v>
      </c>
      <c r="K414" s="294">
        <f t="shared" si="165"/>
        <v>0</v>
      </c>
      <c r="L414" s="294">
        <v>0</v>
      </c>
      <c r="M414" s="295">
        <f t="shared" si="166"/>
        <v>0</v>
      </c>
      <c r="N414" s="295">
        <v>0</v>
      </c>
      <c r="O414" s="295">
        <v>0</v>
      </c>
      <c r="P414" s="295">
        <v>0</v>
      </c>
      <c r="Q414" s="295">
        <f t="shared" si="167"/>
        <v>0</v>
      </c>
      <c r="R414" s="146">
        <v>0</v>
      </c>
    </row>
    <row r="415" spans="1:18" ht="41.4">
      <c r="A415" s="234"/>
      <c r="B415" s="256">
        <v>48</v>
      </c>
      <c r="C415" s="234" t="str">
        <f>'5.Tiên lượng'!C118</f>
        <v>LS.11110(ĐM.1322)</v>
      </c>
      <c r="D415" s="257" t="str">
        <f>'5.Tiên lượng'!D118</f>
        <v>Cào bóc tái sinh nguội tại chỗ bằng máy cào bóc tái sinh WR2400 trên mặt đường láng nhựa, chiều dày 18cm (4% xi măng rải thủ công)</v>
      </c>
      <c r="E415" s="256" t="str">
        <f>'5.Tiên lượng'!E118</f>
        <v>100m3</v>
      </c>
      <c r="F415" s="258">
        <f>'5.Tiên lượng'!M118</f>
        <v>0.2389</v>
      </c>
      <c r="G415" s="259">
        <v>0</v>
      </c>
      <c r="H415" s="259">
        <v>0</v>
      </c>
      <c r="I415" s="259">
        <v>0</v>
      </c>
      <c r="J415" s="279">
        <v>0</v>
      </c>
      <c r="K415" s="279">
        <v>0</v>
      </c>
      <c r="L415" s="279">
        <v>0</v>
      </c>
      <c r="M415" s="280">
        <v>0</v>
      </c>
      <c r="N415" s="280">
        <v>0</v>
      </c>
      <c r="O415" s="280">
        <v>0</v>
      </c>
      <c r="P415" s="280">
        <v>0</v>
      </c>
      <c r="Q415" s="280">
        <v>0</v>
      </c>
      <c r="R415" s="222">
        <v>0</v>
      </c>
    </row>
    <row r="416" spans="1:18">
      <c r="A416" s="240"/>
      <c r="B416" s="260">
        <v>0</v>
      </c>
      <c r="C416" s="261" t="s">
        <v>590</v>
      </c>
      <c r="D416" s="262" t="s">
        <v>262</v>
      </c>
      <c r="E416" s="260"/>
      <c r="F416" s="263">
        <v>0</v>
      </c>
      <c r="G416" s="264">
        <v>0</v>
      </c>
      <c r="H416" s="264"/>
      <c r="I416" s="264">
        <v>0</v>
      </c>
      <c r="J416" s="281">
        <v>0</v>
      </c>
      <c r="K416" s="281">
        <f>SUM(K417:K420)</f>
        <v>16295224.859999999</v>
      </c>
      <c r="L416" s="281">
        <v>0</v>
      </c>
      <c r="M416" s="282">
        <f>SUM(M417:M420)</f>
        <v>18169355.609999999</v>
      </c>
      <c r="N416" s="282">
        <v>0</v>
      </c>
      <c r="O416" s="282">
        <v>0</v>
      </c>
      <c r="P416" s="282">
        <v>0</v>
      </c>
      <c r="Q416" s="282">
        <f>SUM(Q417:Q420)</f>
        <v>19188881.861584913</v>
      </c>
      <c r="R416" s="287">
        <v>0</v>
      </c>
    </row>
    <row r="417" spans="1:18">
      <c r="A417" s="246"/>
      <c r="B417" s="265">
        <v>0</v>
      </c>
      <c r="C417" s="680" t="s">
        <v>614</v>
      </c>
      <c r="D417" s="266" t="str">
        <f>" - "&amp;'Giá VL'!E45</f>
        <v xml:space="preserve"> - Xi măng PCB40</v>
      </c>
      <c r="E417" s="265" t="str">
        <f>'Giá VL'!F45</f>
        <v>kg</v>
      </c>
      <c r="F417" s="267">
        <v>0</v>
      </c>
      <c r="G417" s="268">
        <v>8247</v>
      </c>
      <c r="H417" s="268">
        <f>'5.Tiên lượng'!V118</f>
        <v>0.9</v>
      </c>
      <c r="I417" s="268">
        <f>PRODUCT(F415,G417,H417)</f>
        <v>1773.1874700000001</v>
      </c>
      <c r="J417" s="283">
        <f>'Giá VL'!G45</f>
        <v>1350</v>
      </c>
      <c r="K417" s="283">
        <f t="shared" ref="K417:K420" si="168">PRODUCT(G417,H417,J417)</f>
        <v>10020105</v>
      </c>
      <c r="L417" s="283">
        <f>'Giá VL'!J45</f>
        <v>1600</v>
      </c>
      <c r="M417" s="284">
        <f t="shared" ref="M417:M420" si="169">PRODUCT(G417,H417,L417)</f>
        <v>11875680</v>
      </c>
      <c r="N417" s="284">
        <v>0</v>
      </c>
      <c r="O417" s="284">
        <v>0</v>
      </c>
      <c r="P417" s="284">
        <f>'Giá VL'!V45</f>
        <v>1730</v>
      </c>
      <c r="Q417" s="284">
        <f t="shared" ref="Q417:Q420" si="170">PRODUCT(G417,H417,P417)</f>
        <v>12840579</v>
      </c>
      <c r="R417" s="287">
        <v>1</v>
      </c>
    </row>
    <row r="418" spans="1:18">
      <c r="A418" s="246"/>
      <c r="B418" s="265">
        <v>0</v>
      </c>
      <c r="C418" s="680" t="s">
        <v>617</v>
      </c>
      <c r="D418" s="266" t="str">
        <f>" - "&amp;'Giá VL'!E33</f>
        <v xml:space="preserve"> - Nước</v>
      </c>
      <c r="E418" s="265" t="str">
        <f>'Giá VL'!F33</f>
        <v>lít</v>
      </c>
      <c r="F418" s="267">
        <v>0</v>
      </c>
      <c r="G418" s="268">
        <v>12918</v>
      </c>
      <c r="H418" s="268">
        <f>'5.Tiên lượng'!V118</f>
        <v>0.9</v>
      </c>
      <c r="I418" s="268">
        <f>PRODUCT(F415,G418,H418)</f>
        <v>2777.4991800000003</v>
      </c>
      <c r="J418" s="283">
        <f>'Giá VL'!G33</f>
        <v>15</v>
      </c>
      <c r="K418" s="283">
        <f t="shared" si="168"/>
        <v>174393</v>
      </c>
      <c r="L418" s="283">
        <f>'Giá VL'!J33</f>
        <v>15</v>
      </c>
      <c r="M418" s="284">
        <f t="shared" si="169"/>
        <v>174393</v>
      </c>
      <c r="N418" s="284">
        <v>0</v>
      </c>
      <c r="O418" s="284">
        <v>0</v>
      </c>
      <c r="P418" s="284">
        <f>'Giá VL'!V33</f>
        <v>15</v>
      </c>
      <c r="Q418" s="284">
        <f t="shared" si="170"/>
        <v>174393</v>
      </c>
      <c r="R418" s="287">
        <v>1</v>
      </c>
    </row>
    <row r="419" spans="1:18">
      <c r="A419" s="246"/>
      <c r="B419" s="265">
        <v>0</v>
      </c>
      <c r="C419" s="680" t="s">
        <v>639</v>
      </c>
      <c r="D419" s="266" t="str">
        <f>" - "&amp;'Giá VL'!E36</f>
        <v xml:space="preserve"> - Phụ gia chống trương nở đất TS</v>
      </c>
      <c r="E419" s="265" t="str">
        <f>'Giá VL'!F36</f>
        <v>kg</v>
      </c>
      <c r="F419" s="267">
        <v>0</v>
      </c>
      <c r="G419" s="268">
        <v>280</v>
      </c>
      <c r="H419" s="268">
        <f>'5.Tiên lượng'!V118</f>
        <v>0.9</v>
      </c>
      <c r="I419" s="268">
        <f>PRODUCT(F415,G419,H419)</f>
        <v>60.202799999999996</v>
      </c>
      <c r="J419" s="283">
        <f>'Giá VL'!G36</f>
        <v>23569</v>
      </c>
      <c r="K419" s="283">
        <f t="shared" si="168"/>
        <v>5939388</v>
      </c>
      <c r="L419" s="283">
        <f>'Giá VL'!J36</f>
        <v>23569</v>
      </c>
      <c r="M419" s="284">
        <f t="shared" si="169"/>
        <v>5939388</v>
      </c>
      <c r="N419" s="284">
        <v>0</v>
      </c>
      <c r="O419" s="284">
        <v>0</v>
      </c>
      <c r="P419" s="284">
        <f>'Giá VL'!V36</f>
        <v>23745.717985167823</v>
      </c>
      <c r="Q419" s="284">
        <f t="shared" si="170"/>
        <v>5983920.9322622912</v>
      </c>
      <c r="R419" s="287">
        <v>1</v>
      </c>
    </row>
    <row r="420" spans="1:18">
      <c r="A420" s="246"/>
      <c r="B420" s="265">
        <v>0</v>
      </c>
      <c r="C420" s="680" t="s">
        <v>620</v>
      </c>
      <c r="D420" s="266" t="s">
        <v>621</v>
      </c>
      <c r="E420" s="265" t="s">
        <v>37</v>
      </c>
      <c r="F420" s="267">
        <v>0</v>
      </c>
      <c r="G420" s="268">
        <f>AVERAGE(R417:R419)</f>
        <v>1</v>
      </c>
      <c r="H420" s="268">
        <f>'5.Tiên lượng'!V118</f>
        <v>0.9</v>
      </c>
      <c r="I420" s="268">
        <f>PRODUCT(F415,G420,H420)</f>
        <v>0.21501000000000001</v>
      </c>
      <c r="J420" s="283">
        <f>(G417*J417+G418*J418+G419*J419)/100</f>
        <v>179265.4</v>
      </c>
      <c r="K420" s="283">
        <f t="shared" si="168"/>
        <v>161338.85999999999</v>
      </c>
      <c r="L420" s="283">
        <f>(G417*L417+G418*L418+G419*L419)/100</f>
        <v>199882.9</v>
      </c>
      <c r="M420" s="284">
        <f t="shared" si="169"/>
        <v>179894.61</v>
      </c>
      <c r="N420" s="284">
        <v>0</v>
      </c>
      <c r="O420" s="284">
        <v>0</v>
      </c>
      <c r="P420" s="284">
        <f>(G417*P417+G418*P418+G419*P419)/100</f>
        <v>211098.8103584699</v>
      </c>
      <c r="Q420" s="284">
        <f t="shared" si="170"/>
        <v>189988.92932262292</v>
      </c>
      <c r="R420" s="287">
        <v>0</v>
      </c>
    </row>
    <row r="421" spans="1:18">
      <c r="A421" s="240"/>
      <c r="B421" s="260">
        <v>0</v>
      </c>
      <c r="C421" s="261" t="s">
        <v>590</v>
      </c>
      <c r="D421" s="262" t="s">
        <v>265</v>
      </c>
      <c r="E421" s="260"/>
      <c r="F421" s="263">
        <v>0</v>
      </c>
      <c r="G421" s="264">
        <v>0</v>
      </c>
      <c r="H421" s="264"/>
      <c r="I421" s="264">
        <v>0</v>
      </c>
      <c r="J421" s="281">
        <v>0</v>
      </c>
      <c r="K421" s="281">
        <f>SUM(K422:K423)</f>
        <v>2307147.9750000001</v>
      </c>
      <c r="L421" s="281">
        <v>0</v>
      </c>
      <c r="M421" s="282">
        <f>SUM(M422:M423)</f>
        <v>2466402.8760000002</v>
      </c>
      <c r="N421" s="282">
        <v>0</v>
      </c>
      <c r="O421" s="282">
        <v>0</v>
      </c>
      <c r="P421" s="282">
        <v>0</v>
      </c>
      <c r="Q421" s="282">
        <f>SUM(Q422:Q423)</f>
        <v>2466402.8760000002</v>
      </c>
      <c r="R421" s="287">
        <v>0</v>
      </c>
    </row>
    <row r="422" spans="1:18">
      <c r="A422" s="246"/>
      <c r="B422" s="265">
        <v>0</v>
      </c>
      <c r="C422" s="680" t="s">
        <v>629</v>
      </c>
      <c r="D422" s="266" t="str">
        <f>" - "&amp;'Giá NC'!E10</f>
        <v xml:space="preserve"> - Nhân công bậc 4,0/7 - Nhóm 2</v>
      </c>
      <c r="E422" s="265" t="str">
        <f>'Giá NC'!F10</f>
        <v>công</v>
      </c>
      <c r="F422" s="267">
        <v>0</v>
      </c>
      <c r="G422" s="268">
        <v>4.67</v>
      </c>
      <c r="H422" s="268">
        <f>'5.Tiên lượng'!W118</f>
        <v>0.9</v>
      </c>
      <c r="I422" s="268">
        <f>PRODUCT(F415,G422,H422)</f>
        <v>1.0040967000000001</v>
      </c>
      <c r="J422" s="283">
        <f>'Giá NC'!G10</f>
        <v>268125</v>
      </c>
      <c r="K422" s="283">
        <f t="shared" ref="K422:K423" si="171">PRODUCT(G422,H422,J422)</f>
        <v>1126929.375</v>
      </c>
      <c r="L422" s="283">
        <f>'Giá NC'!H10</f>
        <v>293092</v>
      </c>
      <c r="M422" s="284">
        <f t="shared" ref="M422:M423" si="172">PRODUCT(G422,H422,L422)</f>
        <v>1231865.676</v>
      </c>
      <c r="N422" s="284">
        <v>0</v>
      </c>
      <c r="O422" s="284">
        <v>0</v>
      </c>
      <c r="P422" s="284">
        <f>'Giá NC'!K10</f>
        <v>293092</v>
      </c>
      <c r="Q422" s="284">
        <f t="shared" ref="Q422:Q423" si="173">PRODUCT(G422,H422,P422)</f>
        <v>1231865.676</v>
      </c>
      <c r="R422" s="287">
        <v>0</v>
      </c>
    </row>
    <row r="423" spans="1:18">
      <c r="A423" s="246"/>
      <c r="B423" s="265">
        <v>0</v>
      </c>
      <c r="C423" s="680" t="s">
        <v>598</v>
      </c>
      <c r="D423" s="266" t="str">
        <f>" - "&amp;'Giá NC'!E5</f>
        <v xml:space="preserve"> - Nhân công bậc 3,0/7 - Nhóm 1</v>
      </c>
      <c r="E423" s="265" t="str">
        <f>'Giá NC'!F5</f>
        <v>công</v>
      </c>
      <c r="F423" s="267">
        <v>0</v>
      </c>
      <c r="G423" s="268">
        <v>6</v>
      </c>
      <c r="H423" s="268">
        <f>'5.Tiên lượng'!W118</f>
        <v>0.9</v>
      </c>
      <c r="I423" s="268">
        <f>PRODUCT(F415,G423,H423)</f>
        <v>1.29006</v>
      </c>
      <c r="J423" s="283">
        <f>'Giá NC'!G5</f>
        <v>218559</v>
      </c>
      <c r="K423" s="283">
        <f t="shared" si="171"/>
        <v>1180218.6000000001</v>
      </c>
      <c r="L423" s="283">
        <f>'Giá NC'!H5</f>
        <v>228618</v>
      </c>
      <c r="M423" s="284">
        <f t="shared" si="172"/>
        <v>1234537.2000000002</v>
      </c>
      <c r="N423" s="284">
        <v>0</v>
      </c>
      <c r="O423" s="284">
        <v>0</v>
      </c>
      <c r="P423" s="284">
        <f>'Giá NC'!K5</f>
        <v>228618</v>
      </c>
      <c r="Q423" s="284">
        <f t="shared" si="173"/>
        <v>1234537.2000000002</v>
      </c>
      <c r="R423" s="287">
        <v>0</v>
      </c>
    </row>
    <row r="424" spans="1:18">
      <c r="A424" s="240"/>
      <c r="B424" s="260">
        <v>0</v>
      </c>
      <c r="C424" s="261" t="s">
        <v>590</v>
      </c>
      <c r="D424" s="262" t="s">
        <v>267</v>
      </c>
      <c r="E424" s="260"/>
      <c r="F424" s="263">
        <v>0</v>
      </c>
      <c r="G424" s="264">
        <v>0</v>
      </c>
      <c r="H424" s="264"/>
      <c r="I424" s="264">
        <v>0</v>
      </c>
      <c r="J424" s="281">
        <v>0</v>
      </c>
      <c r="K424" s="281">
        <f>SUM(K425:K433)</f>
        <v>15269702.095626252</v>
      </c>
      <c r="L424" s="281">
        <v>0</v>
      </c>
      <c r="M424" s="282">
        <f>SUM(M425:M433)</f>
        <v>15544311.345009821</v>
      </c>
      <c r="N424" s="282">
        <v>0</v>
      </c>
      <c r="O424" s="282">
        <v>0</v>
      </c>
      <c r="P424" s="282">
        <v>0</v>
      </c>
      <c r="Q424" s="282">
        <f>SUM(Q425:Q433)</f>
        <v>15451394.796850516</v>
      </c>
      <c r="R424" s="287">
        <v>0</v>
      </c>
    </row>
    <row r="425" spans="1:18">
      <c r="A425" s="246"/>
      <c r="B425" s="265">
        <v>0</v>
      </c>
      <c r="C425" s="680" t="s">
        <v>640</v>
      </c>
      <c r="D425" s="266" t="str">
        <f>" - "&amp;'Giá Máy'!E35</f>
        <v xml:space="preserve"> - Máy cào bóc tái sinh Wirtgen 2400</v>
      </c>
      <c r="E425" s="265" t="str">
        <f>'Giá Máy'!F35</f>
        <v>ca</v>
      </c>
      <c r="F425" s="267">
        <v>0</v>
      </c>
      <c r="G425" s="268">
        <v>0.32400000000000001</v>
      </c>
      <c r="H425" s="268">
        <f>'5.Tiên lượng'!X118</f>
        <v>0.9</v>
      </c>
      <c r="I425" s="268">
        <f>PRODUCT(F415,G425,H425)</f>
        <v>6.9663240000000001E-2</v>
      </c>
      <c r="J425" s="283">
        <f>'Giá Máy'!G35</f>
        <v>40653159.719999999</v>
      </c>
      <c r="K425" s="283">
        <f t="shared" ref="K425:K433" si="174">PRODUCT(G425,H425,J425)</f>
        <v>11854461.374352001</v>
      </c>
      <c r="L425" s="283">
        <f>'Giá Máy'!H35</f>
        <v>41945728</v>
      </c>
      <c r="M425" s="284">
        <f t="shared" ref="M425:M433" si="175">PRODUCT(G425,H425,L425)</f>
        <v>12231374.2848</v>
      </c>
      <c r="N425" s="284">
        <v>0</v>
      </c>
      <c r="O425" s="284">
        <v>0</v>
      </c>
      <c r="P425" s="284">
        <f>'Giá Máy'!O35</f>
        <v>40942317.600000001</v>
      </c>
      <c r="Q425" s="284">
        <f t="shared" ref="Q425:Q433" si="176">PRODUCT(G425,H425,P425)</f>
        <v>11938779.812160002</v>
      </c>
      <c r="R425" s="287">
        <v>0.72727272727272696</v>
      </c>
    </row>
    <row r="426" spans="1:18">
      <c r="A426" s="246"/>
      <c r="B426" s="265">
        <v>0</v>
      </c>
      <c r="C426" s="680" t="s">
        <v>641</v>
      </c>
      <c r="D426" s="266" t="str">
        <f>" - "&amp;'Giá Máy'!E43</f>
        <v xml:space="preserve"> - Máy rải xi măng SW16TC (16m3)</v>
      </c>
      <c r="E426" s="265" t="str">
        <f>'Giá Máy'!F43</f>
        <v>ca</v>
      </c>
      <c r="F426" s="267">
        <v>0</v>
      </c>
      <c r="G426" s="268">
        <v>0</v>
      </c>
      <c r="H426" s="268">
        <f>'5.Tiên lượng'!X118</f>
        <v>0.9</v>
      </c>
      <c r="I426" s="268">
        <f>PRODUCT(F415,G426,H426)</f>
        <v>0</v>
      </c>
      <c r="J426" s="283">
        <f>'Giá Máy'!G43</f>
        <v>10247292.844888899</v>
      </c>
      <c r="K426" s="283">
        <f t="shared" si="174"/>
        <v>0</v>
      </c>
      <c r="L426" s="283">
        <f>'Giá Máy'!H43</f>
        <v>10463988</v>
      </c>
      <c r="M426" s="284">
        <f t="shared" si="175"/>
        <v>0</v>
      </c>
      <c r="N426" s="284">
        <v>0</v>
      </c>
      <c r="O426" s="284">
        <v>0</v>
      </c>
      <c r="P426" s="284">
        <f>'Giá Máy'!O43</f>
        <v>10312616.668888887</v>
      </c>
      <c r="Q426" s="284">
        <f t="shared" si="176"/>
        <v>0</v>
      </c>
      <c r="R426" s="287">
        <v>0.72727272727272696</v>
      </c>
    </row>
    <row r="427" spans="1:18">
      <c r="A427" s="246"/>
      <c r="B427" s="265">
        <v>0</v>
      </c>
      <c r="C427" s="680" t="s">
        <v>642</v>
      </c>
      <c r="D427" s="266" t="str">
        <f>" - "&amp;'Giá Máy'!E40</f>
        <v xml:space="preserve"> - Ô tô tưới nước 10m3</v>
      </c>
      <c r="E427" s="265" t="str">
        <f>'Giá Máy'!F40</f>
        <v>ca</v>
      </c>
      <c r="F427" s="267">
        <v>0</v>
      </c>
      <c r="G427" s="268">
        <v>0.63200000000000001</v>
      </c>
      <c r="H427" s="268">
        <f>'5.Tiên lượng'!X118</f>
        <v>0.9</v>
      </c>
      <c r="I427" s="268">
        <f>PRODUCT(F415,G427,H427)</f>
        <v>0.13588632</v>
      </c>
      <c r="J427" s="283">
        <f>'Giá Máy'!G40</f>
        <v>1468502.9323076899</v>
      </c>
      <c r="K427" s="283">
        <f t="shared" si="174"/>
        <v>835284.46789661399</v>
      </c>
      <c r="L427" s="283">
        <f>'Giá Máy'!H40</f>
        <v>1582553</v>
      </c>
      <c r="M427" s="284">
        <f t="shared" si="175"/>
        <v>900156.14639999997</v>
      </c>
      <c r="N427" s="284">
        <v>0</v>
      </c>
      <c r="O427" s="284">
        <v>0</v>
      </c>
      <c r="P427" s="284">
        <f>'Giá Máy'!O40</f>
        <v>1491813.8923076922</v>
      </c>
      <c r="Q427" s="284">
        <f t="shared" si="176"/>
        <v>848543.74194461526</v>
      </c>
      <c r="R427" s="287">
        <v>0.72727272727272696</v>
      </c>
    </row>
    <row r="428" spans="1:18">
      <c r="A428" s="246"/>
      <c r="B428" s="265">
        <v>0</v>
      </c>
      <c r="C428" s="680" t="s">
        <v>643</v>
      </c>
      <c r="D428" s="266" t="str">
        <f>" - "&amp;'Giá Máy'!E36</f>
        <v xml:space="preserve"> - Máy lu rung chân cừu 12T</v>
      </c>
      <c r="E428" s="265" t="str">
        <f>'Giá Máy'!F36</f>
        <v>ca</v>
      </c>
      <c r="F428" s="267">
        <v>0</v>
      </c>
      <c r="G428" s="268">
        <v>0.46600000000000003</v>
      </c>
      <c r="H428" s="268">
        <f>'5.Tiên lượng'!X118</f>
        <v>0.9</v>
      </c>
      <c r="I428" s="268">
        <f>PRODUCT(F415,G428,H428)</f>
        <v>0.10019466</v>
      </c>
      <c r="J428" s="283">
        <f>'Giá Máy'!G36</f>
        <v>1638784.24681481</v>
      </c>
      <c r="K428" s="283">
        <f t="shared" si="174"/>
        <v>687306.11311413138</v>
      </c>
      <c r="L428" s="283">
        <f>'Giá Máy'!H36</f>
        <v>1749033</v>
      </c>
      <c r="M428" s="284">
        <f t="shared" si="175"/>
        <v>733544.44020000007</v>
      </c>
      <c r="N428" s="284">
        <v>0</v>
      </c>
      <c r="O428" s="284">
        <v>0</v>
      </c>
      <c r="P428" s="284">
        <f>'Giá Máy'!O36</f>
        <v>1686285.1748148147</v>
      </c>
      <c r="Q428" s="284">
        <f t="shared" si="176"/>
        <v>707228.00231733336</v>
      </c>
      <c r="R428" s="287">
        <v>0.72727272727272696</v>
      </c>
    </row>
    <row r="429" spans="1:18">
      <c r="A429" s="246"/>
      <c r="B429" s="265">
        <v>0</v>
      </c>
      <c r="C429" s="680" t="s">
        <v>644</v>
      </c>
      <c r="D429" s="266" t="str">
        <f>" - "&amp;'Giá Máy'!E44</f>
        <v xml:space="preserve"> - Máy lu bánh thép tự hành 12T</v>
      </c>
      <c r="E429" s="265" t="str">
        <f>'Giá Máy'!F44</f>
        <v>ca</v>
      </c>
      <c r="F429" s="267">
        <v>0</v>
      </c>
      <c r="G429" s="268">
        <v>0.46100000000000002</v>
      </c>
      <c r="H429" s="268">
        <f>'5.Tiên lượng'!X118</f>
        <v>0.9</v>
      </c>
      <c r="I429" s="268">
        <f>PRODUCT(F415,G429,H429)</f>
        <v>9.9119610000000011E-2</v>
      </c>
      <c r="J429" s="283">
        <f>'Giá Máy'!G44</f>
        <v>1220464.9226666701</v>
      </c>
      <c r="K429" s="283">
        <f t="shared" si="174"/>
        <v>506370.89641440148</v>
      </c>
      <c r="L429" s="283">
        <f>'Giá Máy'!H44</f>
        <v>1342118</v>
      </c>
      <c r="M429" s="284">
        <f t="shared" si="175"/>
        <v>556844.75820000004</v>
      </c>
      <c r="N429" s="284">
        <v>0</v>
      </c>
      <c r="O429" s="284">
        <v>0</v>
      </c>
      <c r="P429" s="284">
        <f>'Giá Máy'!O44</f>
        <v>1270296.9466666668</v>
      </c>
      <c r="Q429" s="284">
        <f t="shared" si="176"/>
        <v>527046.20317200013</v>
      </c>
      <c r="R429" s="287">
        <v>0.72727272727272696</v>
      </c>
    </row>
    <row r="430" spans="1:18">
      <c r="A430" s="246"/>
      <c r="B430" s="265">
        <v>0</v>
      </c>
      <c r="C430" s="680" t="s">
        <v>609</v>
      </c>
      <c r="D430" s="266" t="str">
        <f>" - "&amp;'Giá Máy'!E17</f>
        <v xml:space="preserve"> - Máy lu bánh thép 10T</v>
      </c>
      <c r="E430" s="265" t="str">
        <f>'Giá Máy'!F17</f>
        <v>ca</v>
      </c>
      <c r="F430" s="267">
        <v>0</v>
      </c>
      <c r="G430" s="268">
        <v>0.35699999999999998</v>
      </c>
      <c r="H430" s="268">
        <f>'5.Tiên lượng'!X118</f>
        <v>0.9</v>
      </c>
      <c r="I430" s="268">
        <f>PRODUCT(F415,G430,H430)</f>
        <v>7.6758569999999998E-2</v>
      </c>
      <c r="J430" s="283">
        <f>'Giá Máy'!G17</f>
        <v>1086987.4154074099</v>
      </c>
      <c r="K430" s="283">
        <f t="shared" si="174"/>
        <v>349249.05657040077</v>
      </c>
      <c r="L430" s="283">
        <f>'Giá Máy'!H17</f>
        <v>0</v>
      </c>
      <c r="M430" s="284">
        <f t="shared" si="175"/>
        <v>0</v>
      </c>
      <c r="N430" s="284">
        <v>0</v>
      </c>
      <c r="O430" s="284">
        <v>0</v>
      </c>
      <c r="P430" s="284">
        <f>'Giá Máy'!O17</f>
        <v>1132157.2474074075</v>
      </c>
      <c r="Q430" s="284">
        <f t="shared" si="176"/>
        <v>363762.12359199999</v>
      </c>
      <c r="R430" s="287">
        <v>0.72727272727272696</v>
      </c>
    </row>
    <row r="431" spans="1:18">
      <c r="A431" s="246"/>
      <c r="B431" s="265">
        <v>0</v>
      </c>
      <c r="C431" s="680" t="s">
        <v>608</v>
      </c>
      <c r="D431" s="266" t="str">
        <f>" - "&amp;'Giá Máy'!E38</f>
        <v xml:space="preserve"> - Máy lu bánh hơi tự hành 16T</v>
      </c>
      <c r="E431" s="265" t="str">
        <f>'Giá Máy'!F38</f>
        <v>ca</v>
      </c>
      <c r="F431" s="267">
        <v>0</v>
      </c>
      <c r="G431" s="268">
        <v>0.47399999999999998</v>
      </c>
      <c r="H431" s="268">
        <f>'5.Tiên lượng'!X118</f>
        <v>0.9</v>
      </c>
      <c r="I431" s="268">
        <f>PRODUCT(F415,G431,H431)</f>
        <v>0.10191474</v>
      </c>
      <c r="J431" s="283">
        <f>'Giá Máy'!G38</f>
        <v>1498752.32622222</v>
      </c>
      <c r="K431" s="283">
        <f t="shared" si="174"/>
        <v>639367.74236639903</v>
      </c>
      <c r="L431" s="283">
        <f>'Giá Máy'!H38</f>
        <v>1643216</v>
      </c>
      <c r="M431" s="284">
        <f t="shared" si="175"/>
        <v>700995.94559999998</v>
      </c>
      <c r="N431" s="284">
        <v>0</v>
      </c>
      <c r="O431" s="284">
        <v>0</v>
      </c>
      <c r="P431" s="284">
        <f>'Giá Máy'!O38</f>
        <v>1553246.5422222223</v>
      </c>
      <c r="Q431" s="284">
        <f t="shared" si="176"/>
        <v>662614.97491200001</v>
      </c>
      <c r="R431" s="287">
        <v>0.72727272727272696</v>
      </c>
    </row>
    <row r="432" spans="1:18">
      <c r="A432" s="246"/>
      <c r="B432" s="265">
        <v>0</v>
      </c>
      <c r="C432" s="680" t="s">
        <v>645</v>
      </c>
      <c r="D432" s="266" t="str">
        <f>" - "&amp;'Giá Máy'!E26</f>
        <v xml:space="preserve"> - Máy san 110CV</v>
      </c>
      <c r="E432" s="265" t="str">
        <f>'Giá Máy'!F26</f>
        <v>ca</v>
      </c>
      <c r="F432" s="267">
        <v>0</v>
      </c>
      <c r="G432" s="268">
        <v>0.16300000000000001</v>
      </c>
      <c r="H432" s="268">
        <f>'5.Tiên lượng'!X118</f>
        <v>0.9</v>
      </c>
      <c r="I432" s="268">
        <f>PRODUCT(F415,G432,H432)</f>
        <v>3.5046630000000002E-2</v>
      </c>
      <c r="J432" s="283">
        <f>'Giá Máy'!G26</f>
        <v>1959181.2424347801</v>
      </c>
      <c r="K432" s="283">
        <f t="shared" si="174"/>
        <v>287411.88826518226</v>
      </c>
      <c r="L432" s="283">
        <f>'Giá Máy'!H26</f>
        <v>2107447</v>
      </c>
      <c r="M432" s="284">
        <f t="shared" si="175"/>
        <v>309162.47489999997</v>
      </c>
      <c r="N432" s="284">
        <v>0</v>
      </c>
      <c r="O432" s="284">
        <v>0</v>
      </c>
      <c r="P432" s="284">
        <f>'Giá Máy'!O26</f>
        <v>1989485.4904347826</v>
      </c>
      <c r="Q432" s="284">
        <f t="shared" si="176"/>
        <v>291857.52144678257</v>
      </c>
      <c r="R432" s="287">
        <v>0.72727272727272696</v>
      </c>
    </row>
    <row r="433" spans="1:18">
      <c r="A433" s="251"/>
      <c r="B433" s="269">
        <v>0</v>
      </c>
      <c r="C433" s="681" t="s">
        <v>611</v>
      </c>
      <c r="D433" s="270" t="s">
        <v>612</v>
      </c>
      <c r="E433" s="269" t="s">
        <v>37</v>
      </c>
      <c r="F433" s="271">
        <v>0</v>
      </c>
      <c r="G433" s="272">
        <f>AVERAGE(R425:R432)</f>
        <v>0.72727272727272685</v>
      </c>
      <c r="H433" s="272">
        <f>'5.Tiên lượng'!X118</f>
        <v>0.9</v>
      </c>
      <c r="I433" s="272">
        <f>PRODUCT(F415,G433,H433)</f>
        <v>0.156370909090909</v>
      </c>
      <c r="J433" s="285">
        <f>(G425*J425+G426*J426+G427*J427+G428*J428+G429*J429+G430*J430+G431*J431+G432*J432)/100</f>
        <v>168438.35043310144</v>
      </c>
      <c r="K433" s="285">
        <f t="shared" si="174"/>
        <v>110250.55664712089</v>
      </c>
      <c r="L433" s="285">
        <f>(G425*L425+G426*L426+G427*L427+G428*L428+G429*L429+G430*L430+G431*L431+G432*L432)/100</f>
        <v>171467.53389000002</v>
      </c>
      <c r="M433" s="286">
        <f t="shared" si="175"/>
        <v>112233.29490981814</v>
      </c>
      <c r="N433" s="286">
        <v>0</v>
      </c>
      <c r="O433" s="286">
        <v>0</v>
      </c>
      <c r="P433" s="286">
        <f>(G425*P425+G426*P426+G427*P427+G428*P428+G429*P429+G430*P430+G431*P431+G432*P432)/100</f>
        <v>170442.58199494146</v>
      </c>
      <c r="Q433" s="286">
        <f t="shared" si="176"/>
        <v>111562.4173057798</v>
      </c>
      <c r="R433" s="288">
        <v>0</v>
      </c>
    </row>
    <row r="434" spans="1:18" ht="27.6">
      <c r="A434" s="234"/>
      <c r="B434" s="256">
        <v>49</v>
      </c>
      <c r="C434" s="234" t="str">
        <f>'5.Tiên lượng'!C120</f>
        <v>AD.24223</v>
      </c>
      <c r="D434" s="257" t="str">
        <f>'5.Tiên lượng'!D120</f>
        <v>Tưới lớp dính bám mặt đường, nhũ tương CSS1, lượng nhũ tương 1kg/m2</v>
      </c>
      <c r="E434" s="256" t="str">
        <f>'5.Tiên lượng'!E120</f>
        <v>100m2</v>
      </c>
      <c r="F434" s="258">
        <f>'5.Tiên lượng'!M120</f>
        <v>1.3271999999999999</v>
      </c>
      <c r="G434" s="259">
        <v>0</v>
      </c>
      <c r="H434" s="259">
        <v>0</v>
      </c>
      <c r="I434" s="259">
        <v>0</v>
      </c>
      <c r="J434" s="279">
        <v>0</v>
      </c>
      <c r="K434" s="279">
        <v>0</v>
      </c>
      <c r="L434" s="279">
        <v>0</v>
      </c>
      <c r="M434" s="280">
        <v>0</v>
      </c>
      <c r="N434" s="280">
        <v>0</v>
      </c>
      <c r="O434" s="280">
        <v>0</v>
      </c>
      <c r="P434" s="280">
        <v>0</v>
      </c>
      <c r="Q434" s="280">
        <v>0</v>
      </c>
      <c r="R434" s="222">
        <v>0</v>
      </c>
    </row>
    <row r="435" spans="1:18">
      <c r="A435" s="240"/>
      <c r="B435" s="260">
        <v>0</v>
      </c>
      <c r="C435" s="261" t="s">
        <v>590</v>
      </c>
      <c r="D435" s="262" t="s">
        <v>262</v>
      </c>
      <c r="E435" s="260"/>
      <c r="F435" s="263">
        <v>0</v>
      </c>
      <c r="G435" s="264">
        <v>0</v>
      </c>
      <c r="H435" s="264"/>
      <c r="I435" s="264">
        <v>0</v>
      </c>
      <c r="J435" s="281">
        <v>0</v>
      </c>
      <c r="K435" s="281">
        <f>SUM(K436:K436)</f>
        <v>1394000</v>
      </c>
      <c r="L435" s="281">
        <v>0</v>
      </c>
      <c r="M435" s="282">
        <f>SUM(M436:M436)</f>
        <v>1394000</v>
      </c>
      <c r="N435" s="282">
        <v>0</v>
      </c>
      <c r="O435" s="282">
        <v>0</v>
      </c>
      <c r="P435" s="282">
        <v>0</v>
      </c>
      <c r="Q435" s="282">
        <f>SUM(Q436:Q436)</f>
        <v>1406043.8394685537</v>
      </c>
      <c r="R435" s="287">
        <v>0</v>
      </c>
    </row>
    <row r="436" spans="1:18">
      <c r="A436" s="246"/>
      <c r="B436" s="265">
        <v>0</v>
      </c>
      <c r="C436" s="680" t="s">
        <v>646</v>
      </c>
      <c r="D436" s="266" t="str">
        <f>" - "&amp;'Giá VL'!E32</f>
        <v xml:space="preserve"> - Nhựa nhũ tương gốc axít 60%</v>
      </c>
      <c r="E436" s="265" t="str">
        <f>'Giá VL'!F32</f>
        <v>kg</v>
      </c>
      <c r="F436" s="267">
        <v>0</v>
      </c>
      <c r="G436" s="268">
        <v>102.5</v>
      </c>
      <c r="H436" s="268">
        <f>'5.Tiên lượng'!V120</f>
        <v>1</v>
      </c>
      <c r="I436" s="268">
        <f>PRODUCT(F434,G436,H436)</f>
        <v>136.03799999999998</v>
      </c>
      <c r="J436" s="283">
        <f>'Giá VL'!G32</f>
        <v>13600</v>
      </c>
      <c r="K436" s="283">
        <f>PRODUCT(G436,H436,J436)</f>
        <v>1394000</v>
      </c>
      <c r="L436" s="283">
        <f>'Giá VL'!J32</f>
        <v>13600</v>
      </c>
      <c r="M436" s="284">
        <f>PRODUCT(G436,H436,L436)</f>
        <v>1394000</v>
      </c>
      <c r="N436" s="284">
        <v>0</v>
      </c>
      <c r="O436" s="284">
        <v>0</v>
      </c>
      <c r="P436" s="284">
        <f>'Giá VL'!V32</f>
        <v>13717.500872863939</v>
      </c>
      <c r="Q436" s="284">
        <f>PRODUCT(G436,H436,P436)</f>
        <v>1406043.8394685537</v>
      </c>
      <c r="R436" s="287">
        <v>0</v>
      </c>
    </row>
    <row r="437" spans="1:18">
      <c r="A437" s="240"/>
      <c r="B437" s="260">
        <v>0</v>
      </c>
      <c r="C437" s="261" t="s">
        <v>590</v>
      </c>
      <c r="D437" s="262" t="s">
        <v>265</v>
      </c>
      <c r="E437" s="260"/>
      <c r="F437" s="263">
        <v>0</v>
      </c>
      <c r="G437" s="264">
        <v>0</v>
      </c>
      <c r="H437" s="264"/>
      <c r="I437" s="264">
        <v>0</v>
      </c>
      <c r="J437" s="281">
        <v>0</v>
      </c>
      <c r="K437" s="281">
        <f>SUM(K438:K438)</f>
        <v>56810</v>
      </c>
      <c r="L437" s="281">
        <v>0</v>
      </c>
      <c r="M437" s="282">
        <f>SUM(M438:M438)</f>
        <v>62100</v>
      </c>
      <c r="N437" s="282">
        <v>0</v>
      </c>
      <c r="O437" s="282">
        <v>0</v>
      </c>
      <c r="P437" s="282">
        <v>0</v>
      </c>
      <c r="Q437" s="282">
        <f>SUM(Q438:Q438)</f>
        <v>62100</v>
      </c>
      <c r="R437" s="287">
        <v>0</v>
      </c>
    </row>
    <row r="438" spans="1:18">
      <c r="A438" s="246"/>
      <c r="B438" s="265">
        <v>0</v>
      </c>
      <c r="C438" s="680" t="s">
        <v>622</v>
      </c>
      <c r="D438" s="266" t="str">
        <f>" - "&amp;'Giá NC'!E9</f>
        <v xml:space="preserve"> - Nhân công bậc 3,5/7 - Nhóm 2</v>
      </c>
      <c r="E438" s="265" t="str">
        <f>'Giá NC'!F9</f>
        <v>công</v>
      </c>
      <c r="F438" s="267">
        <v>0</v>
      </c>
      <c r="G438" s="268">
        <v>0.23</v>
      </c>
      <c r="H438" s="268">
        <f>'5.Tiên lượng'!W120</f>
        <v>1</v>
      </c>
      <c r="I438" s="268">
        <f>PRODUCT(F434,G438,H438)</f>
        <v>0.30525599999999997</v>
      </c>
      <c r="J438" s="283">
        <f>'Giá NC'!G9</f>
        <v>247000</v>
      </c>
      <c r="K438" s="283">
        <f>PRODUCT(G438,H438,J438)</f>
        <v>56810</v>
      </c>
      <c r="L438" s="283">
        <f>'Giá NC'!H9</f>
        <v>270000</v>
      </c>
      <c r="M438" s="284">
        <f>PRODUCT(G438,H438,L438)</f>
        <v>62100</v>
      </c>
      <c r="N438" s="284">
        <v>0</v>
      </c>
      <c r="O438" s="284">
        <v>0</v>
      </c>
      <c r="P438" s="284">
        <f>'Giá NC'!K9</f>
        <v>270000</v>
      </c>
      <c r="Q438" s="284">
        <f>PRODUCT(G438,H438,P438)</f>
        <v>62100</v>
      </c>
      <c r="R438" s="287">
        <v>0</v>
      </c>
    </row>
    <row r="439" spans="1:18">
      <c r="A439" s="240"/>
      <c r="B439" s="260">
        <v>0</v>
      </c>
      <c r="C439" s="261" t="s">
        <v>590</v>
      </c>
      <c r="D439" s="262" t="s">
        <v>267</v>
      </c>
      <c r="E439" s="260"/>
      <c r="F439" s="263">
        <v>0</v>
      </c>
      <c r="G439" s="264">
        <v>0</v>
      </c>
      <c r="H439" s="264"/>
      <c r="I439" s="264">
        <v>0</v>
      </c>
      <c r="J439" s="281">
        <v>0</v>
      </c>
      <c r="K439" s="281">
        <f>SUM(K440:K442)</f>
        <v>254038.6571590401</v>
      </c>
      <c r="L439" s="281">
        <v>0</v>
      </c>
      <c r="M439" s="282">
        <f>SUM(M440:M442)</f>
        <v>275265.25188000005</v>
      </c>
      <c r="N439" s="282">
        <v>0</v>
      </c>
      <c r="O439" s="282">
        <v>0</v>
      </c>
      <c r="P439" s="282">
        <v>0</v>
      </c>
      <c r="Q439" s="282">
        <f>SUM(Q440:Q442)</f>
        <v>259243.05535040001</v>
      </c>
      <c r="R439" s="287">
        <v>0</v>
      </c>
    </row>
    <row r="440" spans="1:18">
      <c r="A440" s="246"/>
      <c r="B440" s="265">
        <v>0</v>
      </c>
      <c r="C440" s="680" t="s">
        <v>647</v>
      </c>
      <c r="D440" s="266" t="str">
        <f>" - "&amp;'Giá Máy'!E23</f>
        <v xml:space="preserve"> - Máy phun nhựa đường 190CV</v>
      </c>
      <c r="E440" s="265" t="str">
        <f>'Giá Máy'!F23</f>
        <v>ca</v>
      </c>
      <c r="F440" s="267">
        <v>0</v>
      </c>
      <c r="G440" s="268">
        <v>6.8000000000000005E-2</v>
      </c>
      <c r="H440" s="268">
        <f>'5.Tiên lượng'!X120</f>
        <v>1</v>
      </c>
      <c r="I440" s="268">
        <f>PRODUCT(F434,G440,H440)</f>
        <v>9.0249599999999999E-2</v>
      </c>
      <c r="J440" s="283">
        <f>'Giá Máy'!G23</f>
        <v>2914031.0426666699</v>
      </c>
      <c r="K440" s="283">
        <f t="shared" ref="K440:K442" si="177">PRODUCT(G440,H440,J440)</f>
        <v>198154.11090133357</v>
      </c>
      <c r="L440" s="283">
        <f>'Giá Máy'!H23</f>
        <v>3130727</v>
      </c>
      <c r="M440" s="284">
        <f t="shared" ref="M440:M442" si="178">PRODUCT(G440,H440,L440)</f>
        <v>212889.43600000002</v>
      </c>
      <c r="N440" s="284">
        <v>0</v>
      </c>
      <c r="O440" s="284">
        <v>0</v>
      </c>
      <c r="P440" s="284">
        <f>'Giá Máy'!O23</f>
        <v>2958321.8666666662</v>
      </c>
      <c r="Q440" s="284">
        <f t="shared" ref="Q440:Q442" si="179">PRODUCT(G440,H440,P440)</f>
        <v>201165.88693333333</v>
      </c>
      <c r="R440" s="287">
        <v>2</v>
      </c>
    </row>
    <row r="441" spans="1:18">
      <c r="A441" s="246"/>
      <c r="B441" s="265">
        <v>0</v>
      </c>
      <c r="C441" s="680" t="s">
        <v>634</v>
      </c>
      <c r="D441" s="266" t="str">
        <f>" - "&amp;'Giá Máy'!E22</f>
        <v xml:space="preserve"> - Máy nén khí diezel 600m3/h</v>
      </c>
      <c r="E441" s="265" t="str">
        <f>'Giá Máy'!F22</f>
        <v>ca</v>
      </c>
      <c r="F441" s="267">
        <v>0</v>
      </c>
      <c r="G441" s="268">
        <v>3.4000000000000002E-2</v>
      </c>
      <c r="H441" s="268">
        <f>'5.Tiên lượng'!X120</f>
        <v>1</v>
      </c>
      <c r="I441" s="268">
        <f>PRODUCT(F434,G441,H441)</f>
        <v>4.51248E-2</v>
      </c>
      <c r="J441" s="283">
        <f>'Giá Máy'!G22</f>
        <v>1497158.7093333299</v>
      </c>
      <c r="K441" s="283">
        <f t="shared" si="177"/>
        <v>50903.396117333221</v>
      </c>
      <c r="L441" s="283">
        <f>'Giá Máy'!H22</f>
        <v>1675837</v>
      </c>
      <c r="M441" s="284">
        <f t="shared" si="178"/>
        <v>56978.458000000006</v>
      </c>
      <c r="N441" s="284">
        <v>0</v>
      </c>
      <c r="O441" s="284">
        <v>0</v>
      </c>
      <c r="P441" s="284">
        <f>'Giá Máy'!O22</f>
        <v>1558646.2133333334</v>
      </c>
      <c r="Q441" s="284">
        <f t="shared" si="179"/>
        <v>52993.971253333337</v>
      </c>
      <c r="R441" s="287">
        <v>2</v>
      </c>
    </row>
    <row r="442" spans="1:18">
      <c r="A442" s="251"/>
      <c r="B442" s="269">
        <v>0</v>
      </c>
      <c r="C442" s="681" t="s">
        <v>611</v>
      </c>
      <c r="D442" s="270" t="s">
        <v>612</v>
      </c>
      <c r="E442" s="269" t="s">
        <v>37</v>
      </c>
      <c r="F442" s="271">
        <v>0</v>
      </c>
      <c r="G442" s="272">
        <f>AVERAGE(R440:R441)</f>
        <v>2</v>
      </c>
      <c r="H442" s="272">
        <f>'5.Tiên lượng'!X120</f>
        <v>1</v>
      </c>
      <c r="I442" s="272">
        <f>PRODUCT(F434,G442,H442)</f>
        <v>2.6543999999999999</v>
      </c>
      <c r="J442" s="285">
        <f>(G440*J440+G441*J441)/100</f>
        <v>2490.5750701866677</v>
      </c>
      <c r="K442" s="285">
        <f t="shared" si="177"/>
        <v>4981.1501403733355</v>
      </c>
      <c r="L442" s="285">
        <f>(G440*L440+G441*L441)/100</f>
        <v>2698.6789400000002</v>
      </c>
      <c r="M442" s="286">
        <f t="shared" si="178"/>
        <v>5397.3578800000005</v>
      </c>
      <c r="N442" s="286">
        <v>0</v>
      </c>
      <c r="O442" s="286">
        <v>0</v>
      </c>
      <c r="P442" s="286">
        <f>(G440*P440+G441*P441)/100</f>
        <v>2541.5985818666668</v>
      </c>
      <c r="Q442" s="286">
        <f t="shared" si="179"/>
        <v>5083.1971637333336</v>
      </c>
      <c r="R442" s="288">
        <v>0</v>
      </c>
    </row>
    <row r="443" spans="1:18" ht="27.6">
      <c r="A443" s="234"/>
      <c r="B443" s="256">
        <v>50</v>
      </c>
      <c r="C443" s="234" t="str">
        <f>'5.Tiên lượng'!C122</f>
        <v>AD.24132</v>
      </c>
      <c r="D443" s="257" t="str">
        <f>'5.Tiên lượng'!D122</f>
        <v>Thi công mặt đường láng nhũ tương 03 lớp - Tiêu chuẩn nhựa 4,5kg/m2</v>
      </c>
      <c r="E443" s="256" t="str">
        <f>'5.Tiên lượng'!E122</f>
        <v>100m2</v>
      </c>
      <c r="F443" s="258">
        <f>'5.Tiên lượng'!M122</f>
        <v>1.3271999999999999</v>
      </c>
      <c r="G443" s="259">
        <v>0</v>
      </c>
      <c r="H443" s="259">
        <v>0</v>
      </c>
      <c r="I443" s="259">
        <v>0</v>
      </c>
      <c r="J443" s="279">
        <v>0</v>
      </c>
      <c r="K443" s="279">
        <v>0</v>
      </c>
      <c r="L443" s="279">
        <v>0</v>
      </c>
      <c r="M443" s="280">
        <v>0</v>
      </c>
      <c r="N443" s="280">
        <v>0</v>
      </c>
      <c r="O443" s="280">
        <v>0</v>
      </c>
      <c r="P443" s="280">
        <v>0</v>
      </c>
      <c r="Q443" s="280">
        <v>0</v>
      </c>
      <c r="R443" s="222">
        <v>0</v>
      </c>
    </row>
    <row r="444" spans="1:18">
      <c r="A444" s="240"/>
      <c r="B444" s="260">
        <v>0</v>
      </c>
      <c r="C444" s="261" t="s">
        <v>590</v>
      </c>
      <c r="D444" s="262" t="s">
        <v>262</v>
      </c>
      <c r="E444" s="260"/>
      <c r="F444" s="263">
        <v>0</v>
      </c>
      <c r="G444" s="264">
        <v>0</v>
      </c>
      <c r="H444" s="264"/>
      <c r="I444" s="264">
        <v>0</v>
      </c>
      <c r="J444" s="281">
        <v>0</v>
      </c>
      <c r="K444" s="281">
        <f>SUM(K445:K448)</f>
        <v>7031650</v>
      </c>
      <c r="L444" s="281">
        <v>0</v>
      </c>
      <c r="M444" s="282">
        <f>SUM(M445:M448)</f>
        <v>7242900</v>
      </c>
      <c r="N444" s="282">
        <v>0</v>
      </c>
      <c r="O444" s="282">
        <v>0</v>
      </c>
      <c r="P444" s="282">
        <v>0</v>
      </c>
      <c r="Q444" s="282">
        <f>SUM(Q445:Q448)</f>
        <v>7572500.995428551</v>
      </c>
      <c r="R444" s="287">
        <v>0</v>
      </c>
    </row>
    <row r="445" spans="1:18">
      <c r="A445" s="246"/>
      <c r="B445" s="265">
        <v>0</v>
      </c>
      <c r="C445" s="680" t="s">
        <v>648</v>
      </c>
      <c r="D445" s="266" t="str">
        <f>" - "&amp;'Giá VL'!E46</f>
        <v xml:space="preserve"> - Đá 4,75÷9,5 (mm)</v>
      </c>
      <c r="E445" s="265" t="str">
        <f>'Giá VL'!F46</f>
        <v>m3</v>
      </c>
      <c r="F445" s="267">
        <v>0</v>
      </c>
      <c r="G445" s="268">
        <v>0.67</v>
      </c>
      <c r="H445" s="268">
        <f>'5.Tiên lượng'!V122</f>
        <v>1</v>
      </c>
      <c r="I445" s="268">
        <f>PRODUCT(F443,G445,H445)</f>
        <v>0.88922400000000001</v>
      </c>
      <c r="J445" s="283">
        <f>'Giá VL'!G46</f>
        <v>135000</v>
      </c>
      <c r="K445" s="283">
        <f t="shared" ref="K445:K448" si="180">PRODUCT(G445,H445,J445)</f>
        <v>90450</v>
      </c>
      <c r="L445" s="283">
        <f>'Giá VL'!J46</f>
        <v>210000</v>
      </c>
      <c r="M445" s="284">
        <f t="shared" ref="M445:M448" si="181">PRODUCT(G445,H445,L445)</f>
        <v>140700</v>
      </c>
      <c r="N445" s="284">
        <v>0</v>
      </c>
      <c r="O445" s="284">
        <v>0</v>
      </c>
      <c r="P445" s="284">
        <f>'Giá VL'!V46</f>
        <v>280458.0547558713</v>
      </c>
      <c r="Q445" s="284">
        <f t="shared" ref="Q445:Q448" si="182">PRODUCT(G445,H445,P445)</f>
        <v>187906.89668643379</v>
      </c>
      <c r="R445" s="287">
        <v>0</v>
      </c>
    </row>
    <row r="446" spans="1:18">
      <c r="A446" s="246"/>
      <c r="B446" s="265">
        <v>0</v>
      </c>
      <c r="C446" s="680" t="s">
        <v>649</v>
      </c>
      <c r="D446" s="266" t="str">
        <f>" - "&amp;'Giá VL'!E47</f>
        <v xml:space="preserve"> - Đá 9,5÷12,5 (mm)</v>
      </c>
      <c r="E446" s="265" t="str">
        <f>'Giá VL'!F47</f>
        <v>m3</v>
      </c>
      <c r="F446" s="267">
        <v>0</v>
      </c>
      <c r="G446" s="268">
        <v>1.21</v>
      </c>
      <c r="H446" s="268">
        <f>'5.Tiên lượng'!V122</f>
        <v>1</v>
      </c>
      <c r="I446" s="268">
        <f>PRODUCT(F443,G446,H446)</f>
        <v>1.6059119999999998</v>
      </c>
      <c r="J446" s="283">
        <f>'Giá VL'!G47</f>
        <v>160000</v>
      </c>
      <c r="K446" s="283">
        <f t="shared" si="180"/>
        <v>193600</v>
      </c>
      <c r="L446" s="283">
        <f>'Giá VL'!J47</f>
        <v>210000</v>
      </c>
      <c r="M446" s="284">
        <f t="shared" si="181"/>
        <v>254100</v>
      </c>
      <c r="N446" s="284">
        <v>0</v>
      </c>
      <c r="O446" s="284">
        <v>0</v>
      </c>
      <c r="P446" s="284">
        <f>'Giá VL'!V47</f>
        <v>280458.0547558713</v>
      </c>
      <c r="Q446" s="284">
        <f t="shared" si="182"/>
        <v>339354.24625460425</v>
      </c>
      <c r="R446" s="287">
        <v>0</v>
      </c>
    </row>
    <row r="447" spans="1:18">
      <c r="A447" s="246"/>
      <c r="B447" s="265">
        <v>0</v>
      </c>
      <c r="C447" s="680" t="s">
        <v>650</v>
      </c>
      <c r="D447" s="266" t="str">
        <f>" - "&amp;'Giá VL'!E48</f>
        <v xml:space="preserve"> - Đá 12,5÷19 (mm)</v>
      </c>
      <c r="E447" s="265" t="str">
        <f>'Giá VL'!F48</f>
        <v>m3</v>
      </c>
      <c r="F447" s="267">
        <v>0</v>
      </c>
      <c r="G447" s="268">
        <v>2.0099999999999998</v>
      </c>
      <c r="H447" s="268">
        <f>'5.Tiên lượng'!V122</f>
        <v>1</v>
      </c>
      <c r="I447" s="268">
        <f>PRODUCT(F443,G447,H447)</f>
        <v>2.6676719999999996</v>
      </c>
      <c r="J447" s="283">
        <f>'Giá VL'!G48</f>
        <v>160000</v>
      </c>
      <c r="K447" s="283">
        <f t="shared" si="180"/>
        <v>321599.99999999994</v>
      </c>
      <c r="L447" s="283">
        <f>'Giá VL'!J48</f>
        <v>210000</v>
      </c>
      <c r="M447" s="284">
        <f t="shared" si="181"/>
        <v>422099.99999999994</v>
      </c>
      <c r="N447" s="284">
        <v>0</v>
      </c>
      <c r="O447" s="284">
        <v>0</v>
      </c>
      <c r="P447" s="284">
        <f>'Giá VL'!V48</f>
        <v>280458.0547558713</v>
      </c>
      <c r="Q447" s="284">
        <f t="shared" si="182"/>
        <v>563720.69005930121</v>
      </c>
      <c r="R447" s="287">
        <v>0</v>
      </c>
    </row>
    <row r="448" spans="1:18">
      <c r="A448" s="246"/>
      <c r="B448" s="265">
        <v>0</v>
      </c>
      <c r="C448" s="680" t="s">
        <v>646</v>
      </c>
      <c r="D448" s="266" t="str">
        <f>" - "&amp;'Giá VL'!E32</f>
        <v xml:space="preserve"> - Nhựa nhũ tương gốc axít 60%</v>
      </c>
      <c r="E448" s="265" t="str">
        <f>'Giá VL'!F32</f>
        <v>kg</v>
      </c>
      <c r="F448" s="267">
        <v>0</v>
      </c>
      <c r="G448" s="268">
        <v>472.5</v>
      </c>
      <c r="H448" s="268">
        <f>'5.Tiên lượng'!V122</f>
        <v>1</v>
      </c>
      <c r="I448" s="268">
        <f>PRODUCT(F443,G448,H448)</f>
        <v>627.10199999999998</v>
      </c>
      <c r="J448" s="283">
        <f>'Giá VL'!G32</f>
        <v>13600</v>
      </c>
      <c r="K448" s="283">
        <f t="shared" si="180"/>
        <v>6426000</v>
      </c>
      <c r="L448" s="283">
        <f>'Giá VL'!J32</f>
        <v>13600</v>
      </c>
      <c r="M448" s="284">
        <f t="shared" si="181"/>
        <v>6426000</v>
      </c>
      <c r="N448" s="284">
        <v>0</v>
      </c>
      <c r="O448" s="284">
        <v>0</v>
      </c>
      <c r="P448" s="284">
        <f>'Giá VL'!V32</f>
        <v>13717.500872863939</v>
      </c>
      <c r="Q448" s="284">
        <f t="shared" si="182"/>
        <v>6481519.1624282114</v>
      </c>
      <c r="R448" s="287">
        <v>0</v>
      </c>
    </row>
    <row r="449" spans="1:18">
      <c r="A449" s="240"/>
      <c r="B449" s="260">
        <v>0</v>
      </c>
      <c r="C449" s="261" t="s">
        <v>590</v>
      </c>
      <c r="D449" s="262" t="s">
        <v>265</v>
      </c>
      <c r="E449" s="260"/>
      <c r="F449" s="263">
        <v>0</v>
      </c>
      <c r="G449" s="264">
        <v>0</v>
      </c>
      <c r="H449" s="264"/>
      <c r="I449" s="264">
        <v>0</v>
      </c>
      <c r="J449" s="281">
        <v>0</v>
      </c>
      <c r="K449" s="281">
        <f>SUM(K450:K450)</f>
        <v>1067040</v>
      </c>
      <c r="L449" s="281">
        <v>0</v>
      </c>
      <c r="M449" s="282">
        <f>SUM(M450:M450)</f>
        <v>1166400</v>
      </c>
      <c r="N449" s="282">
        <v>0</v>
      </c>
      <c r="O449" s="282">
        <v>0</v>
      </c>
      <c r="P449" s="282">
        <v>0</v>
      </c>
      <c r="Q449" s="282">
        <f>SUM(Q450:Q450)</f>
        <v>1166400</v>
      </c>
      <c r="R449" s="287">
        <v>0</v>
      </c>
    </row>
    <row r="450" spans="1:18">
      <c r="A450" s="246"/>
      <c r="B450" s="265">
        <v>0</v>
      </c>
      <c r="C450" s="680" t="s">
        <v>622</v>
      </c>
      <c r="D450" s="266" t="str">
        <f>" - "&amp;'Giá NC'!E9</f>
        <v xml:space="preserve"> - Nhân công bậc 3,5/7 - Nhóm 2</v>
      </c>
      <c r="E450" s="265" t="str">
        <f>'Giá NC'!F9</f>
        <v>công</v>
      </c>
      <c r="F450" s="267">
        <v>0</v>
      </c>
      <c r="G450" s="268">
        <v>4.32</v>
      </c>
      <c r="H450" s="268">
        <f>'5.Tiên lượng'!W122</f>
        <v>1</v>
      </c>
      <c r="I450" s="268">
        <f>PRODUCT(F443,G450,H450)</f>
        <v>5.7335039999999999</v>
      </c>
      <c r="J450" s="283">
        <f>'Giá NC'!G9</f>
        <v>247000</v>
      </c>
      <c r="K450" s="283">
        <f>PRODUCT(G450,H450,J450)</f>
        <v>1067040</v>
      </c>
      <c r="L450" s="283">
        <f>'Giá NC'!H9</f>
        <v>270000</v>
      </c>
      <c r="M450" s="284">
        <f>PRODUCT(G450,H450,L450)</f>
        <v>1166400</v>
      </c>
      <c r="N450" s="284">
        <v>0</v>
      </c>
      <c r="O450" s="284">
        <v>0</v>
      </c>
      <c r="P450" s="284">
        <f>'Giá NC'!K9</f>
        <v>270000</v>
      </c>
      <c r="Q450" s="284">
        <f>PRODUCT(G450,H450,P450)</f>
        <v>1166400</v>
      </c>
      <c r="R450" s="287">
        <v>0</v>
      </c>
    </row>
    <row r="451" spans="1:18">
      <c r="A451" s="240"/>
      <c r="B451" s="260">
        <v>0</v>
      </c>
      <c r="C451" s="261" t="s">
        <v>590</v>
      </c>
      <c r="D451" s="262" t="s">
        <v>267</v>
      </c>
      <c r="E451" s="260"/>
      <c r="F451" s="263">
        <v>0</v>
      </c>
      <c r="G451" s="264">
        <v>0</v>
      </c>
      <c r="H451" s="264"/>
      <c r="I451" s="264">
        <v>0</v>
      </c>
      <c r="J451" s="281">
        <v>0</v>
      </c>
      <c r="K451" s="281">
        <f>SUM(K452:K456)</f>
        <v>800277.14898553921</v>
      </c>
      <c r="L451" s="281">
        <v>0</v>
      </c>
      <c r="M451" s="282">
        <f>SUM(M452:M456)</f>
        <v>871227.73800000001</v>
      </c>
      <c r="N451" s="282">
        <v>0</v>
      </c>
      <c r="O451" s="282">
        <v>0</v>
      </c>
      <c r="P451" s="282">
        <v>0</v>
      </c>
      <c r="Q451" s="282">
        <f>SUM(Q452:Q456)</f>
        <v>821220.38320153835</v>
      </c>
      <c r="R451" s="287">
        <v>0</v>
      </c>
    </row>
    <row r="452" spans="1:18">
      <c r="A452" s="246"/>
      <c r="B452" s="265">
        <v>0</v>
      </c>
      <c r="C452" s="680" t="s">
        <v>651</v>
      </c>
      <c r="D452" s="266" t="str">
        <f>" - "&amp;'Giá Máy'!E39</f>
        <v xml:space="preserve"> - Máy lu bánh thép tự hành 8,5T</v>
      </c>
      <c r="E452" s="265" t="str">
        <f>'Giá Máy'!F39</f>
        <v>ca</v>
      </c>
      <c r="F452" s="267">
        <v>0</v>
      </c>
      <c r="G452" s="268">
        <v>0.25800000000000001</v>
      </c>
      <c r="H452" s="268">
        <f>'5.Tiên lượng'!X122</f>
        <v>1</v>
      </c>
      <c r="I452" s="268">
        <f>PRODUCT(F443,G452,H452)</f>
        <v>0.34241759999999999</v>
      </c>
      <c r="J452" s="283">
        <f>'Giá Máy'!G39</f>
        <v>965860.19200000004</v>
      </c>
      <c r="K452" s="283">
        <f t="shared" ref="K452:K456" si="183">PRODUCT(G452,H452,J452)</f>
        <v>249191.92953600001</v>
      </c>
      <c r="L452" s="283">
        <f>'Giá Máy'!H39</f>
        <v>1057100</v>
      </c>
      <c r="M452" s="284">
        <f t="shared" ref="M452:M456" si="184">PRODUCT(G452,H452,L452)</f>
        <v>272731.8</v>
      </c>
      <c r="N452" s="284">
        <v>0</v>
      </c>
      <c r="O452" s="284">
        <v>0</v>
      </c>
      <c r="P452" s="284">
        <f>'Giá Máy'!O39</f>
        <v>1009475.96</v>
      </c>
      <c r="Q452" s="284">
        <f t="shared" ref="Q452:Q456" si="185">PRODUCT(G452,H452,P452)</f>
        <v>260444.79767999999</v>
      </c>
      <c r="R452" s="287">
        <v>0</v>
      </c>
    </row>
    <row r="453" spans="1:18">
      <c r="A453" s="246"/>
      <c r="B453" s="265">
        <v>0</v>
      </c>
      <c r="C453" s="680" t="s">
        <v>647</v>
      </c>
      <c r="D453" s="266" t="str">
        <f>" - "&amp;'Giá Máy'!E23</f>
        <v xml:space="preserve"> - Máy phun nhựa đường 190CV</v>
      </c>
      <c r="E453" s="265" t="str">
        <f>'Giá Máy'!F23</f>
        <v>ca</v>
      </c>
      <c r="F453" s="267">
        <v>0</v>
      </c>
      <c r="G453" s="268">
        <v>0.126</v>
      </c>
      <c r="H453" s="268">
        <f>'5.Tiên lượng'!X122</f>
        <v>1</v>
      </c>
      <c r="I453" s="268">
        <f>PRODUCT(F443,G453,H453)</f>
        <v>0.16722719999999999</v>
      </c>
      <c r="J453" s="283">
        <f>'Giá Máy'!G23</f>
        <v>2914031.0426666699</v>
      </c>
      <c r="K453" s="283">
        <f t="shared" si="183"/>
        <v>367167.91137600044</v>
      </c>
      <c r="L453" s="283">
        <f>'Giá Máy'!H23</f>
        <v>3130727</v>
      </c>
      <c r="M453" s="284">
        <f t="shared" si="184"/>
        <v>394471.60200000001</v>
      </c>
      <c r="N453" s="284">
        <v>0</v>
      </c>
      <c r="O453" s="284">
        <v>0</v>
      </c>
      <c r="P453" s="284">
        <f>'Giá Máy'!O23</f>
        <v>2958321.8666666662</v>
      </c>
      <c r="Q453" s="284">
        <f t="shared" si="185"/>
        <v>372748.55519999994</v>
      </c>
      <c r="R453" s="287">
        <v>0</v>
      </c>
    </row>
    <row r="454" spans="1:18">
      <c r="A454" s="251"/>
      <c r="B454" s="269">
        <v>0</v>
      </c>
      <c r="C454" s="681" t="s">
        <v>652</v>
      </c>
      <c r="D454" s="270" t="str">
        <f>" - "&amp;'Giá Máy'!E32</f>
        <v xml:space="preserve"> - Ô tô tự đổ 5T</v>
      </c>
      <c r="E454" s="269" t="str">
        <f>'Giá Máy'!F32</f>
        <v>ca</v>
      </c>
      <c r="F454" s="271">
        <v>0</v>
      </c>
      <c r="G454" s="272">
        <v>0.129</v>
      </c>
      <c r="H454" s="272">
        <f>'5.Tiên lượng'!X122</f>
        <v>1</v>
      </c>
      <c r="I454" s="272">
        <f>PRODUCT(F443,G454,H454)</f>
        <v>0.17120879999999999</v>
      </c>
      <c r="J454" s="285">
        <f>'Giá Máy'!G32</f>
        <v>1425715.5664615401</v>
      </c>
      <c r="K454" s="285">
        <f t="shared" si="183"/>
        <v>183917.30807353868</v>
      </c>
      <c r="L454" s="285">
        <f>'Giá Máy'!H32</f>
        <v>1581584</v>
      </c>
      <c r="M454" s="286">
        <f t="shared" si="184"/>
        <v>204024.33600000001</v>
      </c>
      <c r="N454" s="286">
        <v>0</v>
      </c>
      <c r="O454" s="286">
        <v>0</v>
      </c>
      <c r="P454" s="286">
        <f>'Giá Máy'!O32</f>
        <v>1457573.8784615383</v>
      </c>
      <c r="Q454" s="286">
        <f t="shared" si="185"/>
        <v>188027.03032153845</v>
      </c>
      <c r="R454" s="288">
        <v>0</v>
      </c>
    </row>
    <row r="455" spans="1:18">
      <c r="A455" s="229"/>
      <c r="B455" s="289">
        <v>0</v>
      </c>
      <c r="C455" s="682" t="s">
        <v>339</v>
      </c>
      <c r="D455" s="290" t="s">
        <v>1076</v>
      </c>
      <c r="E455" s="289"/>
      <c r="F455" s="291">
        <v>0</v>
      </c>
      <c r="G455" s="292">
        <v>0</v>
      </c>
      <c r="H455" s="292">
        <f>'5.Tiên lượng'!X122</f>
        <v>1</v>
      </c>
      <c r="I455" s="292">
        <f>PRODUCT(F443,G455,H455)</f>
        <v>0</v>
      </c>
      <c r="J455" s="293">
        <v>0</v>
      </c>
      <c r="K455" s="294">
        <f t="shared" si="183"/>
        <v>0</v>
      </c>
      <c r="L455" s="294">
        <v>0</v>
      </c>
      <c r="M455" s="295">
        <f t="shared" si="184"/>
        <v>0</v>
      </c>
      <c r="N455" s="295">
        <v>0</v>
      </c>
      <c r="O455" s="295">
        <v>0</v>
      </c>
      <c r="P455" s="295">
        <v>0</v>
      </c>
      <c r="Q455" s="295">
        <f t="shared" si="185"/>
        <v>0</v>
      </c>
      <c r="R455" s="146">
        <v>0</v>
      </c>
    </row>
    <row r="456" spans="1:18">
      <c r="A456" s="229"/>
      <c r="B456" s="289">
        <v>0</v>
      </c>
      <c r="C456" s="682" t="s">
        <v>339</v>
      </c>
      <c r="D456" s="290" t="s">
        <v>1077</v>
      </c>
      <c r="E456" s="289"/>
      <c r="F456" s="291">
        <v>0</v>
      </c>
      <c r="G456" s="292">
        <v>0</v>
      </c>
      <c r="H456" s="292">
        <v>0</v>
      </c>
      <c r="I456" s="292">
        <v>0</v>
      </c>
      <c r="J456" s="293">
        <v>0</v>
      </c>
      <c r="K456" s="294">
        <f t="shared" si="183"/>
        <v>0</v>
      </c>
      <c r="L456" s="294">
        <v>0</v>
      </c>
      <c r="M456" s="295">
        <f t="shared" si="184"/>
        <v>0</v>
      </c>
      <c r="N456" s="295">
        <v>0</v>
      </c>
      <c r="O456" s="295">
        <v>0</v>
      </c>
      <c r="P456" s="295">
        <v>0</v>
      </c>
      <c r="Q456" s="295">
        <f t="shared" si="185"/>
        <v>0</v>
      </c>
      <c r="R456" s="146">
        <v>0</v>
      </c>
    </row>
    <row r="457" spans="1:18">
      <c r="A457" s="234"/>
      <c r="B457" s="256">
        <v>51</v>
      </c>
      <c r="C457" s="234" t="str">
        <f>'5.Tiên lượng'!C127</f>
        <v>AK.98110(VD)</v>
      </c>
      <c r="D457" s="257" t="str">
        <f>'5.Tiên lượng'!D127</f>
        <v>Đá dăm đệm rãnh, đá (1x2)cm, dày 10cm</v>
      </c>
      <c r="E457" s="256" t="str">
        <f>'5.Tiên lượng'!E127</f>
        <v>m3</v>
      </c>
      <c r="F457" s="258">
        <f>'5.Tiên lượng'!M127</f>
        <v>7.43</v>
      </c>
      <c r="G457" s="259">
        <v>0</v>
      </c>
      <c r="H457" s="259">
        <v>0</v>
      </c>
      <c r="I457" s="259">
        <v>0</v>
      </c>
      <c r="J457" s="279">
        <v>0</v>
      </c>
      <c r="K457" s="279">
        <v>0</v>
      </c>
      <c r="L457" s="279">
        <v>0</v>
      </c>
      <c r="M457" s="280">
        <v>0</v>
      </c>
      <c r="N457" s="280">
        <v>0</v>
      </c>
      <c r="O457" s="280">
        <v>0</v>
      </c>
      <c r="P457" s="280">
        <v>0</v>
      </c>
      <c r="Q457" s="280">
        <v>0</v>
      </c>
      <c r="R457" s="222">
        <v>0</v>
      </c>
    </row>
    <row r="458" spans="1:18">
      <c r="A458" s="240"/>
      <c r="B458" s="260">
        <v>0</v>
      </c>
      <c r="C458" s="261" t="s">
        <v>590</v>
      </c>
      <c r="D458" s="262" t="s">
        <v>262</v>
      </c>
      <c r="E458" s="260"/>
      <c r="F458" s="263">
        <v>0</v>
      </c>
      <c r="G458" s="264">
        <v>0</v>
      </c>
      <c r="H458" s="264"/>
      <c r="I458" s="264">
        <v>0</v>
      </c>
      <c r="J458" s="281">
        <v>0</v>
      </c>
      <c r="K458" s="281">
        <f>SUM(K459:K460)</f>
        <v>267000</v>
      </c>
      <c r="L458" s="281">
        <v>0</v>
      </c>
      <c r="M458" s="282">
        <f>SUM(M459:M460)</f>
        <v>387000</v>
      </c>
      <c r="N458" s="282">
        <v>0</v>
      </c>
      <c r="O458" s="282">
        <v>0</v>
      </c>
      <c r="P458" s="282">
        <v>0</v>
      </c>
      <c r="Q458" s="282">
        <f>SUM(Q459:Q460)</f>
        <v>495257.6142875955</v>
      </c>
      <c r="R458" s="287">
        <v>0</v>
      </c>
    </row>
    <row r="459" spans="1:18">
      <c r="A459" s="246"/>
      <c r="B459" s="265">
        <v>0</v>
      </c>
      <c r="C459" s="680" t="s">
        <v>653</v>
      </c>
      <c r="D459" s="266" t="str">
        <f>" - "&amp;'Giá VL'!E20</f>
        <v xml:space="preserve"> - Đá cấp phối dmax ≤ 4</v>
      </c>
      <c r="E459" s="265" t="str">
        <f>'Giá VL'!F20</f>
        <v>m3</v>
      </c>
      <c r="F459" s="267">
        <v>0</v>
      </c>
      <c r="G459" s="268">
        <v>1.2</v>
      </c>
      <c r="H459" s="268">
        <f>'5.Tiên lượng'!V127</f>
        <v>1</v>
      </c>
      <c r="I459" s="268">
        <f>PRODUCT(F457,G459,H459)</f>
        <v>8.9159999999999986</v>
      </c>
      <c r="J459" s="283">
        <f>'Giá VL'!G20</f>
        <v>160000</v>
      </c>
      <c r="K459" s="283">
        <f t="shared" ref="K459:K460" si="186">PRODUCT(G459,H459,J459)</f>
        <v>192000</v>
      </c>
      <c r="L459" s="283">
        <f>'Giá VL'!J20</f>
        <v>260000</v>
      </c>
      <c r="M459" s="284">
        <f t="shared" ref="M459:M460" si="187">PRODUCT(G459,H459,L459)</f>
        <v>312000</v>
      </c>
      <c r="N459" s="284">
        <v>0</v>
      </c>
      <c r="O459" s="284">
        <v>0</v>
      </c>
      <c r="P459" s="284">
        <f>'Giá VL'!V20</f>
        <v>330458.0547558713</v>
      </c>
      <c r="Q459" s="284">
        <f t="shared" ref="Q459:Q460" si="188">PRODUCT(G459,H459,P459)</f>
        <v>396549.66570704553</v>
      </c>
      <c r="R459" s="287">
        <v>0</v>
      </c>
    </row>
    <row r="460" spans="1:18">
      <c r="A460" s="246"/>
      <c r="B460" s="265">
        <v>0</v>
      </c>
      <c r="C460" s="680" t="s">
        <v>654</v>
      </c>
      <c r="D460" s="266" t="str">
        <f>" - "&amp;'Giá VL'!E14</f>
        <v xml:space="preserve"> - Cát</v>
      </c>
      <c r="E460" s="265" t="str">
        <f>'Giá VL'!F14</f>
        <v>m3</v>
      </c>
      <c r="F460" s="267">
        <v>0</v>
      </c>
      <c r="G460" s="268">
        <v>0.3</v>
      </c>
      <c r="H460" s="268">
        <f>'5.Tiên lượng'!V127</f>
        <v>1</v>
      </c>
      <c r="I460" s="268">
        <f>PRODUCT(F457,G460,H460)</f>
        <v>2.2289999999999996</v>
      </c>
      <c r="J460" s="283">
        <f>'Giá VL'!G14</f>
        <v>250000</v>
      </c>
      <c r="K460" s="283">
        <f t="shared" si="186"/>
        <v>75000</v>
      </c>
      <c r="L460" s="283">
        <f>'Giá VL'!J14</f>
        <v>250000</v>
      </c>
      <c r="M460" s="284">
        <f t="shared" si="187"/>
        <v>75000</v>
      </c>
      <c r="N460" s="284">
        <v>0</v>
      </c>
      <c r="O460" s="284">
        <v>0</v>
      </c>
      <c r="P460" s="284">
        <f>'Giá VL'!V14</f>
        <v>329026.49526849983</v>
      </c>
      <c r="Q460" s="284">
        <f t="shared" si="188"/>
        <v>98707.948580549943</v>
      </c>
      <c r="R460" s="287">
        <v>0</v>
      </c>
    </row>
    <row r="461" spans="1:18">
      <c r="A461" s="240"/>
      <c r="B461" s="260">
        <v>0</v>
      </c>
      <c r="C461" s="261" t="s">
        <v>590</v>
      </c>
      <c r="D461" s="262" t="s">
        <v>265</v>
      </c>
      <c r="E461" s="260"/>
      <c r="F461" s="263">
        <v>0</v>
      </c>
      <c r="G461" s="264">
        <v>0</v>
      </c>
      <c r="H461" s="264"/>
      <c r="I461" s="264">
        <v>0</v>
      </c>
      <c r="J461" s="281">
        <v>0</v>
      </c>
      <c r="K461" s="281">
        <f>SUM(K462:K462)</f>
        <v>317460</v>
      </c>
      <c r="L461" s="281">
        <v>0</v>
      </c>
      <c r="M461" s="282">
        <f>SUM(M462:M462)</f>
        <v>347020.92799999996</v>
      </c>
      <c r="N461" s="282">
        <v>0</v>
      </c>
      <c r="O461" s="282">
        <v>0</v>
      </c>
      <c r="P461" s="282">
        <v>0</v>
      </c>
      <c r="Q461" s="282">
        <f>SUM(Q462:Q462)</f>
        <v>347020.92799999996</v>
      </c>
      <c r="R461" s="287">
        <v>0</v>
      </c>
    </row>
    <row r="462" spans="1:18">
      <c r="A462" s="251"/>
      <c r="B462" s="269">
        <v>0</v>
      </c>
      <c r="C462" s="681" t="s">
        <v>629</v>
      </c>
      <c r="D462" s="270" t="str">
        <f>" - "&amp;'Giá NC'!E10</f>
        <v xml:space="preserve"> - Nhân công bậc 4,0/7 - Nhóm 2</v>
      </c>
      <c r="E462" s="269" t="str">
        <f>'Giá NC'!F10</f>
        <v>công</v>
      </c>
      <c r="F462" s="271">
        <v>0</v>
      </c>
      <c r="G462" s="272">
        <v>1.48</v>
      </c>
      <c r="H462" s="272">
        <f>'5.Tiên lượng'!W127</f>
        <v>0.8</v>
      </c>
      <c r="I462" s="272">
        <f>PRODUCT(F457,G462,H462)</f>
        <v>8.7971199999999996</v>
      </c>
      <c r="J462" s="285">
        <f>'Giá NC'!G10</f>
        <v>268125</v>
      </c>
      <c r="K462" s="285">
        <f>PRODUCT(G462,H462,J462)</f>
        <v>317460</v>
      </c>
      <c r="L462" s="285">
        <f>'Giá NC'!H10</f>
        <v>293092</v>
      </c>
      <c r="M462" s="286">
        <f>PRODUCT(G462,H462,L462)</f>
        <v>347020.92799999996</v>
      </c>
      <c r="N462" s="286">
        <v>0</v>
      </c>
      <c r="O462" s="286">
        <v>0</v>
      </c>
      <c r="P462" s="286">
        <f>'Giá NC'!K10</f>
        <v>293092</v>
      </c>
      <c r="Q462" s="286">
        <f>PRODUCT(G462,H462,P462)</f>
        <v>347020.92799999996</v>
      </c>
      <c r="R462" s="288">
        <v>0</v>
      </c>
    </row>
    <row r="463" spans="1:18">
      <c r="A463" s="234"/>
      <c r="B463" s="256">
        <v>52</v>
      </c>
      <c r="C463" s="234" t="str">
        <f>'5.Tiên lượng'!C128</f>
        <v>AF.11231</v>
      </c>
      <c r="D463" s="257" t="str">
        <f>'5.Tiên lượng'!D128</f>
        <v>BTXM móng rãnh, M150, đá 2x4, PCB40</v>
      </c>
      <c r="E463" s="256" t="str">
        <f>'5.Tiên lượng'!E128</f>
        <v>m3</v>
      </c>
      <c r="F463" s="258">
        <f>'5.Tiên lượng'!M128</f>
        <v>7.43</v>
      </c>
      <c r="G463" s="259">
        <v>0</v>
      </c>
      <c r="H463" s="259">
        <v>0</v>
      </c>
      <c r="I463" s="259">
        <v>0</v>
      </c>
      <c r="J463" s="279">
        <v>0</v>
      </c>
      <c r="K463" s="279">
        <v>0</v>
      </c>
      <c r="L463" s="279">
        <v>0</v>
      </c>
      <c r="M463" s="280">
        <v>0</v>
      </c>
      <c r="N463" s="280">
        <v>0</v>
      </c>
      <c r="O463" s="280">
        <v>0</v>
      </c>
      <c r="P463" s="280">
        <v>0</v>
      </c>
      <c r="Q463" s="280">
        <v>0</v>
      </c>
      <c r="R463" s="222">
        <v>0</v>
      </c>
    </row>
    <row r="464" spans="1:18">
      <c r="A464" s="240"/>
      <c r="B464" s="260">
        <v>0</v>
      </c>
      <c r="C464" s="261" t="s">
        <v>590</v>
      </c>
      <c r="D464" s="262" t="s">
        <v>262</v>
      </c>
      <c r="E464" s="260"/>
      <c r="F464" s="263">
        <v>0</v>
      </c>
      <c r="G464" s="264">
        <v>0</v>
      </c>
      <c r="H464" s="264"/>
      <c r="I464" s="264">
        <v>0</v>
      </c>
      <c r="J464" s="281">
        <v>0</v>
      </c>
      <c r="K464" s="281">
        <f>SUM(K465:K469)</f>
        <v>757026.5625</v>
      </c>
      <c r="L464" s="281">
        <v>0</v>
      </c>
      <c r="M464" s="282">
        <f>SUM(M465:M469)</f>
        <v>893006.65</v>
      </c>
      <c r="N464" s="282">
        <v>0</v>
      </c>
      <c r="O464" s="282">
        <v>0</v>
      </c>
      <c r="P464" s="282">
        <v>0</v>
      </c>
      <c r="Q464" s="282">
        <f>SUM(Q465:Q469)</f>
        <v>1030429.0629510203</v>
      </c>
      <c r="R464" s="287">
        <v>0</v>
      </c>
    </row>
    <row r="465" spans="1:18">
      <c r="A465" s="246"/>
      <c r="B465" s="265">
        <v>0</v>
      </c>
      <c r="C465" s="680" t="s">
        <v>614</v>
      </c>
      <c r="D465" s="266" t="str">
        <f>" - "&amp;'Giá VL'!E45</f>
        <v xml:space="preserve"> - Xi măng PCB40</v>
      </c>
      <c r="E465" s="265" t="str">
        <f>'Giá VL'!F45</f>
        <v>kg</v>
      </c>
      <c r="F465" s="267">
        <v>0</v>
      </c>
      <c r="G465" s="268">
        <v>210.125</v>
      </c>
      <c r="H465" s="268">
        <f>'5.Tiên lượng'!V128</f>
        <v>1</v>
      </c>
      <c r="I465" s="268">
        <f>PRODUCT(F463,G465,H465)</f>
        <v>1561.22875</v>
      </c>
      <c r="J465" s="283">
        <f>'Giá VL'!G45</f>
        <v>1350</v>
      </c>
      <c r="K465" s="283">
        <f t="shared" ref="K465:K469" si="189">PRODUCT(G465,H465,J465)</f>
        <v>283668.75</v>
      </c>
      <c r="L465" s="283">
        <f>'Giá VL'!J45</f>
        <v>1600</v>
      </c>
      <c r="M465" s="284">
        <f t="shared" ref="M465:M469" si="190">PRODUCT(G465,H465,L465)</f>
        <v>336200</v>
      </c>
      <c r="N465" s="284">
        <v>0</v>
      </c>
      <c r="O465" s="284">
        <v>0</v>
      </c>
      <c r="P465" s="284">
        <f>'Giá VL'!V45</f>
        <v>1730</v>
      </c>
      <c r="Q465" s="284">
        <f t="shared" ref="Q465:Q469" si="191">PRODUCT(G465,H465,P465)</f>
        <v>363516.25</v>
      </c>
      <c r="R465" s="287">
        <v>1</v>
      </c>
    </row>
    <row r="466" spans="1:18">
      <c r="A466" s="246"/>
      <c r="B466" s="265">
        <v>0</v>
      </c>
      <c r="C466" s="680" t="s">
        <v>615</v>
      </c>
      <c r="D466" s="266" t="str">
        <f>" - "&amp;'Giá VL'!E17</f>
        <v xml:space="preserve"> - Cát vàng</v>
      </c>
      <c r="E466" s="265" t="str">
        <f>'Giá VL'!F17</f>
        <v>m3</v>
      </c>
      <c r="F466" s="267">
        <v>0</v>
      </c>
      <c r="G466" s="268">
        <v>0.56272500000000003</v>
      </c>
      <c r="H466" s="268">
        <f>'5.Tiên lượng'!V128</f>
        <v>1</v>
      </c>
      <c r="I466" s="268">
        <f>PRODUCT(F463,G466,H466)</f>
        <v>4.1810467500000001</v>
      </c>
      <c r="J466" s="283">
        <f>'Giá VL'!G17</f>
        <v>580000</v>
      </c>
      <c r="K466" s="283">
        <f t="shared" si="189"/>
        <v>326380.5</v>
      </c>
      <c r="L466" s="283">
        <f>'Giá VL'!J17</f>
        <v>580000</v>
      </c>
      <c r="M466" s="284">
        <f t="shared" si="190"/>
        <v>326380.5</v>
      </c>
      <c r="N466" s="284">
        <v>0</v>
      </c>
      <c r="O466" s="284">
        <v>0</v>
      </c>
      <c r="P466" s="284">
        <f>'Giá VL'!V17</f>
        <v>659026.49526849983</v>
      </c>
      <c r="Q466" s="284">
        <f t="shared" si="191"/>
        <v>370850.68454996659</v>
      </c>
      <c r="R466" s="287">
        <v>1</v>
      </c>
    </row>
    <row r="467" spans="1:18">
      <c r="A467" s="246"/>
      <c r="B467" s="265">
        <v>0</v>
      </c>
      <c r="C467" s="680" t="s">
        <v>616</v>
      </c>
      <c r="D467" s="266" t="str">
        <f>" - "&amp;'Giá VL'!E19</f>
        <v xml:space="preserve"> - Đá 2x4</v>
      </c>
      <c r="E467" s="265" t="str">
        <f>'Giá VL'!F19</f>
        <v>m3</v>
      </c>
      <c r="F467" s="267">
        <v>0</v>
      </c>
      <c r="G467" s="268">
        <v>0.91225000000000001</v>
      </c>
      <c r="H467" s="268">
        <f>'5.Tiên lượng'!V128</f>
        <v>1</v>
      </c>
      <c r="I467" s="268">
        <f>PRODUCT(F463,G467,H467)</f>
        <v>6.7780174999999998</v>
      </c>
      <c r="J467" s="283">
        <f>'Giá VL'!G19</f>
        <v>150000</v>
      </c>
      <c r="K467" s="283">
        <f t="shared" si="189"/>
        <v>136837.5</v>
      </c>
      <c r="L467" s="283">
        <f>'Giá VL'!J19</f>
        <v>240000</v>
      </c>
      <c r="M467" s="284">
        <f t="shared" si="190"/>
        <v>218940</v>
      </c>
      <c r="N467" s="284">
        <v>0</v>
      </c>
      <c r="O467" s="284">
        <v>0</v>
      </c>
      <c r="P467" s="284">
        <f>'Giá VL'!V19</f>
        <v>310458.0547558713</v>
      </c>
      <c r="Q467" s="284">
        <f t="shared" si="191"/>
        <v>283215.36045104358</v>
      </c>
      <c r="R467" s="287">
        <v>1</v>
      </c>
    </row>
    <row r="468" spans="1:18">
      <c r="A468" s="246"/>
      <c r="B468" s="265">
        <v>0</v>
      </c>
      <c r="C468" s="680" t="s">
        <v>617</v>
      </c>
      <c r="D468" s="266" t="str">
        <f>" - "&amp;'Giá VL'!E33</f>
        <v xml:space="preserve"> - Nước</v>
      </c>
      <c r="E468" s="265" t="str">
        <f>'Giá VL'!F33</f>
        <v>lít</v>
      </c>
      <c r="F468" s="267">
        <v>0</v>
      </c>
      <c r="G468" s="268">
        <v>176.3</v>
      </c>
      <c r="H468" s="268">
        <f>'5.Tiên lượng'!V128</f>
        <v>1</v>
      </c>
      <c r="I468" s="268">
        <f>PRODUCT(F463,G468,H468)</f>
        <v>1309.9090000000001</v>
      </c>
      <c r="J468" s="283">
        <f>'Giá VL'!G33</f>
        <v>15</v>
      </c>
      <c r="K468" s="283">
        <f t="shared" si="189"/>
        <v>2644.5</v>
      </c>
      <c r="L468" s="283">
        <f>'Giá VL'!J33</f>
        <v>15</v>
      </c>
      <c r="M468" s="284">
        <f t="shared" si="190"/>
        <v>2644.5</v>
      </c>
      <c r="N468" s="284">
        <v>0</v>
      </c>
      <c r="O468" s="284">
        <v>0</v>
      </c>
      <c r="P468" s="284">
        <f>'Giá VL'!V33</f>
        <v>15</v>
      </c>
      <c r="Q468" s="284">
        <f t="shared" si="191"/>
        <v>2644.5</v>
      </c>
      <c r="R468" s="287">
        <v>1</v>
      </c>
    </row>
    <row r="469" spans="1:18">
      <c r="A469" s="246"/>
      <c r="B469" s="265">
        <v>0</v>
      </c>
      <c r="C469" s="680" t="s">
        <v>620</v>
      </c>
      <c r="D469" s="266" t="s">
        <v>621</v>
      </c>
      <c r="E469" s="265" t="s">
        <v>37</v>
      </c>
      <c r="F469" s="267">
        <v>0</v>
      </c>
      <c r="G469" s="268">
        <f>AVERAGE(R465:R468)</f>
        <v>1</v>
      </c>
      <c r="H469" s="268">
        <f>'5.Tiên lượng'!V128</f>
        <v>1</v>
      </c>
      <c r="I469" s="268">
        <f>PRODUCT(F463,G469,H469)</f>
        <v>7.43</v>
      </c>
      <c r="J469" s="283">
        <f>(G465*J465+G466*J466+G467*J467+G468*J468)/100</f>
        <v>7495.3125</v>
      </c>
      <c r="K469" s="283">
        <f t="shared" si="189"/>
        <v>7495.3125</v>
      </c>
      <c r="L469" s="283">
        <f>(G465*L465+G466*L466+G467*L467+G468*L468)/100</f>
        <v>8841.65</v>
      </c>
      <c r="M469" s="284">
        <f t="shared" si="190"/>
        <v>8841.65</v>
      </c>
      <c r="N469" s="284">
        <v>0</v>
      </c>
      <c r="O469" s="284">
        <v>0</v>
      </c>
      <c r="P469" s="284">
        <f>(G465*P465+G466*P466+G467*P467+G468*P468)/100</f>
        <v>10202.267950010102</v>
      </c>
      <c r="Q469" s="284">
        <f t="shared" si="191"/>
        <v>10202.267950010102</v>
      </c>
      <c r="R469" s="287">
        <v>0</v>
      </c>
    </row>
    <row r="470" spans="1:18">
      <c r="A470" s="240"/>
      <c r="B470" s="260">
        <v>0</v>
      </c>
      <c r="C470" s="261" t="s">
        <v>590</v>
      </c>
      <c r="D470" s="262" t="s">
        <v>265</v>
      </c>
      <c r="E470" s="260"/>
      <c r="F470" s="263">
        <v>0</v>
      </c>
      <c r="G470" s="264">
        <v>0</v>
      </c>
      <c r="H470" s="264"/>
      <c r="I470" s="264">
        <v>0</v>
      </c>
      <c r="J470" s="281">
        <v>0</v>
      </c>
      <c r="K470" s="281">
        <f>SUM(K471:K471)</f>
        <v>277826.25</v>
      </c>
      <c r="L470" s="281">
        <v>0</v>
      </c>
      <c r="M470" s="282">
        <f>SUM(M471:M471)</f>
        <v>303696.83999999997</v>
      </c>
      <c r="N470" s="282">
        <v>0</v>
      </c>
      <c r="O470" s="282">
        <v>0</v>
      </c>
      <c r="P470" s="282">
        <v>0</v>
      </c>
      <c r="Q470" s="282">
        <f>SUM(Q471:Q471)</f>
        <v>303696.83999999997</v>
      </c>
      <c r="R470" s="287">
        <v>0</v>
      </c>
    </row>
    <row r="471" spans="1:18">
      <c r="A471" s="246"/>
      <c r="B471" s="265">
        <v>0</v>
      </c>
      <c r="C471" s="680" t="s">
        <v>605</v>
      </c>
      <c r="D471" s="266" t="str">
        <f>" - "&amp;'Giá NC'!E8</f>
        <v xml:space="preserve"> - Nhân công bậc 3,0/7 - Nhóm 2</v>
      </c>
      <c r="E471" s="265" t="str">
        <f>'Giá NC'!F8</f>
        <v>công</v>
      </c>
      <c r="F471" s="267">
        <v>0</v>
      </c>
      <c r="G471" s="268">
        <v>1.23</v>
      </c>
      <c r="H471" s="268">
        <f>'5.Tiên lượng'!W128</f>
        <v>1</v>
      </c>
      <c r="I471" s="268">
        <f>PRODUCT(F463,G471,H471)</f>
        <v>9.1388999999999996</v>
      </c>
      <c r="J471" s="283">
        <f>'Giá NC'!G8</f>
        <v>225875</v>
      </c>
      <c r="K471" s="283">
        <f>PRODUCT(G471,H471,J471)</f>
        <v>277826.25</v>
      </c>
      <c r="L471" s="283">
        <f>'Giá NC'!H8</f>
        <v>246908</v>
      </c>
      <c r="M471" s="284">
        <f>PRODUCT(G471,H471,L471)</f>
        <v>303696.83999999997</v>
      </c>
      <c r="N471" s="284">
        <v>0</v>
      </c>
      <c r="O471" s="284">
        <v>0</v>
      </c>
      <c r="P471" s="284">
        <f>'Giá NC'!K8</f>
        <v>246908</v>
      </c>
      <c r="Q471" s="284">
        <f>PRODUCT(G471,H471,P471)</f>
        <v>303696.83999999997</v>
      </c>
      <c r="R471" s="287">
        <v>0</v>
      </c>
    </row>
    <row r="472" spans="1:18">
      <c r="A472" s="240"/>
      <c r="B472" s="260">
        <v>0</v>
      </c>
      <c r="C472" s="261" t="s">
        <v>590</v>
      </c>
      <c r="D472" s="262" t="s">
        <v>267</v>
      </c>
      <c r="E472" s="260"/>
      <c r="F472" s="263">
        <v>0</v>
      </c>
      <c r="G472" s="264">
        <v>0</v>
      </c>
      <c r="H472" s="264"/>
      <c r="I472" s="264">
        <v>0</v>
      </c>
      <c r="J472" s="281">
        <v>0</v>
      </c>
      <c r="K472" s="281">
        <f>SUM(K473:K474)</f>
        <v>51842.799222479996</v>
      </c>
      <c r="L472" s="281">
        <v>0</v>
      </c>
      <c r="M472" s="282">
        <f>SUM(M473:M474)</f>
        <v>51744.808000000005</v>
      </c>
      <c r="N472" s="282">
        <v>0</v>
      </c>
      <c r="O472" s="282">
        <v>0</v>
      </c>
      <c r="P472" s="282">
        <v>0</v>
      </c>
      <c r="Q472" s="282">
        <f>SUM(Q473:Q474)</f>
        <v>56032.926787260003</v>
      </c>
      <c r="R472" s="287">
        <v>0</v>
      </c>
    </row>
    <row r="473" spans="1:18">
      <c r="A473" s="246"/>
      <c r="B473" s="265">
        <v>0</v>
      </c>
      <c r="C473" s="680" t="s">
        <v>623</v>
      </c>
      <c r="D473" s="266" t="str">
        <f>" - "&amp;'Giá Máy'!E27</f>
        <v xml:space="preserve"> - Máy trộn bê tông 250 lít</v>
      </c>
      <c r="E473" s="265" t="str">
        <f>'Giá Máy'!F27</f>
        <v>ca</v>
      </c>
      <c r="F473" s="267">
        <v>0</v>
      </c>
      <c r="G473" s="268">
        <v>9.5000000000000001E-2</v>
      </c>
      <c r="H473" s="268">
        <f>'5.Tiên lượng'!X128</f>
        <v>1</v>
      </c>
      <c r="I473" s="268">
        <f>PRODUCT(F463,G473,H473)</f>
        <v>0.70584999999999998</v>
      </c>
      <c r="J473" s="283">
        <f>'Giá Máy'!G27</f>
        <v>303162.31046000001</v>
      </c>
      <c r="K473" s="283">
        <f t="shared" ref="K473:K474" si="192">PRODUCT(G473,H473,J473)</f>
        <v>28800.419493699999</v>
      </c>
      <c r="L473" s="283">
        <f>'Giá Máy'!H27</f>
        <v>302516</v>
      </c>
      <c r="M473" s="284">
        <f t="shared" ref="M473:M474" si="193">PRODUCT(G473,H473,L473)</f>
        <v>28739.02</v>
      </c>
      <c r="N473" s="284">
        <v>0</v>
      </c>
      <c r="O473" s="284">
        <v>0</v>
      </c>
      <c r="P473" s="284">
        <f>'Giá Máy'!O27</f>
        <v>326305.98864499998</v>
      </c>
      <c r="Q473" s="284">
        <f t="shared" ref="Q473:Q474" si="194">PRODUCT(G473,H473,P473)</f>
        <v>30999.068921274997</v>
      </c>
      <c r="R473" s="287">
        <v>0</v>
      </c>
    </row>
    <row r="474" spans="1:18">
      <c r="A474" s="251"/>
      <c r="B474" s="269">
        <v>0</v>
      </c>
      <c r="C474" s="681" t="s">
        <v>625</v>
      </c>
      <c r="D474" s="270" t="str">
        <f>" - "&amp;'Giá Máy'!E12</f>
        <v xml:space="preserve"> - Máy đầm dùi 1,5kW</v>
      </c>
      <c r="E474" s="269" t="str">
        <f>'Giá Máy'!F12</f>
        <v>ca</v>
      </c>
      <c r="F474" s="271">
        <v>0</v>
      </c>
      <c r="G474" s="272">
        <v>8.8999999999999996E-2</v>
      </c>
      <c r="H474" s="272">
        <f>'5.Tiên lượng'!X128</f>
        <v>1</v>
      </c>
      <c r="I474" s="272">
        <f>PRODUCT(F463,G474,H474)</f>
        <v>0.66126999999999991</v>
      </c>
      <c r="J474" s="285">
        <f>'Giá Máy'!G12</f>
        <v>258903.14301999999</v>
      </c>
      <c r="K474" s="285">
        <f t="shared" si="192"/>
        <v>23042.379728779997</v>
      </c>
      <c r="L474" s="285">
        <f>'Giá Máy'!H12</f>
        <v>258492</v>
      </c>
      <c r="M474" s="286">
        <f t="shared" si="193"/>
        <v>23005.788</v>
      </c>
      <c r="N474" s="286">
        <v>0</v>
      </c>
      <c r="O474" s="286">
        <v>0</v>
      </c>
      <c r="P474" s="286">
        <f>'Giá Máy'!O12</f>
        <v>281279.30186500004</v>
      </c>
      <c r="Q474" s="286">
        <f t="shared" si="194"/>
        <v>25033.857865985003</v>
      </c>
      <c r="R474" s="288">
        <v>0</v>
      </c>
    </row>
    <row r="475" spans="1:18" ht="27.6">
      <c r="A475" s="234"/>
      <c r="B475" s="256">
        <v>53</v>
      </c>
      <c r="C475" s="234" t="str">
        <f>'5.Tiên lượng'!C129</f>
        <v>AE.26313</v>
      </c>
      <c r="D475" s="257" t="str">
        <f>'5.Tiên lượng'!D129</f>
        <v>Xây rãnh thoát nước bằng gạch KN 6,5x10,5x22cm, vữa XM M75, PCB40</v>
      </c>
      <c r="E475" s="256" t="str">
        <f>'5.Tiên lượng'!E129</f>
        <v>m3</v>
      </c>
      <c r="F475" s="258">
        <f>'5.Tiên lượng'!M129</f>
        <v>10.43</v>
      </c>
      <c r="G475" s="259">
        <v>0</v>
      </c>
      <c r="H475" s="259">
        <v>0</v>
      </c>
      <c r="I475" s="259">
        <v>0</v>
      </c>
      <c r="J475" s="279">
        <v>0</v>
      </c>
      <c r="K475" s="279">
        <v>0</v>
      </c>
      <c r="L475" s="279">
        <v>0</v>
      </c>
      <c r="M475" s="280">
        <v>0</v>
      </c>
      <c r="N475" s="280">
        <v>0</v>
      </c>
      <c r="O475" s="280">
        <v>0</v>
      </c>
      <c r="P475" s="280">
        <v>0</v>
      </c>
      <c r="Q475" s="280">
        <v>0</v>
      </c>
      <c r="R475" s="222">
        <v>0</v>
      </c>
    </row>
    <row r="476" spans="1:18">
      <c r="A476" s="240"/>
      <c r="B476" s="260">
        <v>0</v>
      </c>
      <c r="C476" s="261" t="s">
        <v>590</v>
      </c>
      <c r="D476" s="262" t="s">
        <v>262</v>
      </c>
      <c r="E476" s="260"/>
      <c r="F476" s="263">
        <v>0</v>
      </c>
      <c r="G476" s="264">
        <v>0</v>
      </c>
      <c r="H476" s="264"/>
      <c r="I476" s="264">
        <v>0</v>
      </c>
      <c r="J476" s="281">
        <v>0</v>
      </c>
      <c r="K476" s="281">
        <f>SUM(K477:K481)</f>
        <v>919364.79537499999</v>
      </c>
      <c r="L476" s="281">
        <v>0</v>
      </c>
      <c r="M476" s="282">
        <f>SUM(M477:M481)</f>
        <v>942551.58537499991</v>
      </c>
      <c r="N476" s="282">
        <v>0</v>
      </c>
      <c r="O476" s="282">
        <v>0</v>
      </c>
      <c r="P476" s="282">
        <v>0</v>
      </c>
      <c r="Q476" s="282">
        <f>SUM(Q477:Q481)</f>
        <v>1194550.9401206358</v>
      </c>
      <c r="R476" s="287">
        <v>0</v>
      </c>
    </row>
    <row r="477" spans="1:18">
      <c r="A477" s="246"/>
      <c r="B477" s="265">
        <v>0</v>
      </c>
      <c r="C477" s="680" t="s">
        <v>655</v>
      </c>
      <c r="D477" s="266" t="str">
        <f>" - "&amp;'Giá VL'!E49</f>
        <v xml:space="preserve"> - Gạch đất sét nung 6,5 x 10,5 x 22cm</v>
      </c>
      <c r="E477" s="265" t="str">
        <f>'Giá VL'!F49</f>
        <v>viên</v>
      </c>
      <c r="F477" s="267">
        <v>0</v>
      </c>
      <c r="G477" s="268">
        <v>550</v>
      </c>
      <c r="H477" s="268">
        <f>'5.Tiên lượng'!V129</f>
        <v>1</v>
      </c>
      <c r="I477" s="268">
        <f>PRODUCT(F475,G477,H477)</f>
        <v>5736.5</v>
      </c>
      <c r="J477" s="283">
        <f>'Giá VL'!G49</f>
        <v>1150</v>
      </c>
      <c r="K477" s="283">
        <f t="shared" ref="K477:K481" si="195">PRODUCT(G477,H477,J477)</f>
        <v>632500</v>
      </c>
      <c r="L477" s="283">
        <f>'Giá VL'!J49</f>
        <v>1150</v>
      </c>
      <c r="M477" s="284">
        <f t="shared" ref="M477:M481" si="196">PRODUCT(G477,H477,L477)</f>
        <v>632500</v>
      </c>
      <c r="N477" s="284">
        <v>0</v>
      </c>
      <c r="O477" s="284">
        <v>0</v>
      </c>
      <c r="P477" s="284">
        <f>'Giá VL'!V49</f>
        <v>1506.5773788111758</v>
      </c>
      <c r="Q477" s="284">
        <f t="shared" ref="Q477:Q481" si="197">PRODUCT(G477,H477,P477)</f>
        <v>828617.55834614672</v>
      </c>
      <c r="R477" s="287">
        <v>5.5</v>
      </c>
    </row>
    <row r="478" spans="1:18">
      <c r="A478" s="246"/>
      <c r="B478" s="265">
        <v>0</v>
      </c>
      <c r="C478" s="680" t="s">
        <v>614</v>
      </c>
      <c r="D478" s="266" t="str">
        <f>" - "&amp;'Giá VL'!E45</f>
        <v xml:space="preserve"> - Xi măng PCB40</v>
      </c>
      <c r="E478" s="265" t="str">
        <f>'Giá VL'!F45</f>
        <v>kg</v>
      </c>
      <c r="F478" s="267">
        <v>0</v>
      </c>
      <c r="G478" s="268">
        <v>87.912000000000006</v>
      </c>
      <c r="H478" s="268">
        <f>'5.Tiên lượng'!V129</f>
        <v>1</v>
      </c>
      <c r="I478" s="268">
        <f>PRODUCT(F475,G478,H478)</f>
        <v>916.92216000000008</v>
      </c>
      <c r="J478" s="283">
        <f>'Giá VL'!G45</f>
        <v>1350</v>
      </c>
      <c r="K478" s="283">
        <f t="shared" si="195"/>
        <v>118681.20000000001</v>
      </c>
      <c r="L478" s="283">
        <f>'Giá VL'!J45</f>
        <v>1600</v>
      </c>
      <c r="M478" s="284">
        <f t="shared" si="196"/>
        <v>140659.20000000001</v>
      </c>
      <c r="N478" s="284">
        <v>0</v>
      </c>
      <c r="O478" s="284">
        <v>0</v>
      </c>
      <c r="P478" s="284">
        <f>'Giá VL'!V45</f>
        <v>1730</v>
      </c>
      <c r="Q478" s="284">
        <f t="shared" si="197"/>
        <v>152087.76</v>
      </c>
      <c r="R478" s="287">
        <v>5.5</v>
      </c>
    </row>
    <row r="479" spans="1:18">
      <c r="A479" s="246"/>
      <c r="B479" s="265">
        <v>0</v>
      </c>
      <c r="C479" s="680" t="s">
        <v>656</v>
      </c>
      <c r="D479" s="266" t="str">
        <f>" - "&amp;'Giá VL'!E16</f>
        <v xml:space="preserve"> - Cát mịn ML=1,5÷2,0</v>
      </c>
      <c r="E479" s="265" t="str">
        <f>'Giá VL'!F16</f>
        <v>m3</v>
      </c>
      <c r="F479" s="267">
        <v>0</v>
      </c>
      <c r="G479" s="268">
        <v>0.39627000000000001</v>
      </c>
      <c r="H479" s="268">
        <f>'5.Tiên lượng'!V129</f>
        <v>1</v>
      </c>
      <c r="I479" s="268">
        <f>PRODUCT(F475,G479,H479)</f>
        <v>4.1330961000000004</v>
      </c>
      <c r="J479" s="283">
        <f>'Giá VL'!G16</f>
        <v>300000</v>
      </c>
      <c r="K479" s="283">
        <f t="shared" si="195"/>
        <v>118881</v>
      </c>
      <c r="L479" s="283">
        <f>'Giá VL'!J16</f>
        <v>300000</v>
      </c>
      <c r="M479" s="284">
        <f t="shared" si="196"/>
        <v>118881</v>
      </c>
      <c r="N479" s="284">
        <v>0</v>
      </c>
      <c r="O479" s="284">
        <v>0</v>
      </c>
      <c r="P479" s="284">
        <f>'Giá VL'!V16</f>
        <v>379026.49526849983</v>
      </c>
      <c r="Q479" s="284">
        <f t="shared" si="197"/>
        <v>150196.82928004843</v>
      </c>
      <c r="R479" s="287">
        <v>5.5</v>
      </c>
    </row>
    <row r="480" spans="1:18">
      <c r="A480" s="246"/>
      <c r="B480" s="265">
        <v>0</v>
      </c>
      <c r="C480" s="680" t="s">
        <v>617</v>
      </c>
      <c r="D480" s="266" t="str">
        <f>" - "&amp;'Giá VL'!E33</f>
        <v xml:space="preserve"> - Nước</v>
      </c>
      <c r="E480" s="265" t="str">
        <f>'Giá VL'!F33</f>
        <v>lít</v>
      </c>
      <c r="F480" s="267">
        <v>0</v>
      </c>
      <c r="G480" s="268">
        <v>91.575000000000003</v>
      </c>
      <c r="H480" s="268">
        <f>'5.Tiên lượng'!V129</f>
        <v>1</v>
      </c>
      <c r="I480" s="268">
        <f>PRODUCT(F475,G480,H480)</f>
        <v>955.12725</v>
      </c>
      <c r="J480" s="283">
        <f>'Giá VL'!G33</f>
        <v>15</v>
      </c>
      <c r="K480" s="283">
        <f t="shared" si="195"/>
        <v>1373.625</v>
      </c>
      <c r="L480" s="283">
        <f>'Giá VL'!J33</f>
        <v>15</v>
      </c>
      <c r="M480" s="284">
        <f t="shared" si="196"/>
        <v>1373.625</v>
      </c>
      <c r="N480" s="284">
        <v>0</v>
      </c>
      <c r="O480" s="284">
        <v>0</v>
      </c>
      <c r="P480" s="284">
        <f>'Giá VL'!V33</f>
        <v>15</v>
      </c>
      <c r="Q480" s="284">
        <f t="shared" si="197"/>
        <v>1373.625</v>
      </c>
      <c r="R480" s="287">
        <v>5.5</v>
      </c>
    </row>
    <row r="481" spans="1:18">
      <c r="A481" s="246"/>
      <c r="B481" s="265">
        <v>0</v>
      </c>
      <c r="C481" s="680" t="s">
        <v>620</v>
      </c>
      <c r="D481" s="266" t="s">
        <v>621</v>
      </c>
      <c r="E481" s="265" t="s">
        <v>37</v>
      </c>
      <c r="F481" s="267">
        <v>0</v>
      </c>
      <c r="G481" s="268">
        <f>AVERAGE(R477:R480)</f>
        <v>5.5</v>
      </c>
      <c r="H481" s="268">
        <f>'5.Tiên lượng'!V129</f>
        <v>1</v>
      </c>
      <c r="I481" s="268">
        <f>PRODUCT(F475,G481,H481)</f>
        <v>57.364999999999995</v>
      </c>
      <c r="J481" s="283">
        <f>(G477*J477+G478*J478+G479*J479+G480*J480)/100</f>
        <v>8714.3582499999993</v>
      </c>
      <c r="K481" s="283">
        <f t="shared" si="195"/>
        <v>47928.970374999997</v>
      </c>
      <c r="L481" s="283">
        <f>(G477*L477+G478*L478+G479*L479+G480*L480)/100</f>
        <v>8934.13825</v>
      </c>
      <c r="M481" s="284">
        <f t="shared" si="196"/>
        <v>49137.760374999998</v>
      </c>
      <c r="N481" s="284">
        <v>0</v>
      </c>
      <c r="O481" s="284">
        <v>0</v>
      </c>
      <c r="P481" s="284">
        <f>(G477*P477+G478*P478+G479*P479+G480*P480)/100</f>
        <v>11322.757726261951</v>
      </c>
      <c r="Q481" s="284">
        <f t="shared" si="197"/>
        <v>62275.167494440728</v>
      </c>
      <c r="R481" s="287">
        <v>0</v>
      </c>
    </row>
    <row r="482" spans="1:18">
      <c r="A482" s="240"/>
      <c r="B482" s="260">
        <v>0</v>
      </c>
      <c r="C482" s="261" t="s">
        <v>590</v>
      </c>
      <c r="D482" s="262" t="s">
        <v>265</v>
      </c>
      <c r="E482" s="260"/>
      <c r="F482" s="263">
        <v>0</v>
      </c>
      <c r="G482" s="264">
        <v>0</v>
      </c>
      <c r="H482" s="264"/>
      <c r="I482" s="264">
        <v>0</v>
      </c>
      <c r="J482" s="281">
        <v>0</v>
      </c>
      <c r="K482" s="281">
        <f>SUM(K483:K483)</f>
        <v>1111500</v>
      </c>
      <c r="L482" s="281">
        <v>0</v>
      </c>
      <c r="M482" s="282">
        <f>SUM(M483:M483)</f>
        <v>1215000</v>
      </c>
      <c r="N482" s="282">
        <v>0</v>
      </c>
      <c r="O482" s="282">
        <v>0</v>
      </c>
      <c r="P482" s="282">
        <v>0</v>
      </c>
      <c r="Q482" s="282">
        <f>SUM(Q483:Q483)</f>
        <v>1215000</v>
      </c>
      <c r="R482" s="287">
        <v>0</v>
      </c>
    </row>
    <row r="483" spans="1:18">
      <c r="A483" s="246"/>
      <c r="B483" s="265">
        <v>0</v>
      </c>
      <c r="C483" s="680" t="s">
        <v>622</v>
      </c>
      <c r="D483" s="266" t="str">
        <f>" - "&amp;'Giá NC'!E9</f>
        <v xml:space="preserve"> - Nhân công bậc 3,5/7 - Nhóm 2</v>
      </c>
      <c r="E483" s="265" t="str">
        <f>'Giá NC'!F9</f>
        <v>công</v>
      </c>
      <c r="F483" s="267">
        <v>0</v>
      </c>
      <c r="G483" s="268">
        <v>4.5</v>
      </c>
      <c r="H483" s="268">
        <f>'5.Tiên lượng'!W129</f>
        <v>1</v>
      </c>
      <c r="I483" s="268">
        <f>PRODUCT(F475,G483,H483)</f>
        <v>46.935000000000002</v>
      </c>
      <c r="J483" s="283">
        <f>'Giá NC'!G9</f>
        <v>247000</v>
      </c>
      <c r="K483" s="283">
        <f>PRODUCT(G483,H483,J483)</f>
        <v>1111500</v>
      </c>
      <c r="L483" s="283">
        <f>'Giá NC'!H9</f>
        <v>270000</v>
      </c>
      <c r="M483" s="284">
        <f>PRODUCT(G483,H483,L483)</f>
        <v>1215000</v>
      </c>
      <c r="N483" s="284">
        <v>0</v>
      </c>
      <c r="O483" s="284">
        <v>0</v>
      </c>
      <c r="P483" s="284">
        <f>'Giá NC'!K9</f>
        <v>270000</v>
      </c>
      <c r="Q483" s="284">
        <f>PRODUCT(G483,H483,P483)</f>
        <v>1215000</v>
      </c>
      <c r="R483" s="287">
        <v>0</v>
      </c>
    </row>
    <row r="484" spans="1:18">
      <c r="A484" s="240"/>
      <c r="B484" s="260">
        <v>0</v>
      </c>
      <c r="C484" s="261" t="s">
        <v>590</v>
      </c>
      <c r="D484" s="262" t="s">
        <v>267</v>
      </c>
      <c r="E484" s="260"/>
      <c r="F484" s="263">
        <v>0</v>
      </c>
      <c r="G484" s="264">
        <v>0</v>
      </c>
      <c r="H484" s="264"/>
      <c r="I484" s="264">
        <v>0</v>
      </c>
      <c r="J484" s="281">
        <v>0</v>
      </c>
      <c r="K484" s="281">
        <f>SUM(K485:K485)</f>
        <v>10804.921766202369</v>
      </c>
      <c r="L484" s="281">
        <v>0</v>
      </c>
      <c r="M484" s="282">
        <f>SUM(M485:M485)</f>
        <v>10786.581</v>
      </c>
      <c r="N484" s="282">
        <v>0</v>
      </c>
      <c r="O484" s="282">
        <v>0</v>
      </c>
      <c r="P484" s="282">
        <v>0</v>
      </c>
      <c r="Q484" s="282">
        <f>SUM(Q485:Q485)</f>
        <v>11685.075274722354</v>
      </c>
      <c r="R484" s="287">
        <v>0</v>
      </c>
    </row>
    <row r="485" spans="1:18">
      <c r="A485" s="251"/>
      <c r="B485" s="269">
        <v>0</v>
      </c>
      <c r="C485" s="681" t="s">
        <v>657</v>
      </c>
      <c r="D485" s="270" t="str">
        <f>" - "&amp;'Giá Máy'!E28</f>
        <v xml:space="preserve"> - Máy trộn vữa 150l</v>
      </c>
      <c r="E485" s="269" t="str">
        <f>'Giá Máy'!F28</f>
        <v>ca</v>
      </c>
      <c r="F485" s="271">
        <v>0</v>
      </c>
      <c r="G485" s="272">
        <v>3.9E-2</v>
      </c>
      <c r="H485" s="272">
        <f>'5.Tiên lượng'!X129</f>
        <v>1</v>
      </c>
      <c r="I485" s="272">
        <f>PRODUCT(F475,G485,H485)</f>
        <v>0.40676999999999996</v>
      </c>
      <c r="J485" s="285">
        <f>'Giá Máy'!G28</f>
        <v>277049.27605647099</v>
      </c>
      <c r="K485" s="285">
        <f>PRODUCT(G485,H485,J485)</f>
        <v>10804.921766202369</v>
      </c>
      <c r="L485" s="285">
        <f>'Giá Máy'!H28</f>
        <v>276579</v>
      </c>
      <c r="M485" s="286">
        <f>PRODUCT(G485,H485,L485)</f>
        <v>10786.581</v>
      </c>
      <c r="N485" s="286">
        <v>0</v>
      </c>
      <c r="O485" s="286">
        <v>0</v>
      </c>
      <c r="P485" s="286">
        <f>'Giá Máy'!O28</f>
        <v>299617.31473647064</v>
      </c>
      <c r="Q485" s="286">
        <f>PRODUCT(G485,H485,P485)</f>
        <v>11685.075274722354</v>
      </c>
      <c r="R485" s="288">
        <v>0</v>
      </c>
    </row>
    <row r="486" spans="1:18">
      <c r="A486" s="234"/>
      <c r="B486" s="256">
        <v>54</v>
      </c>
      <c r="C486" s="234" t="str">
        <f>'5.Tiên lượng'!C130</f>
        <v>AK.21113</v>
      </c>
      <c r="D486" s="257" t="str">
        <f>'5.Tiên lượng'!D130</f>
        <v>Trát tường ngoài dày 1cm, vữa XM M75, PCB40</v>
      </c>
      <c r="E486" s="256" t="str">
        <f>'5.Tiên lượng'!E130</f>
        <v>m2</v>
      </c>
      <c r="F486" s="258">
        <f>'5.Tiên lượng'!M130</f>
        <v>47.4</v>
      </c>
      <c r="G486" s="259">
        <v>0</v>
      </c>
      <c r="H486" s="259">
        <v>0</v>
      </c>
      <c r="I486" s="259">
        <v>0</v>
      </c>
      <c r="J486" s="279">
        <v>0</v>
      </c>
      <c r="K486" s="279">
        <v>0</v>
      </c>
      <c r="L486" s="279">
        <v>0</v>
      </c>
      <c r="M486" s="280">
        <v>0</v>
      </c>
      <c r="N486" s="280">
        <v>0</v>
      </c>
      <c r="O486" s="280">
        <v>0</v>
      </c>
      <c r="P486" s="280">
        <v>0</v>
      </c>
      <c r="Q486" s="280">
        <v>0</v>
      </c>
      <c r="R486" s="222">
        <v>0</v>
      </c>
    </row>
    <row r="487" spans="1:18">
      <c r="A487" s="240"/>
      <c r="B487" s="260">
        <v>0</v>
      </c>
      <c r="C487" s="261" t="s">
        <v>590</v>
      </c>
      <c r="D487" s="262" t="s">
        <v>262</v>
      </c>
      <c r="E487" s="260"/>
      <c r="F487" s="263">
        <v>0</v>
      </c>
      <c r="G487" s="264">
        <v>0</v>
      </c>
      <c r="H487" s="264"/>
      <c r="I487" s="264">
        <v>0</v>
      </c>
      <c r="J487" s="281">
        <v>0</v>
      </c>
      <c r="K487" s="281">
        <f>SUM(K488:K491)</f>
        <v>9144.1332000000002</v>
      </c>
      <c r="L487" s="281">
        <v>0</v>
      </c>
      <c r="M487" s="282">
        <f>SUM(M488:M491)</f>
        <v>10051.6482</v>
      </c>
      <c r="N487" s="282">
        <v>0</v>
      </c>
      <c r="O487" s="282">
        <v>0</v>
      </c>
      <c r="P487" s="282">
        <v>0</v>
      </c>
      <c r="Q487" s="282">
        <f>SUM(Q488:Q491)</f>
        <v>11628.151998675268</v>
      </c>
      <c r="R487" s="287">
        <v>0</v>
      </c>
    </row>
    <row r="488" spans="1:18">
      <c r="A488" s="246"/>
      <c r="B488" s="265">
        <v>0</v>
      </c>
      <c r="C488" s="680" t="s">
        <v>614</v>
      </c>
      <c r="D488" s="266" t="str">
        <f>" - "&amp;'Giá VL'!E45</f>
        <v xml:space="preserve"> - Xi măng PCB40</v>
      </c>
      <c r="E488" s="265" t="str">
        <f>'Giá VL'!F45</f>
        <v>kg</v>
      </c>
      <c r="F488" s="267">
        <v>0</v>
      </c>
      <c r="G488" s="268">
        <v>3.6120000000000001</v>
      </c>
      <c r="H488" s="268">
        <f>'5.Tiên lượng'!V130</f>
        <v>1</v>
      </c>
      <c r="I488" s="268">
        <f>PRODUCT(F486,G488,H488)</f>
        <v>171.2088</v>
      </c>
      <c r="J488" s="283">
        <f>'Giá VL'!G45</f>
        <v>1350</v>
      </c>
      <c r="K488" s="283">
        <f t="shared" ref="K488:K491" si="198">PRODUCT(G488,H488,J488)</f>
        <v>4876.2</v>
      </c>
      <c r="L488" s="283">
        <f>'Giá VL'!J45</f>
        <v>1600</v>
      </c>
      <c r="M488" s="284">
        <f t="shared" ref="M488:M491" si="199">PRODUCT(G488,H488,L488)</f>
        <v>5779.2</v>
      </c>
      <c r="N488" s="284">
        <v>0</v>
      </c>
      <c r="O488" s="284">
        <v>0</v>
      </c>
      <c r="P488" s="284">
        <f>'Giá VL'!V45</f>
        <v>1730</v>
      </c>
      <c r="Q488" s="284">
        <f t="shared" ref="Q488:Q491" si="200">PRODUCT(G488,H488,P488)</f>
        <v>6248.76</v>
      </c>
      <c r="R488" s="287">
        <v>0.5</v>
      </c>
    </row>
    <row r="489" spans="1:18">
      <c r="A489" s="246"/>
      <c r="B489" s="265">
        <v>0</v>
      </c>
      <c r="C489" s="680" t="s">
        <v>658</v>
      </c>
      <c r="D489" s="266" t="str">
        <f>" - "&amp;'Giá VL'!E15</f>
        <v xml:space="preserve"> - Cát mịn ML=0,7÷1,4</v>
      </c>
      <c r="E489" s="265" t="str">
        <f>'Giá VL'!F15</f>
        <v>m3</v>
      </c>
      <c r="F489" s="267">
        <v>0</v>
      </c>
      <c r="G489" s="268">
        <v>1.3908E-2</v>
      </c>
      <c r="H489" s="268">
        <f>'5.Tiên lượng'!V130</f>
        <v>1</v>
      </c>
      <c r="I489" s="268">
        <f>PRODUCT(F486,G489,H489)</f>
        <v>0.65923920000000003</v>
      </c>
      <c r="J489" s="283">
        <f>'Giá VL'!G15</f>
        <v>300000</v>
      </c>
      <c r="K489" s="283">
        <f t="shared" si="198"/>
        <v>4172.3999999999996</v>
      </c>
      <c r="L489" s="283">
        <f>'Giá VL'!J15</f>
        <v>300000</v>
      </c>
      <c r="M489" s="284">
        <f t="shared" si="199"/>
        <v>4172.3999999999996</v>
      </c>
      <c r="N489" s="284">
        <v>0</v>
      </c>
      <c r="O489" s="284">
        <v>0</v>
      </c>
      <c r="P489" s="284">
        <f>'Giá VL'!V15</f>
        <v>379026.49526849983</v>
      </c>
      <c r="Q489" s="284">
        <f t="shared" si="200"/>
        <v>5271.5004961942959</v>
      </c>
      <c r="R489" s="287">
        <v>0.5</v>
      </c>
    </row>
    <row r="490" spans="1:18">
      <c r="A490" s="246"/>
      <c r="B490" s="265">
        <v>0</v>
      </c>
      <c r="C490" s="680" t="s">
        <v>617</v>
      </c>
      <c r="D490" s="266" t="str">
        <f>" - "&amp;'Giá VL'!E33</f>
        <v xml:space="preserve"> - Nước</v>
      </c>
      <c r="E490" s="265" t="str">
        <f>'Giá VL'!F33</f>
        <v>lít</v>
      </c>
      <c r="F490" s="267">
        <v>0</v>
      </c>
      <c r="G490" s="268">
        <v>3.3359999999999999</v>
      </c>
      <c r="H490" s="268">
        <f>'5.Tiên lượng'!V130</f>
        <v>1</v>
      </c>
      <c r="I490" s="268">
        <f>PRODUCT(F486,G490,H490)</f>
        <v>158.12639999999999</v>
      </c>
      <c r="J490" s="283">
        <f>'Giá VL'!G33</f>
        <v>15</v>
      </c>
      <c r="K490" s="283">
        <f t="shared" si="198"/>
        <v>50.04</v>
      </c>
      <c r="L490" s="283">
        <f>'Giá VL'!J33</f>
        <v>15</v>
      </c>
      <c r="M490" s="284">
        <f t="shared" si="199"/>
        <v>50.04</v>
      </c>
      <c r="N490" s="284">
        <v>0</v>
      </c>
      <c r="O490" s="284">
        <v>0</v>
      </c>
      <c r="P490" s="284">
        <f>'Giá VL'!V33</f>
        <v>15</v>
      </c>
      <c r="Q490" s="284">
        <f t="shared" si="200"/>
        <v>50.04</v>
      </c>
      <c r="R490" s="287">
        <v>0.5</v>
      </c>
    </row>
    <row r="491" spans="1:18">
      <c r="A491" s="246"/>
      <c r="B491" s="265">
        <v>0</v>
      </c>
      <c r="C491" s="680" t="s">
        <v>620</v>
      </c>
      <c r="D491" s="266" t="s">
        <v>621</v>
      </c>
      <c r="E491" s="265" t="s">
        <v>37</v>
      </c>
      <c r="F491" s="267">
        <v>0</v>
      </c>
      <c r="G491" s="268">
        <f>AVERAGE(R488:R490)</f>
        <v>0.5</v>
      </c>
      <c r="H491" s="268">
        <f>'5.Tiên lượng'!V130</f>
        <v>1</v>
      </c>
      <c r="I491" s="268">
        <f>PRODUCT(F486,G491,H491)</f>
        <v>23.7</v>
      </c>
      <c r="J491" s="283">
        <f>(G488*J488+G489*J489+G490*J490)/100</f>
        <v>90.986399999999989</v>
      </c>
      <c r="K491" s="283">
        <f t="shared" si="198"/>
        <v>45.493199999999995</v>
      </c>
      <c r="L491" s="283">
        <f>(G488*L488+G489*L489+G490*L490)/100</f>
        <v>100.01639999999999</v>
      </c>
      <c r="M491" s="284">
        <f t="shared" si="199"/>
        <v>50.008199999999995</v>
      </c>
      <c r="N491" s="284">
        <v>0</v>
      </c>
      <c r="O491" s="284">
        <v>0</v>
      </c>
      <c r="P491" s="284">
        <f>(G488*P488+G489*P489+G490*P490)/100</f>
        <v>115.70300496194297</v>
      </c>
      <c r="Q491" s="284">
        <f t="shared" si="200"/>
        <v>57.851502480971483</v>
      </c>
      <c r="R491" s="287">
        <v>0</v>
      </c>
    </row>
    <row r="492" spans="1:18">
      <c r="A492" s="240"/>
      <c r="B492" s="260">
        <v>0</v>
      </c>
      <c r="C492" s="261" t="s">
        <v>590</v>
      </c>
      <c r="D492" s="262" t="s">
        <v>265</v>
      </c>
      <c r="E492" s="260"/>
      <c r="F492" s="263">
        <v>0</v>
      </c>
      <c r="G492" s="264">
        <v>0</v>
      </c>
      <c r="H492" s="264"/>
      <c r="I492" s="264">
        <v>0</v>
      </c>
      <c r="J492" s="281">
        <v>0</v>
      </c>
      <c r="K492" s="281">
        <f>SUM(K493:K493)</f>
        <v>54340</v>
      </c>
      <c r="L492" s="281">
        <v>0</v>
      </c>
      <c r="M492" s="282">
        <f>SUM(M493:M493)</f>
        <v>59400</v>
      </c>
      <c r="N492" s="282">
        <v>0</v>
      </c>
      <c r="O492" s="282">
        <v>0</v>
      </c>
      <c r="P492" s="282">
        <v>0</v>
      </c>
      <c r="Q492" s="282">
        <f>SUM(Q493:Q493)</f>
        <v>59400</v>
      </c>
      <c r="R492" s="287">
        <v>0</v>
      </c>
    </row>
    <row r="493" spans="1:18">
      <c r="A493" s="246"/>
      <c r="B493" s="265">
        <v>0</v>
      </c>
      <c r="C493" s="680" t="s">
        <v>622</v>
      </c>
      <c r="D493" s="266" t="str">
        <f>" - "&amp;'Giá NC'!E9</f>
        <v xml:space="preserve"> - Nhân công bậc 3,5/7 - Nhóm 2</v>
      </c>
      <c r="E493" s="265" t="str">
        <f>'Giá NC'!F9</f>
        <v>công</v>
      </c>
      <c r="F493" s="267">
        <v>0</v>
      </c>
      <c r="G493" s="268">
        <v>0.22</v>
      </c>
      <c r="H493" s="268">
        <f>'5.Tiên lượng'!W130</f>
        <v>1</v>
      </c>
      <c r="I493" s="268">
        <f>PRODUCT(F486,G493,H493)</f>
        <v>10.427999999999999</v>
      </c>
      <c r="J493" s="283">
        <f>'Giá NC'!G9</f>
        <v>247000</v>
      </c>
      <c r="K493" s="283">
        <f>PRODUCT(G493,H493,J493)</f>
        <v>54340</v>
      </c>
      <c r="L493" s="283">
        <f>'Giá NC'!H9</f>
        <v>270000</v>
      </c>
      <c r="M493" s="284">
        <f>PRODUCT(G493,H493,L493)</f>
        <v>59400</v>
      </c>
      <c r="N493" s="284">
        <v>0</v>
      </c>
      <c r="O493" s="284">
        <v>0</v>
      </c>
      <c r="P493" s="284">
        <f>'Giá NC'!K9</f>
        <v>270000</v>
      </c>
      <c r="Q493" s="284">
        <f>PRODUCT(G493,H493,P493)</f>
        <v>59400</v>
      </c>
      <c r="R493" s="287">
        <v>0</v>
      </c>
    </row>
    <row r="494" spans="1:18">
      <c r="A494" s="240"/>
      <c r="B494" s="260">
        <v>0</v>
      </c>
      <c r="C494" s="261" t="s">
        <v>590</v>
      </c>
      <c r="D494" s="262" t="s">
        <v>267</v>
      </c>
      <c r="E494" s="260"/>
      <c r="F494" s="263">
        <v>0</v>
      </c>
      <c r="G494" s="264">
        <v>0</v>
      </c>
      <c r="H494" s="264"/>
      <c r="I494" s="264">
        <v>0</v>
      </c>
      <c r="J494" s="281">
        <v>0</v>
      </c>
      <c r="K494" s="281">
        <f>SUM(K495:K495)</f>
        <v>554.098552112942</v>
      </c>
      <c r="L494" s="281">
        <v>0</v>
      </c>
      <c r="M494" s="282">
        <f>SUM(M495:M495)</f>
        <v>553.15800000000002</v>
      </c>
      <c r="N494" s="282">
        <v>0</v>
      </c>
      <c r="O494" s="282">
        <v>0</v>
      </c>
      <c r="P494" s="282">
        <v>0</v>
      </c>
      <c r="Q494" s="282">
        <f>SUM(Q495:Q495)</f>
        <v>599.23462947294126</v>
      </c>
      <c r="R494" s="287">
        <v>0</v>
      </c>
    </row>
    <row r="495" spans="1:18">
      <c r="A495" s="251"/>
      <c r="B495" s="269">
        <v>0</v>
      </c>
      <c r="C495" s="681" t="s">
        <v>657</v>
      </c>
      <c r="D495" s="270" t="str">
        <f>" - "&amp;'Giá Máy'!E28</f>
        <v xml:space="preserve"> - Máy trộn vữa 150l</v>
      </c>
      <c r="E495" s="269" t="str">
        <f>'Giá Máy'!F28</f>
        <v>ca</v>
      </c>
      <c r="F495" s="271">
        <v>0</v>
      </c>
      <c r="G495" s="272">
        <v>2E-3</v>
      </c>
      <c r="H495" s="272">
        <f>'5.Tiên lượng'!X130</f>
        <v>1</v>
      </c>
      <c r="I495" s="272">
        <f>PRODUCT(F486,G495,H495)</f>
        <v>9.4799999999999995E-2</v>
      </c>
      <c r="J495" s="285">
        <f>'Giá Máy'!G28</f>
        <v>277049.27605647099</v>
      </c>
      <c r="K495" s="285">
        <f>PRODUCT(G495,H495,J495)</f>
        <v>554.098552112942</v>
      </c>
      <c r="L495" s="285">
        <f>'Giá Máy'!H28</f>
        <v>276579</v>
      </c>
      <c r="M495" s="286">
        <f>PRODUCT(G495,H495,L495)</f>
        <v>553.15800000000002</v>
      </c>
      <c r="N495" s="286">
        <v>0</v>
      </c>
      <c r="O495" s="286">
        <v>0</v>
      </c>
      <c r="P495" s="286">
        <f>'Giá Máy'!O28</f>
        <v>299617.31473647064</v>
      </c>
      <c r="Q495" s="286">
        <f>PRODUCT(G495,H495,P495)</f>
        <v>599.23462947294126</v>
      </c>
      <c r="R495" s="288">
        <v>0</v>
      </c>
    </row>
    <row r="496" spans="1:18" ht="41.4">
      <c r="A496" s="234"/>
      <c r="B496" s="256">
        <v>55</v>
      </c>
      <c r="C496" s="234" t="str">
        <f>'5.Tiên lượng'!C132</f>
        <v>AF.14212</v>
      </c>
      <c r="D496" s="257" t="str">
        <f>'5.Tiên lượng'!D132</f>
        <v>Bê tông mũ mố, mũ trụ trên cạn SX bằng máy trộn, đổ bằng thủ công, bê tông M200, đá 1x2, PCB40</v>
      </c>
      <c r="E496" s="256" t="str">
        <f>'5.Tiên lượng'!E132</f>
        <v>m3</v>
      </c>
      <c r="F496" s="258">
        <f>'5.Tiên lượng'!M132</f>
        <v>5.91</v>
      </c>
      <c r="G496" s="259">
        <v>0</v>
      </c>
      <c r="H496" s="259">
        <v>0</v>
      </c>
      <c r="I496" s="259">
        <v>0</v>
      </c>
      <c r="J496" s="279">
        <v>0</v>
      </c>
      <c r="K496" s="279">
        <v>0</v>
      </c>
      <c r="L496" s="279">
        <v>0</v>
      </c>
      <c r="M496" s="280">
        <v>0</v>
      </c>
      <c r="N496" s="280">
        <v>0</v>
      </c>
      <c r="O496" s="280">
        <v>0</v>
      </c>
      <c r="P496" s="280">
        <v>0</v>
      </c>
      <c r="Q496" s="280">
        <v>0</v>
      </c>
      <c r="R496" s="222">
        <v>0</v>
      </c>
    </row>
    <row r="497" spans="1:18">
      <c r="A497" s="240"/>
      <c r="B497" s="260">
        <v>0</v>
      </c>
      <c r="C497" s="261" t="s">
        <v>590</v>
      </c>
      <c r="D497" s="262" t="s">
        <v>262</v>
      </c>
      <c r="E497" s="260"/>
      <c r="F497" s="263">
        <v>0</v>
      </c>
      <c r="G497" s="264">
        <v>0</v>
      </c>
      <c r="H497" s="264"/>
      <c r="I497" s="264">
        <v>0</v>
      </c>
      <c r="J497" s="281">
        <v>0</v>
      </c>
      <c r="K497" s="281">
        <f>SUM(K498:K502)</f>
        <v>834303.77249999996</v>
      </c>
      <c r="L497" s="281">
        <v>0</v>
      </c>
      <c r="M497" s="282">
        <f>SUM(M498:M502)</f>
        <v>993062.94750000001</v>
      </c>
      <c r="N497" s="282">
        <v>0</v>
      </c>
      <c r="O497" s="282">
        <v>0</v>
      </c>
      <c r="P497" s="282">
        <v>0</v>
      </c>
      <c r="Q497" s="282">
        <f>SUM(Q498:Q502)</f>
        <v>1136050.7081554648</v>
      </c>
      <c r="R497" s="287">
        <v>0</v>
      </c>
    </row>
    <row r="498" spans="1:18">
      <c r="A498" s="246"/>
      <c r="B498" s="265">
        <v>0</v>
      </c>
      <c r="C498" s="680" t="s">
        <v>614</v>
      </c>
      <c r="D498" s="266" t="str">
        <f>" - "&amp;'Giá VL'!E45</f>
        <v xml:space="preserve"> - Xi măng PCB40</v>
      </c>
      <c r="E498" s="265" t="str">
        <f>'Giá VL'!F45</f>
        <v>kg</v>
      </c>
      <c r="F498" s="267">
        <v>0</v>
      </c>
      <c r="G498" s="268">
        <v>265.47500000000002</v>
      </c>
      <c r="H498" s="268">
        <f>'5.Tiên lượng'!V132</f>
        <v>1</v>
      </c>
      <c r="I498" s="268">
        <f>PRODUCT(F496,G498,H498)</f>
        <v>1568.9572500000002</v>
      </c>
      <c r="J498" s="283">
        <f>'Giá VL'!G45</f>
        <v>1350</v>
      </c>
      <c r="K498" s="283">
        <f t="shared" ref="K498:K502" si="201">PRODUCT(G498,H498,J498)</f>
        <v>358391.25000000006</v>
      </c>
      <c r="L498" s="283">
        <f>'Giá VL'!J45</f>
        <v>1600</v>
      </c>
      <c r="M498" s="284">
        <f t="shared" ref="M498:M502" si="202">PRODUCT(G498,H498,L498)</f>
        <v>424760.00000000006</v>
      </c>
      <c r="N498" s="284">
        <v>0</v>
      </c>
      <c r="O498" s="284">
        <v>0</v>
      </c>
      <c r="P498" s="284">
        <f>'Giá VL'!V45</f>
        <v>1730</v>
      </c>
      <c r="Q498" s="284">
        <f t="shared" ref="Q498:Q502" si="203">PRODUCT(G498,H498,P498)</f>
        <v>459271.75000000006</v>
      </c>
      <c r="R498" s="287">
        <v>2</v>
      </c>
    </row>
    <row r="499" spans="1:18">
      <c r="A499" s="246"/>
      <c r="B499" s="265">
        <v>0</v>
      </c>
      <c r="C499" s="680" t="s">
        <v>615</v>
      </c>
      <c r="D499" s="266" t="str">
        <f>" - "&amp;'Giá VL'!E17</f>
        <v xml:space="preserve"> - Cát vàng</v>
      </c>
      <c r="E499" s="265" t="str">
        <f>'Giá VL'!F17</f>
        <v>m3</v>
      </c>
      <c r="F499" s="267">
        <v>0</v>
      </c>
      <c r="G499" s="268">
        <v>0.54120000000000001</v>
      </c>
      <c r="H499" s="268">
        <f>'5.Tiên lượng'!V132</f>
        <v>1</v>
      </c>
      <c r="I499" s="268">
        <f>PRODUCT(F496,G499,H499)</f>
        <v>3.1984920000000003</v>
      </c>
      <c r="J499" s="283">
        <f>'Giá VL'!G17</f>
        <v>580000</v>
      </c>
      <c r="K499" s="283">
        <f t="shared" si="201"/>
        <v>313896</v>
      </c>
      <c r="L499" s="283">
        <f>'Giá VL'!J17</f>
        <v>580000</v>
      </c>
      <c r="M499" s="284">
        <f t="shared" si="202"/>
        <v>313896</v>
      </c>
      <c r="N499" s="284">
        <v>0</v>
      </c>
      <c r="O499" s="284">
        <v>0</v>
      </c>
      <c r="P499" s="284">
        <f>'Giá VL'!V17</f>
        <v>659026.49526849983</v>
      </c>
      <c r="Q499" s="284">
        <f t="shared" si="203"/>
        <v>356665.13923931209</v>
      </c>
      <c r="R499" s="287">
        <v>2</v>
      </c>
    </row>
    <row r="500" spans="1:18">
      <c r="A500" s="246"/>
      <c r="B500" s="265">
        <v>0</v>
      </c>
      <c r="C500" s="680" t="s">
        <v>659</v>
      </c>
      <c r="D500" s="266" t="str">
        <f>" - "&amp;'Giá VL'!E18</f>
        <v xml:space="preserve"> - Đá 1x2</v>
      </c>
      <c r="E500" s="265" t="str">
        <f>'Giá VL'!F18</f>
        <v>m3</v>
      </c>
      <c r="F500" s="267">
        <v>0</v>
      </c>
      <c r="G500" s="268">
        <v>0.89277499999999999</v>
      </c>
      <c r="H500" s="268">
        <f>'5.Tiên lượng'!V132</f>
        <v>1</v>
      </c>
      <c r="I500" s="268">
        <f>PRODUCT(F496,G500,H500)</f>
        <v>5.2763002500000002</v>
      </c>
      <c r="J500" s="283">
        <f>'Giá VL'!G18</f>
        <v>160000</v>
      </c>
      <c r="K500" s="283">
        <f t="shared" si="201"/>
        <v>142844</v>
      </c>
      <c r="L500" s="283">
        <f>'Giá VL'!J18</f>
        <v>260000</v>
      </c>
      <c r="M500" s="284">
        <f t="shared" si="202"/>
        <v>232121.5</v>
      </c>
      <c r="N500" s="284">
        <v>0</v>
      </c>
      <c r="O500" s="284">
        <v>0</v>
      </c>
      <c r="P500" s="284">
        <f>'Giá VL'!V18</f>
        <v>330458.0547558713</v>
      </c>
      <c r="Q500" s="284">
        <f t="shared" si="203"/>
        <v>295024.68983467302</v>
      </c>
      <c r="R500" s="287">
        <v>2</v>
      </c>
    </row>
    <row r="501" spans="1:18">
      <c r="A501" s="246"/>
      <c r="B501" s="265">
        <v>0</v>
      </c>
      <c r="C501" s="680" t="s">
        <v>617</v>
      </c>
      <c r="D501" s="266" t="str">
        <f>" - "&amp;'Giá VL'!E33</f>
        <v xml:space="preserve"> - Nước</v>
      </c>
      <c r="E501" s="265" t="str">
        <f>'Giá VL'!F33</f>
        <v>lít</v>
      </c>
      <c r="F501" s="267">
        <v>0</v>
      </c>
      <c r="G501" s="268">
        <v>187.57499999999999</v>
      </c>
      <c r="H501" s="268">
        <f>'5.Tiên lượng'!V132</f>
        <v>1</v>
      </c>
      <c r="I501" s="268">
        <f>PRODUCT(F496,G501,H501)</f>
        <v>1108.56825</v>
      </c>
      <c r="J501" s="283">
        <f>'Giá VL'!G33</f>
        <v>15</v>
      </c>
      <c r="K501" s="283">
        <f t="shared" si="201"/>
        <v>2813.625</v>
      </c>
      <c r="L501" s="283">
        <f>'Giá VL'!J33</f>
        <v>15</v>
      </c>
      <c r="M501" s="284">
        <f t="shared" si="202"/>
        <v>2813.625</v>
      </c>
      <c r="N501" s="284">
        <v>0</v>
      </c>
      <c r="O501" s="284">
        <v>0</v>
      </c>
      <c r="P501" s="284">
        <f>'Giá VL'!V33</f>
        <v>15</v>
      </c>
      <c r="Q501" s="284">
        <f t="shared" si="203"/>
        <v>2813.625</v>
      </c>
      <c r="R501" s="287">
        <v>2</v>
      </c>
    </row>
    <row r="502" spans="1:18">
      <c r="A502" s="246"/>
      <c r="B502" s="265">
        <v>0</v>
      </c>
      <c r="C502" s="680" t="s">
        <v>620</v>
      </c>
      <c r="D502" s="266" t="s">
        <v>621</v>
      </c>
      <c r="E502" s="265" t="s">
        <v>37</v>
      </c>
      <c r="F502" s="267">
        <v>0</v>
      </c>
      <c r="G502" s="268">
        <f>AVERAGE(R498:R501)</f>
        <v>2</v>
      </c>
      <c r="H502" s="268">
        <f>'5.Tiên lượng'!V132</f>
        <v>1</v>
      </c>
      <c r="I502" s="268">
        <f>PRODUCT(F496,G502,H502)</f>
        <v>11.82</v>
      </c>
      <c r="J502" s="283">
        <f>(G498*J498+G499*J499+G500*J500+G501*J501)/100</f>
        <v>8179.4487499999996</v>
      </c>
      <c r="K502" s="283">
        <f t="shared" si="201"/>
        <v>16358.897499999999</v>
      </c>
      <c r="L502" s="283">
        <f>(G498*L498+G499*L499+G500*L500+G501*L501)/100</f>
        <v>9735.9112499999992</v>
      </c>
      <c r="M502" s="284">
        <f t="shared" si="202"/>
        <v>19471.822499999998</v>
      </c>
      <c r="N502" s="284">
        <v>0</v>
      </c>
      <c r="O502" s="284">
        <v>0</v>
      </c>
      <c r="P502" s="284">
        <f>(G498*P498+G499*P499+G500*P500+G501*P501)/100</f>
        <v>11137.752040739852</v>
      </c>
      <c r="Q502" s="284">
        <f t="shared" si="203"/>
        <v>22275.504081479703</v>
      </c>
      <c r="R502" s="287">
        <v>0</v>
      </c>
    </row>
    <row r="503" spans="1:18">
      <c r="A503" s="240"/>
      <c r="B503" s="260">
        <v>0</v>
      </c>
      <c r="C503" s="261" t="s">
        <v>590</v>
      </c>
      <c r="D503" s="262" t="s">
        <v>265</v>
      </c>
      <c r="E503" s="260"/>
      <c r="F503" s="263">
        <v>0</v>
      </c>
      <c r="G503" s="264">
        <v>0</v>
      </c>
      <c r="H503" s="264"/>
      <c r="I503" s="264">
        <v>0</v>
      </c>
      <c r="J503" s="281">
        <v>0</v>
      </c>
      <c r="K503" s="281">
        <f>SUM(K504:K504)</f>
        <v>637260</v>
      </c>
      <c r="L503" s="281">
        <v>0</v>
      </c>
      <c r="M503" s="282">
        <f>SUM(M504:M504)</f>
        <v>696600</v>
      </c>
      <c r="N503" s="282">
        <v>0</v>
      </c>
      <c r="O503" s="282">
        <v>0</v>
      </c>
      <c r="P503" s="282">
        <v>0</v>
      </c>
      <c r="Q503" s="282">
        <f>SUM(Q504:Q504)</f>
        <v>696600</v>
      </c>
      <c r="R503" s="287">
        <v>0</v>
      </c>
    </row>
    <row r="504" spans="1:18">
      <c r="A504" s="246"/>
      <c r="B504" s="265">
        <v>0</v>
      </c>
      <c r="C504" s="680" t="s">
        <v>622</v>
      </c>
      <c r="D504" s="266" t="str">
        <f>" - "&amp;'Giá NC'!E9</f>
        <v xml:space="preserve"> - Nhân công bậc 3,5/7 - Nhóm 2</v>
      </c>
      <c r="E504" s="265" t="str">
        <f>'Giá NC'!F9</f>
        <v>công</v>
      </c>
      <c r="F504" s="267">
        <v>0</v>
      </c>
      <c r="G504" s="268">
        <v>2.58</v>
      </c>
      <c r="H504" s="268">
        <f>'5.Tiên lượng'!W132</f>
        <v>1</v>
      </c>
      <c r="I504" s="268">
        <f>PRODUCT(F496,G504,H504)</f>
        <v>15.247800000000002</v>
      </c>
      <c r="J504" s="283">
        <f>'Giá NC'!G9</f>
        <v>247000</v>
      </c>
      <c r="K504" s="283">
        <f>PRODUCT(G504,H504,J504)</f>
        <v>637260</v>
      </c>
      <c r="L504" s="283">
        <f>'Giá NC'!H9</f>
        <v>270000</v>
      </c>
      <c r="M504" s="284">
        <f>PRODUCT(G504,H504,L504)</f>
        <v>696600</v>
      </c>
      <c r="N504" s="284">
        <v>0</v>
      </c>
      <c r="O504" s="284">
        <v>0</v>
      </c>
      <c r="P504" s="284">
        <f>'Giá NC'!K9</f>
        <v>270000</v>
      </c>
      <c r="Q504" s="284">
        <f>PRODUCT(G504,H504,P504)</f>
        <v>696600</v>
      </c>
      <c r="R504" s="287">
        <v>0</v>
      </c>
    </row>
    <row r="505" spans="1:18">
      <c r="A505" s="240"/>
      <c r="B505" s="260">
        <v>0</v>
      </c>
      <c r="C505" s="261" t="s">
        <v>590</v>
      </c>
      <c r="D505" s="262" t="s">
        <v>267</v>
      </c>
      <c r="E505" s="260"/>
      <c r="F505" s="263">
        <v>0</v>
      </c>
      <c r="G505" s="264">
        <v>0</v>
      </c>
      <c r="H505" s="264"/>
      <c r="I505" s="264">
        <v>0</v>
      </c>
      <c r="J505" s="281">
        <v>0</v>
      </c>
      <c r="K505" s="281">
        <f>SUM(K506:K509)</f>
        <v>141582.69950850465</v>
      </c>
      <c r="L505" s="281">
        <v>0</v>
      </c>
      <c r="M505" s="282">
        <f>SUM(M506:M509)</f>
        <v>147185.67188000001</v>
      </c>
      <c r="N505" s="282">
        <v>0</v>
      </c>
      <c r="O505" s="282">
        <v>0</v>
      </c>
      <c r="P505" s="282">
        <v>0</v>
      </c>
      <c r="Q505" s="282">
        <f>SUM(Q506:Q509)</f>
        <v>149696.7062941326</v>
      </c>
      <c r="R505" s="287">
        <v>0</v>
      </c>
    </row>
    <row r="506" spans="1:18">
      <c r="A506" s="246"/>
      <c r="B506" s="265">
        <v>0</v>
      </c>
      <c r="C506" s="680" t="s">
        <v>623</v>
      </c>
      <c r="D506" s="266" t="str">
        <f>" - "&amp;'Giá Máy'!E27</f>
        <v xml:space="preserve"> - Máy trộn bê tông 250 lít</v>
      </c>
      <c r="E506" s="265" t="str">
        <f>'Giá Máy'!F27</f>
        <v>ca</v>
      </c>
      <c r="F506" s="267">
        <v>0</v>
      </c>
      <c r="G506" s="268">
        <v>9.5000000000000001E-2</v>
      </c>
      <c r="H506" s="268">
        <f>'5.Tiên lượng'!X132</f>
        <v>1</v>
      </c>
      <c r="I506" s="268">
        <f>PRODUCT(F496,G506,H506)</f>
        <v>0.56145</v>
      </c>
      <c r="J506" s="283">
        <f>'Giá Máy'!G27</f>
        <v>303162.31046000001</v>
      </c>
      <c r="K506" s="283">
        <f t="shared" ref="K506:K509" si="204">PRODUCT(G506,H506,J506)</f>
        <v>28800.419493699999</v>
      </c>
      <c r="L506" s="283">
        <f>'Giá Máy'!H27</f>
        <v>302516</v>
      </c>
      <c r="M506" s="284">
        <f t="shared" ref="M506:M509" si="205">PRODUCT(G506,H506,L506)</f>
        <v>28739.02</v>
      </c>
      <c r="N506" s="284">
        <v>0</v>
      </c>
      <c r="O506" s="284">
        <v>0</v>
      </c>
      <c r="P506" s="284">
        <f>'Giá Máy'!O27</f>
        <v>326305.98864499998</v>
      </c>
      <c r="Q506" s="284">
        <f t="shared" ref="Q506:Q509" si="206">PRODUCT(G506,H506,P506)</f>
        <v>30999.068921274997</v>
      </c>
      <c r="R506" s="287">
        <v>1</v>
      </c>
    </row>
    <row r="507" spans="1:18">
      <c r="A507" s="246"/>
      <c r="B507" s="265">
        <v>0</v>
      </c>
      <c r="C507" s="680" t="s">
        <v>625</v>
      </c>
      <c r="D507" s="266" t="str">
        <f>" - "&amp;'Giá Máy'!E12</f>
        <v xml:space="preserve"> - Máy đầm dùi 1,5kW</v>
      </c>
      <c r="E507" s="265" t="str">
        <f>'Giá Máy'!F12</f>
        <v>ca</v>
      </c>
      <c r="F507" s="267">
        <v>0</v>
      </c>
      <c r="G507" s="268">
        <v>8.8999999999999996E-2</v>
      </c>
      <c r="H507" s="268">
        <f>'5.Tiên lượng'!X132</f>
        <v>1</v>
      </c>
      <c r="I507" s="268">
        <f>PRODUCT(F496,G507,H507)</f>
        <v>0.52598999999999996</v>
      </c>
      <c r="J507" s="283">
        <f>'Giá Máy'!G12</f>
        <v>258903.14301999999</v>
      </c>
      <c r="K507" s="283">
        <f t="shared" si="204"/>
        <v>23042.379728779997</v>
      </c>
      <c r="L507" s="283">
        <f>'Giá Máy'!H12</f>
        <v>258492</v>
      </c>
      <c r="M507" s="284">
        <f t="shared" si="205"/>
        <v>23005.788</v>
      </c>
      <c r="N507" s="284">
        <v>0</v>
      </c>
      <c r="O507" s="284">
        <v>0</v>
      </c>
      <c r="P507" s="284">
        <f>'Giá Máy'!O12</f>
        <v>281279.30186500004</v>
      </c>
      <c r="Q507" s="284">
        <f t="shared" si="206"/>
        <v>25033.857865985003</v>
      </c>
      <c r="R507" s="287">
        <v>1</v>
      </c>
    </row>
    <row r="508" spans="1:18">
      <c r="A508" s="246"/>
      <c r="B508" s="265">
        <v>0</v>
      </c>
      <c r="C508" s="680" t="s">
        <v>660</v>
      </c>
      <c r="D508" s="266" t="str">
        <f>" - "&amp;'Giá Máy'!E7</f>
        <v xml:space="preserve"> - Cần cẩu bánh hơi 16T</v>
      </c>
      <c r="E508" s="265" t="str">
        <f>'Giá Máy'!F7</f>
        <v>ca</v>
      </c>
      <c r="F508" s="267">
        <v>0</v>
      </c>
      <c r="G508" s="268">
        <v>4.4999999999999998E-2</v>
      </c>
      <c r="H508" s="268">
        <f>'5.Tiên lượng'!X132</f>
        <v>1</v>
      </c>
      <c r="I508" s="268">
        <f>PRODUCT(F496,G508,H508)</f>
        <v>0.26595000000000002</v>
      </c>
      <c r="J508" s="283">
        <f>'Giá Máy'!G7</f>
        <v>1963068.6973333301</v>
      </c>
      <c r="K508" s="283">
        <f t="shared" si="204"/>
        <v>88338.091379999853</v>
      </c>
      <c r="L508" s="283">
        <f>'Giá Máy'!H7</f>
        <v>2088524</v>
      </c>
      <c r="M508" s="284">
        <f t="shared" si="205"/>
        <v>93983.58</v>
      </c>
      <c r="N508" s="284">
        <v>0</v>
      </c>
      <c r="O508" s="284">
        <v>0</v>
      </c>
      <c r="P508" s="284">
        <f>'Giá Máy'!O7</f>
        <v>2048480.7533333334</v>
      </c>
      <c r="Q508" s="284">
        <f t="shared" si="206"/>
        <v>92181.633900000001</v>
      </c>
      <c r="R508" s="287">
        <v>1</v>
      </c>
    </row>
    <row r="509" spans="1:18">
      <c r="A509" s="251"/>
      <c r="B509" s="269">
        <v>0</v>
      </c>
      <c r="C509" s="681" t="s">
        <v>611</v>
      </c>
      <c r="D509" s="270" t="s">
        <v>612</v>
      </c>
      <c r="E509" s="269" t="s">
        <v>37</v>
      </c>
      <c r="F509" s="271">
        <v>0</v>
      </c>
      <c r="G509" s="272">
        <f>AVERAGE(R506:R508)</f>
        <v>1</v>
      </c>
      <c r="H509" s="272">
        <f>'5.Tiên lượng'!X132</f>
        <v>1</v>
      </c>
      <c r="I509" s="272">
        <f>PRODUCT(F496,G509,H509)</f>
        <v>5.91</v>
      </c>
      <c r="J509" s="285">
        <f>(G506*J506+G507*J507+G508*J508)/100</f>
        <v>1401.8089060247987</v>
      </c>
      <c r="K509" s="285">
        <f t="shared" si="204"/>
        <v>1401.8089060247987</v>
      </c>
      <c r="L509" s="285">
        <f>(G506*L506+G507*L507+G508*L508)/100</f>
        <v>1457.28388</v>
      </c>
      <c r="M509" s="286">
        <f t="shared" si="205"/>
        <v>1457.28388</v>
      </c>
      <c r="N509" s="286">
        <v>0</v>
      </c>
      <c r="O509" s="286">
        <v>0</v>
      </c>
      <c r="P509" s="286">
        <f>(G506*P506+G507*P507+G508*P508)/100</f>
        <v>1482.1456068726</v>
      </c>
      <c r="Q509" s="286">
        <f t="shared" si="206"/>
        <v>1482.1456068726</v>
      </c>
      <c r="R509" s="288">
        <v>0</v>
      </c>
    </row>
    <row r="510" spans="1:18">
      <c r="A510" s="234"/>
      <c r="B510" s="256">
        <v>56</v>
      </c>
      <c r="C510" s="234" t="str">
        <f>'5.Tiên lượng'!C133</f>
        <v>AF.61110</v>
      </c>
      <c r="D510" s="257" t="str">
        <f>'5.Tiên lượng'!D133</f>
        <v>Lắp dựng cốt thép móng, ĐK ≤10mm</v>
      </c>
      <c r="E510" s="256" t="str">
        <f>'5.Tiên lượng'!E133</f>
        <v>tấn</v>
      </c>
      <c r="F510" s="258">
        <f>'5.Tiên lượng'!M133</f>
        <v>0.24490000000000001</v>
      </c>
      <c r="G510" s="259">
        <v>0</v>
      </c>
      <c r="H510" s="259">
        <v>0</v>
      </c>
      <c r="I510" s="259">
        <v>0</v>
      </c>
      <c r="J510" s="279">
        <v>0</v>
      </c>
      <c r="K510" s="279">
        <v>0</v>
      </c>
      <c r="L510" s="279">
        <v>0</v>
      </c>
      <c r="M510" s="280">
        <v>0</v>
      </c>
      <c r="N510" s="280">
        <v>0</v>
      </c>
      <c r="O510" s="280">
        <v>0</v>
      </c>
      <c r="P510" s="280">
        <v>0</v>
      </c>
      <c r="Q510" s="280">
        <v>0</v>
      </c>
      <c r="R510" s="222">
        <v>0</v>
      </c>
    </row>
    <row r="511" spans="1:18">
      <c r="A511" s="240"/>
      <c r="B511" s="260">
        <v>0</v>
      </c>
      <c r="C511" s="261" t="s">
        <v>590</v>
      </c>
      <c r="D511" s="262" t="s">
        <v>262</v>
      </c>
      <c r="E511" s="260"/>
      <c r="F511" s="263">
        <v>0</v>
      </c>
      <c r="G511" s="264">
        <v>0</v>
      </c>
      <c r="H511" s="264"/>
      <c r="I511" s="264">
        <v>0</v>
      </c>
      <c r="J511" s="281">
        <v>0</v>
      </c>
      <c r="K511" s="281">
        <f>SUM(K512:K513)</f>
        <v>17908900</v>
      </c>
      <c r="L511" s="281">
        <v>0</v>
      </c>
      <c r="M511" s="282">
        <f>SUM(M512:M513)</f>
        <v>17908900</v>
      </c>
      <c r="N511" s="282">
        <v>0</v>
      </c>
      <c r="O511" s="282">
        <v>0</v>
      </c>
      <c r="P511" s="282">
        <v>0</v>
      </c>
      <c r="Q511" s="282">
        <f>SUM(Q512:Q513)</f>
        <v>17997032.851846885</v>
      </c>
      <c r="R511" s="287">
        <v>0</v>
      </c>
    </row>
    <row r="512" spans="1:18">
      <c r="A512" s="246"/>
      <c r="B512" s="265">
        <v>0</v>
      </c>
      <c r="C512" s="680" t="s">
        <v>661</v>
      </c>
      <c r="D512" s="266" t="str">
        <f>" - "&amp;'Giá VL'!E43</f>
        <v xml:space="preserve"> - Thép tròn Fi ≤10mm</v>
      </c>
      <c r="E512" s="265" t="str">
        <f>'Giá VL'!F43</f>
        <v>kg</v>
      </c>
      <c r="F512" s="267">
        <v>0</v>
      </c>
      <c r="G512" s="268">
        <v>1005</v>
      </c>
      <c r="H512" s="268">
        <f>'5.Tiên lượng'!V133</f>
        <v>1</v>
      </c>
      <c r="I512" s="268">
        <f>PRODUCT(F510,G512,H512)</f>
        <v>246.12450000000001</v>
      </c>
      <c r="J512" s="283">
        <f>'Giá VL'!G43</f>
        <v>17500</v>
      </c>
      <c r="K512" s="283">
        <f t="shared" ref="K512:K513" si="207">PRODUCT(G512,H512,J512)</f>
        <v>17587500</v>
      </c>
      <c r="L512" s="283">
        <f>'Giá VL'!J43</f>
        <v>17500</v>
      </c>
      <c r="M512" s="284">
        <f t="shared" ref="M512:M513" si="208">PRODUCT(G512,H512,L512)</f>
        <v>17587500</v>
      </c>
      <c r="N512" s="284">
        <v>0</v>
      </c>
      <c r="O512" s="284">
        <v>0</v>
      </c>
      <c r="P512" s="284">
        <f>'Giá VL'!V43</f>
        <v>17587.694379947148</v>
      </c>
      <c r="Q512" s="284">
        <f t="shared" ref="Q512:Q513" si="209">PRODUCT(G512,H512,P512)</f>
        <v>17675632.851846885</v>
      </c>
      <c r="R512" s="287">
        <v>0</v>
      </c>
    </row>
    <row r="513" spans="1:18">
      <c r="A513" s="246"/>
      <c r="B513" s="265">
        <v>0</v>
      </c>
      <c r="C513" s="680" t="s">
        <v>662</v>
      </c>
      <c r="D513" s="266" t="str">
        <f>" - "&amp;'Giá VL'!E23</f>
        <v xml:space="preserve"> - Dây thép</v>
      </c>
      <c r="E513" s="265" t="str">
        <f>'Giá VL'!F23</f>
        <v>kg</v>
      </c>
      <c r="F513" s="267">
        <v>0</v>
      </c>
      <c r="G513" s="268">
        <v>16.07</v>
      </c>
      <c r="H513" s="268">
        <f>'5.Tiên lượng'!V133</f>
        <v>1</v>
      </c>
      <c r="I513" s="268">
        <f>PRODUCT(F510,G513,H513)</f>
        <v>3.935543</v>
      </c>
      <c r="J513" s="283">
        <f>'Giá VL'!G23</f>
        <v>20000</v>
      </c>
      <c r="K513" s="283">
        <f t="shared" si="207"/>
        <v>321400</v>
      </c>
      <c r="L513" s="283">
        <f>'Giá VL'!J23</f>
        <v>20000</v>
      </c>
      <c r="M513" s="284">
        <f t="shared" si="208"/>
        <v>321400</v>
      </c>
      <c r="N513" s="284">
        <v>0</v>
      </c>
      <c r="O513" s="284">
        <v>0</v>
      </c>
      <c r="P513" s="284">
        <f>'Giá VL'!V23</f>
        <v>20000</v>
      </c>
      <c r="Q513" s="284">
        <f t="shared" si="209"/>
        <v>321400</v>
      </c>
      <c r="R513" s="287">
        <v>0</v>
      </c>
    </row>
    <row r="514" spans="1:18">
      <c r="A514" s="240"/>
      <c r="B514" s="260">
        <v>0</v>
      </c>
      <c r="C514" s="261" t="s">
        <v>590</v>
      </c>
      <c r="D514" s="262" t="s">
        <v>265</v>
      </c>
      <c r="E514" s="260"/>
      <c r="F514" s="263">
        <v>0</v>
      </c>
      <c r="G514" s="264">
        <v>0</v>
      </c>
      <c r="H514" s="264"/>
      <c r="I514" s="264">
        <v>0</v>
      </c>
      <c r="J514" s="281">
        <v>0</v>
      </c>
      <c r="K514" s="281">
        <f>SUM(K515:K515)</f>
        <v>2655250</v>
      </c>
      <c r="L514" s="281">
        <v>0</v>
      </c>
      <c r="M514" s="282">
        <f>SUM(M515:M515)</f>
        <v>2902500</v>
      </c>
      <c r="N514" s="282">
        <v>0</v>
      </c>
      <c r="O514" s="282">
        <v>0</v>
      </c>
      <c r="P514" s="282">
        <v>0</v>
      </c>
      <c r="Q514" s="282">
        <f>SUM(Q515:Q515)</f>
        <v>2902500</v>
      </c>
      <c r="R514" s="287">
        <v>0</v>
      </c>
    </row>
    <row r="515" spans="1:18">
      <c r="A515" s="246"/>
      <c r="B515" s="265">
        <v>0</v>
      </c>
      <c r="C515" s="680" t="s">
        <v>622</v>
      </c>
      <c r="D515" s="266" t="str">
        <f>" - "&amp;'Giá NC'!E9</f>
        <v xml:space="preserve"> - Nhân công bậc 3,5/7 - Nhóm 2</v>
      </c>
      <c r="E515" s="265" t="str">
        <f>'Giá NC'!F9</f>
        <v>công</v>
      </c>
      <c r="F515" s="267">
        <v>0</v>
      </c>
      <c r="G515" s="268">
        <v>10.75</v>
      </c>
      <c r="H515" s="268">
        <f>'5.Tiên lượng'!W133</f>
        <v>1</v>
      </c>
      <c r="I515" s="268">
        <f>PRODUCT(F510,G515,H515)</f>
        <v>2.6326749999999999</v>
      </c>
      <c r="J515" s="283">
        <f>'Giá NC'!G9</f>
        <v>247000</v>
      </c>
      <c r="K515" s="283">
        <f>PRODUCT(G515,H515,J515)</f>
        <v>2655250</v>
      </c>
      <c r="L515" s="283">
        <f>'Giá NC'!H9</f>
        <v>270000</v>
      </c>
      <c r="M515" s="284">
        <f>PRODUCT(G515,H515,L515)</f>
        <v>2902500</v>
      </c>
      <c r="N515" s="284">
        <v>0</v>
      </c>
      <c r="O515" s="284">
        <v>0</v>
      </c>
      <c r="P515" s="284">
        <f>'Giá NC'!K9</f>
        <v>270000</v>
      </c>
      <c r="Q515" s="284">
        <f>PRODUCT(G515,H515,P515)</f>
        <v>2902500</v>
      </c>
      <c r="R515" s="287">
        <v>0</v>
      </c>
    </row>
    <row r="516" spans="1:18">
      <c r="A516" s="240"/>
      <c r="B516" s="260">
        <v>0</v>
      </c>
      <c r="C516" s="261" t="s">
        <v>590</v>
      </c>
      <c r="D516" s="262" t="s">
        <v>267</v>
      </c>
      <c r="E516" s="260"/>
      <c r="F516" s="263">
        <v>0</v>
      </c>
      <c r="G516" s="264">
        <v>0</v>
      </c>
      <c r="H516" s="264"/>
      <c r="I516" s="264">
        <v>0</v>
      </c>
      <c r="J516" s="281">
        <v>0</v>
      </c>
      <c r="K516" s="281">
        <f>SUM(K517:K517)</f>
        <v>105409.8773626668</v>
      </c>
      <c r="L516" s="281">
        <v>0</v>
      </c>
      <c r="M516" s="282">
        <f>SUM(M517:M517)</f>
        <v>105198.40000000001</v>
      </c>
      <c r="N516" s="282">
        <v>0</v>
      </c>
      <c r="O516" s="282">
        <v>0</v>
      </c>
      <c r="P516" s="282">
        <v>0</v>
      </c>
      <c r="Q516" s="282">
        <f>SUM(Q517:Q517)</f>
        <v>114513.84476866666</v>
      </c>
      <c r="R516" s="287">
        <v>0</v>
      </c>
    </row>
    <row r="517" spans="1:18">
      <c r="A517" s="251"/>
      <c r="B517" s="269">
        <v>0</v>
      </c>
      <c r="C517" s="681" t="s">
        <v>633</v>
      </c>
      <c r="D517" s="270" t="str">
        <f>" - "&amp;'Giá Máy'!E9</f>
        <v xml:space="preserve"> - Máy cắt uốn cốt thép 5kW</v>
      </c>
      <c r="E517" s="269" t="str">
        <f>'Giá Máy'!F9</f>
        <v>ca</v>
      </c>
      <c r="F517" s="271">
        <v>0</v>
      </c>
      <c r="G517" s="272">
        <v>0.4</v>
      </c>
      <c r="H517" s="272">
        <f>'5.Tiên lượng'!X133</f>
        <v>1</v>
      </c>
      <c r="I517" s="272">
        <f>PRODUCT(F510,G517,H517)</f>
        <v>9.7960000000000005E-2</v>
      </c>
      <c r="J517" s="285">
        <f>'Giá Máy'!G9</f>
        <v>263524.69340666698</v>
      </c>
      <c r="K517" s="285">
        <f>PRODUCT(G517,H517,J517)</f>
        <v>105409.8773626668</v>
      </c>
      <c r="L517" s="285">
        <f>'Giá Máy'!H9</f>
        <v>262996</v>
      </c>
      <c r="M517" s="286">
        <f>PRODUCT(G517,H517,L517)</f>
        <v>105198.40000000001</v>
      </c>
      <c r="N517" s="286">
        <v>0</v>
      </c>
      <c r="O517" s="286">
        <v>0</v>
      </c>
      <c r="P517" s="286">
        <f>'Giá Máy'!O9</f>
        <v>286284.61192166666</v>
      </c>
      <c r="Q517" s="286">
        <f>PRODUCT(G517,H517,P517)</f>
        <v>114513.84476866666</v>
      </c>
      <c r="R517" s="288">
        <v>0</v>
      </c>
    </row>
    <row r="518" spans="1:18">
      <c r="A518" s="234"/>
      <c r="B518" s="256">
        <v>57</v>
      </c>
      <c r="C518" s="234" t="str">
        <f>'5.Tiên lượng'!C135</f>
        <v>AF.82511</v>
      </c>
      <c r="D518" s="257" t="str">
        <f>'5.Tiên lượng'!D135</f>
        <v>Ván khuôn thép mũ  mố</v>
      </c>
      <c r="E518" s="256" t="str">
        <f>'5.Tiên lượng'!E135</f>
        <v>100m2</v>
      </c>
      <c r="F518" s="258">
        <f>'5.Tiên lượng'!M135</f>
        <v>0.93220000000000003</v>
      </c>
      <c r="G518" s="259">
        <v>0</v>
      </c>
      <c r="H518" s="259">
        <v>0</v>
      </c>
      <c r="I518" s="259">
        <v>0</v>
      </c>
      <c r="J518" s="279">
        <v>0</v>
      </c>
      <c r="K518" s="279">
        <v>0</v>
      </c>
      <c r="L518" s="279">
        <v>0</v>
      </c>
      <c r="M518" s="280">
        <v>0</v>
      </c>
      <c r="N518" s="280">
        <v>0</v>
      </c>
      <c r="O518" s="280">
        <v>0</v>
      </c>
      <c r="P518" s="280">
        <v>0</v>
      </c>
      <c r="Q518" s="280">
        <v>0</v>
      </c>
      <c r="R518" s="222">
        <v>0</v>
      </c>
    </row>
    <row r="519" spans="1:18">
      <c r="A519" s="240"/>
      <c r="B519" s="260">
        <v>0</v>
      </c>
      <c r="C519" s="261" t="s">
        <v>590</v>
      </c>
      <c r="D519" s="262" t="s">
        <v>262</v>
      </c>
      <c r="E519" s="260"/>
      <c r="F519" s="263">
        <v>0</v>
      </c>
      <c r="G519" s="264">
        <v>0</v>
      </c>
      <c r="H519" s="264"/>
      <c r="I519" s="264">
        <v>0</v>
      </c>
      <c r="J519" s="281">
        <v>0</v>
      </c>
      <c r="K519" s="281">
        <f>SUM(K520:K523)</f>
        <v>1615682.25</v>
      </c>
      <c r="L519" s="281">
        <v>0</v>
      </c>
      <c r="M519" s="282">
        <f>SUM(M520:M523)</f>
        <v>1615682.25</v>
      </c>
      <c r="N519" s="282">
        <v>0</v>
      </c>
      <c r="O519" s="282">
        <v>0</v>
      </c>
      <c r="P519" s="282">
        <v>0</v>
      </c>
      <c r="Q519" s="282">
        <f>SUM(Q520:Q523)</f>
        <v>1623401.2408645179</v>
      </c>
      <c r="R519" s="287">
        <v>0</v>
      </c>
    </row>
    <row r="520" spans="1:18">
      <c r="A520" s="246"/>
      <c r="B520" s="265">
        <v>0</v>
      </c>
      <c r="C520" s="680" t="s">
        <v>663</v>
      </c>
      <c r="D520" s="266" t="str">
        <f>" - "&amp;'Giá VL'!E41</f>
        <v xml:space="preserve"> - Thép tấm</v>
      </c>
      <c r="E520" s="265" t="str">
        <f>'Giá VL'!F41</f>
        <v>kg</v>
      </c>
      <c r="F520" s="267">
        <v>0</v>
      </c>
      <c r="G520" s="268">
        <v>51.81</v>
      </c>
      <c r="H520" s="268">
        <f>'5.Tiên lượng'!V135</f>
        <v>1</v>
      </c>
      <c r="I520" s="268">
        <f>PRODUCT(F518,G520,H520)</f>
        <v>48.297282000000003</v>
      </c>
      <c r="J520" s="283">
        <f>'Giá VL'!G41</f>
        <v>17500</v>
      </c>
      <c r="K520" s="283">
        <f t="shared" ref="K520:K523" si="210">PRODUCT(G520,H520,J520)</f>
        <v>906675</v>
      </c>
      <c r="L520" s="283">
        <f>'Giá VL'!J41</f>
        <v>17500</v>
      </c>
      <c r="M520" s="284">
        <f t="shared" ref="M520:M523" si="211">PRODUCT(G520,H520,L520)</f>
        <v>906675</v>
      </c>
      <c r="N520" s="284">
        <v>0</v>
      </c>
      <c r="O520" s="284">
        <v>0</v>
      </c>
      <c r="P520" s="284">
        <f>'Giá VL'!V41</f>
        <v>17587.694379947148</v>
      </c>
      <c r="Q520" s="284">
        <f t="shared" ref="Q520:Q523" si="212">PRODUCT(G520,H520,P520)</f>
        <v>911218.44582506176</v>
      </c>
      <c r="R520" s="287">
        <v>5</v>
      </c>
    </row>
    <row r="521" spans="1:18">
      <c r="A521" s="246"/>
      <c r="B521" s="265">
        <v>0</v>
      </c>
      <c r="C521" s="680" t="s">
        <v>664</v>
      </c>
      <c r="D521" s="266" t="str">
        <f>" - "&amp;'Giá VL'!E39</f>
        <v xml:space="preserve"> - Thép hình</v>
      </c>
      <c r="E521" s="265" t="str">
        <f>'Giá VL'!F39</f>
        <v>kg</v>
      </c>
      <c r="F521" s="267">
        <v>0</v>
      </c>
      <c r="G521" s="268">
        <v>32.020000000000003</v>
      </c>
      <c r="H521" s="268">
        <f>'5.Tiên lượng'!V135</f>
        <v>1</v>
      </c>
      <c r="I521" s="268">
        <f>PRODUCT(F518,G521,H521)</f>
        <v>29.849044000000003</v>
      </c>
      <c r="J521" s="283">
        <f>'Giá VL'!G39</f>
        <v>17500</v>
      </c>
      <c r="K521" s="283">
        <f t="shared" si="210"/>
        <v>560350</v>
      </c>
      <c r="L521" s="283">
        <f>'Giá VL'!J39</f>
        <v>17500</v>
      </c>
      <c r="M521" s="284">
        <f t="shared" si="211"/>
        <v>560350</v>
      </c>
      <c r="N521" s="284">
        <v>0</v>
      </c>
      <c r="O521" s="284">
        <v>0</v>
      </c>
      <c r="P521" s="284">
        <f>'Giá VL'!V39</f>
        <v>17587.694379947148</v>
      </c>
      <c r="Q521" s="284">
        <f t="shared" si="212"/>
        <v>563157.97404590773</v>
      </c>
      <c r="R521" s="287">
        <v>5</v>
      </c>
    </row>
    <row r="522" spans="1:18">
      <c r="A522" s="246"/>
      <c r="B522" s="265">
        <v>0</v>
      </c>
      <c r="C522" s="680" t="s">
        <v>628</v>
      </c>
      <c r="D522" s="266" t="str">
        <f>" - "&amp;'Giá VL'!E37</f>
        <v xml:space="preserve"> - Que hàn</v>
      </c>
      <c r="E522" s="265" t="str">
        <f>'Giá VL'!F37</f>
        <v>kg</v>
      </c>
      <c r="F522" s="267">
        <v>0</v>
      </c>
      <c r="G522" s="268">
        <v>3.26</v>
      </c>
      <c r="H522" s="268">
        <f>'5.Tiên lượng'!V135</f>
        <v>1</v>
      </c>
      <c r="I522" s="268">
        <f>PRODUCT(F518,G522,H522)</f>
        <v>3.0389719999999998</v>
      </c>
      <c r="J522" s="283">
        <f>'Giá VL'!G37</f>
        <v>22000</v>
      </c>
      <c r="K522" s="283">
        <f t="shared" si="210"/>
        <v>71720</v>
      </c>
      <c r="L522" s="283">
        <f>'Giá VL'!J37</f>
        <v>22000</v>
      </c>
      <c r="M522" s="284">
        <f t="shared" si="211"/>
        <v>71720</v>
      </c>
      <c r="N522" s="284">
        <v>0</v>
      </c>
      <c r="O522" s="284">
        <v>0</v>
      </c>
      <c r="P522" s="284">
        <f>'Giá VL'!V37</f>
        <v>22000</v>
      </c>
      <c r="Q522" s="284">
        <f t="shared" si="212"/>
        <v>71720</v>
      </c>
      <c r="R522" s="287">
        <v>5</v>
      </c>
    </row>
    <row r="523" spans="1:18">
      <c r="A523" s="246"/>
      <c r="B523" s="265">
        <v>0</v>
      </c>
      <c r="C523" s="680" t="s">
        <v>620</v>
      </c>
      <c r="D523" s="266" t="s">
        <v>621</v>
      </c>
      <c r="E523" s="265" t="s">
        <v>37</v>
      </c>
      <c r="F523" s="267">
        <v>0</v>
      </c>
      <c r="G523" s="268">
        <f>AVERAGE(R520:R522)</f>
        <v>5</v>
      </c>
      <c r="H523" s="268">
        <f>'5.Tiên lượng'!V135</f>
        <v>1</v>
      </c>
      <c r="I523" s="268">
        <f>PRODUCT(F518,G523,H523)</f>
        <v>4.6610000000000005</v>
      </c>
      <c r="J523" s="283">
        <f>(G520*J520+G521*J521+G522*J522)/100</f>
        <v>15387.45</v>
      </c>
      <c r="K523" s="283">
        <f t="shared" si="210"/>
        <v>76937.25</v>
      </c>
      <c r="L523" s="283">
        <f>(G520*L520+G521*L521+G522*L522)/100</f>
        <v>15387.45</v>
      </c>
      <c r="M523" s="284">
        <f t="shared" si="211"/>
        <v>76937.25</v>
      </c>
      <c r="N523" s="284">
        <v>0</v>
      </c>
      <c r="O523" s="284">
        <v>0</v>
      </c>
      <c r="P523" s="284">
        <f>(G520*P520+G521*P521+G522*P522)/100</f>
        <v>15460.964198709693</v>
      </c>
      <c r="Q523" s="284">
        <f t="shared" si="212"/>
        <v>77304.820993548463</v>
      </c>
      <c r="R523" s="287">
        <v>0</v>
      </c>
    </row>
    <row r="524" spans="1:18">
      <c r="A524" s="240"/>
      <c r="B524" s="260">
        <v>0</v>
      </c>
      <c r="C524" s="261" t="s">
        <v>590</v>
      </c>
      <c r="D524" s="262" t="s">
        <v>265</v>
      </c>
      <c r="E524" s="260"/>
      <c r="F524" s="263">
        <v>0</v>
      </c>
      <c r="G524" s="264">
        <v>0</v>
      </c>
      <c r="H524" s="264"/>
      <c r="I524" s="264">
        <v>0</v>
      </c>
      <c r="J524" s="281">
        <v>0</v>
      </c>
      <c r="K524" s="281">
        <f>SUM(K525:K525)</f>
        <v>3284531.25</v>
      </c>
      <c r="L524" s="281">
        <v>0</v>
      </c>
      <c r="M524" s="282">
        <f>SUM(M525:M525)</f>
        <v>3590377</v>
      </c>
      <c r="N524" s="282">
        <v>0</v>
      </c>
      <c r="O524" s="282">
        <v>0</v>
      </c>
      <c r="P524" s="282">
        <v>0</v>
      </c>
      <c r="Q524" s="282">
        <f>SUM(Q525:Q525)</f>
        <v>3590377</v>
      </c>
      <c r="R524" s="287">
        <v>0</v>
      </c>
    </row>
    <row r="525" spans="1:18">
      <c r="A525" s="246"/>
      <c r="B525" s="265">
        <v>0</v>
      </c>
      <c r="C525" s="680" t="s">
        <v>629</v>
      </c>
      <c r="D525" s="266" t="str">
        <f>" - "&amp;'Giá NC'!E10</f>
        <v xml:space="preserve"> - Nhân công bậc 4,0/7 - Nhóm 2</v>
      </c>
      <c r="E525" s="265" t="str">
        <f>'Giá NC'!F10</f>
        <v>công</v>
      </c>
      <c r="F525" s="267">
        <v>0</v>
      </c>
      <c r="G525" s="268">
        <v>12.25</v>
      </c>
      <c r="H525" s="268">
        <f>'5.Tiên lượng'!W135</f>
        <v>1</v>
      </c>
      <c r="I525" s="268">
        <f>PRODUCT(F518,G525,H525)</f>
        <v>11.419450000000001</v>
      </c>
      <c r="J525" s="283">
        <f>'Giá NC'!G10</f>
        <v>268125</v>
      </c>
      <c r="K525" s="283">
        <f>PRODUCT(G525,H525,J525)</f>
        <v>3284531.25</v>
      </c>
      <c r="L525" s="283">
        <f>'Giá NC'!H10</f>
        <v>293092</v>
      </c>
      <c r="M525" s="284">
        <f>PRODUCT(G525,H525,L525)</f>
        <v>3590377</v>
      </c>
      <c r="N525" s="284">
        <v>0</v>
      </c>
      <c r="O525" s="284">
        <v>0</v>
      </c>
      <c r="P525" s="284">
        <f>'Giá NC'!K10</f>
        <v>293092</v>
      </c>
      <c r="Q525" s="284">
        <f>PRODUCT(G525,H525,P525)</f>
        <v>3590377</v>
      </c>
      <c r="R525" s="287">
        <v>0</v>
      </c>
    </row>
    <row r="526" spans="1:18">
      <c r="A526" s="240"/>
      <c r="B526" s="260">
        <v>0</v>
      </c>
      <c r="C526" s="261" t="s">
        <v>590</v>
      </c>
      <c r="D526" s="262" t="s">
        <v>267</v>
      </c>
      <c r="E526" s="260"/>
      <c r="F526" s="263">
        <v>0</v>
      </c>
      <c r="G526" s="264">
        <v>0</v>
      </c>
      <c r="H526" s="264"/>
      <c r="I526" s="264">
        <v>0</v>
      </c>
      <c r="J526" s="281">
        <v>0</v>
      </c>
      <c r="K526" s="281">
        <f>SUM(K527:K528)</f>
        <v>328545.28808179201</v>
      </c>
      <c r="L526" s="281">
        <v>0</v>
      </c>
      <c r="M526" s="282">
        <f>SUM(M527:M528)</f>
        <v>326187.636</v>
      </c>
      <c r="N526" s="282">
        <v>0</v>
      </c>
      <c r="O526" s="282">
        <v>0</v>
      </c>
      <c r="P526" s="282">
        <v>0</v>
      </c>
      <c r="Q526" s="282">
        <f>SUM(Q527:Q528)</f>
        <v>357131.12499350397</v>
      </c>
      <c r="R526" s="287">
        <v>0</v>
      </c>
    </row>
    <row r="527" spans="1:18">
      <c r="A527" s="246"/>
      <c r="B527" s="265">
        <v>0</v>
      </c>
      <c r="C527" s="680" t="s">
        <v>630</v>
      </c>
      <c r="D527" s="266" t="str">
        <f>" - "&amp;'Giá Máy'!E16</f>
        <v xml:space="preserve"> - Máy hàn điện 23kW</v>
      </c>
      <c r="E527" s="265" t="str">
        <f>'Giá Máy'!F16</f>
        <v>ca</v>
      </c>
      <c r="F527" s="267">
        <v>0</v>
      </c>
      <c r="G527" s="268">
        <v>0.82</v>
      </c>
      <c r="H527" s="268">
        <f>'5.Tiên lượng'!X135</f>
        <v>1</v>
      </c>
      <c r="I527" s="268">
        <f>PRODUCT(F518,G527,H527)</f>
        <v>0.76440399999999997</v>
      </c>
      <c r="J527" s="283">
        <f>'Giá Máy'!G16</f>
        <v>392808.80927999999</v>
      </c>
      <c r="K527" s="283">
        <f t="shared" ref="K527:K528" si="213">PRODUCT(G527,H527,J527)</f>
        <v>322103.22360959998</v>
      </c>
      <c r="L527" s="283">
        <f>'Giá Máy'!H16</f>
        <v>389990</v>
      </c>
      <c r="M527" s="284">
        <f t="shared" ref="M527:M528" si="214">PRODUCT(G527,H527,L527)</f>
        <v>319791.8</v>
      </c>
      <c r="N527" s="284">
        <v>0</v>
      </c>
      <c r="O527" s="284">
        <v>0</v>
      </c>
      <c r="P527" s="284">
        <f>'Giá Máy'!O16</f>
        <v>426986.04135999997</v>
      </c>
      <c r="Q527" s="284">
        <f t="shared" ref="Q527:Q528" si="215">PRODUCT(G527,H527,P527)</f>
        <v>350128.55391519994</v>
      </c>
      <c r="R527" s="287">
        <v>2</v>
      </c>
    </row>
    <row r="528" spans="1:18">
      <c r="A528" s="251"/>
      <c r="B528" s="269">
        <v>0</v>
      </c>
      <c r="C528" s="681" t="s">
        <v>611</v>
      </c>
      <c r="D528" s="270" t="s">
        <v>612</v>
      </c>
      <c r="E528" s="269" t="s">
        <v>37</v>
      </c>
      <c r="F528" s="271">
        <v>0</v>
      </c>
      <c r="G528" s="272">
        <f>AVERAGE(R527:R527)</f>
        <v>2</v>
      </c>
      <c r="H528" s="272">
        <f>'5.Tiên lượng'!X135</f>
        <v>1</v>
      </c>
      <c r="I528" s="272">
        <f>PRODUCT(F518,G528,H528)</f>
        <v>1.8644000000000001</v>
      </c>
      <c r="J528" s="285">
        <f>(G527*J527)/100</f>
        <v>3221.0322360959999</v>
      </c>
      <c r="K528" s="285">
        <f t="shared" si="213"/>
        <v>6442.0644721919998</v>
      </c>
      <c r="L528" s="285">
        <f>(G527*L527)/100</f>
        <v>3197.9179999999997</v>
      </c>
      <c r="M528" s="286">
        <f t="shared" si="214"/>
        <v>6395.8359999999993</v>
      </c>
      <c r="N528" s="286">
        <v>0</v>
      </c>
      <c r="O528" s="286">
        <v>0</v>
      </c>
      <c r="P528" s="286">
        <f>(G527*P527)/100</f>
        <v>3501.2855391519993</v>
      </c>
      <c r="Q528" s="286">
        <f t="shared" si="215"/>
        <v>7002.5710783039985</v>
      </c>
      <c r="R528" s="288">
        <v>0</v>
      </c>
    </row>
    <row r="529" spans="1:18" ht="41.4">
      <c r="A529" s="234"/>
      <c r="B529" s="256">
        <v>58</v>
      </c>
      <c r="C529" s="234" t="str">
        <f>'5.Tiên lượng'!C138</f>
        <v>AG.11413</v>
      </c>
      <c r="D529" s="257" t="str">
        <f>'5.Tiên lượng'!D138</f>
        <v>Bê tông tấm đan, mái hắt, lanh tô, bê tông M250, đá 1x2, PCB40 - Đổ bê tông đúc sẵn bằng thủ công (vữa bê tông sản xuất bằng máy trộn)</v>
      </c>
      <c r="E529" s="256" t="str">
        <f>'5.Tiên lượng'!E138</f>
        <v>m3</v>
      </c>
      <c r="F529" s="258">
        <f>'5.Tiên lượng'!M138</f>
        <v>6.64</v>
      </c>
      <c r="G529" s="259">
        <v>0</v>
      </c>
      <c r="H529" s="259">
        <v>0</v>
      </c>
      <c r="I529" s="259">
        <v>0</v>
      </c>
      <c r="J529" s="279">
        <v>0</v>
      </c>
      <c r="K529" s="279">
        <v>0</v>
      </c>
      <c r="L529" s="279">
        <v>0</v>
      </c>
      <c r="M529" s="280">
        <v>0</v>
      </c>
      <c r="N529" s="280">
        <v>0</v>
      </c>
      <c r="O529" s="280">
        <v>0</v>
      </c>
      <c r="P529" s="280">
        <v>0</v>
      </c>
      <c r="Q529" s="280">
        <v>0</v>
      </c>
      <c r="R529" s="222">
        <v>0</v>
      </c>
    </row>
    <row r="530" spans="1:18">
      <c r="A530" s="240"/>
      <c r="B530" s="260">
        <v>0</v>
      </c>
      <c r="C530" s="261" t="s">
        <v>590</v>
      </c>
      <c r="D530" s="262" t="s">
        <v>262</v>
      </c>
      <c r="E530" s="260"/>
      <c r="F530" s="263">
        <v>0</v>
      </c>
      <c r="G530" s="264">
        <v>0</v>
      </c>
      <c r="H530" s="264"/>
      <c r="I530" s="264">
        <v>0</v>
      </c>
      <c r="J530" s="281">
        <v>0</v>
      </c>
      <c r="K530" s="281">
        <f>SUM(K531:K535)</f>
        <v>863916.81862500007</v>
      </c>
      <c r="L530" s="281">
        <v>0</v>
      </c>
      <c r="M530" s="282">
        <f>SUM(M531:M535)</f>
        <v>1027893.8748750001</v>
      </c>
      <c r="N530" s="282">
        <v>0</v>
      </c>
      <c r="O530" s="282">
        <v>0</v>
      </c>
      <c r="P530" s="282">
        <v>0</v>
      </c>
      <c r="Q530" s="282">
        <f>SUM(Q531:Q535)</f>
        <v>1171098.5194719234</v>
      </c>
      <c r="R530" s="287">
        <v>0</v>
      </c>
    </row>
    <row r="531" spans="1:18">
      <c r="A531" s="246"/>
      <c r="B531" s="265">
        <v>0</v>
      </c>
      <c r="C531" s="680" t="s">
        <v>614</v>
      </c>
      <c r="D531" s="266" t="str">
        <f>" - "&amp;'Giá VL'!E45</f>
        <v xml:space="preserve"> - Xi măng PCB40</v>
      </c>
      <c r="E531" s="265" t="str">
        <f>'Giá VL'!F45</f>
        <v>kg</v>
      </c>
      <c r="F531" s="267">
        <v>0</v>
      </c>
      <c r="G531" s="268">
        <v>305.51499999999999</v>
      </c>
      <c r="H531" s="268">
        <f>'5.Tiên lượng'!V138</f>
        <v>1</v>
      </c>
      <c r="I531" s="268">
        <f>PRODUCT(F529,G531,H531)</f>
        <v>2028.6195999999998</v>
      </c>
      <c r="J531" s="283">
        <f>'Giá VL'!G45</f>
        <v>1350</v>
      </c>
      <c r="K531" s="283">
        <f t="shared" ref="K531:K535" si="216">PRODUCT(G531,H531,J531)</f>
        <v>412445.25</v>
      </c>
      <c r="L531" s="283">
        <f>'Giá VL'!J45</f>
        <v>1600</v>
      </c>
      <c r="M531" s="284">
        <f t="shared" ref="M531:M535" si="217">PRODUCT(G531,H531,L531)</f>
        <v>488824</v>
      </c>
      <c r="N531" s="284">
        <v>0</v>
      </c>
      <c r="O531" s="284">
        <v>0</v>
      </c>
      <c r="P531" s="284">
        <f>'Giá VL'!V45</f>
        <v>1730</v>
      </c>
      <c r="Q531" s="284">
        <f t="shared" ref="Q531:Q535" si="218">PRODUCT(G531,H531,P531)</f>
        <v>528540.94999999995</v>
      </c>
      <c r="R531" s="287">
        <v>0.5</v>
      </c>
    </row>
    <row r="532" spans="1:18">
      <c r="A532" s="246"/>
      <c r="B532" s="265">
        <v>0</v>
      </c>
      <c r="C532" s="680" t="s">
        <v>615</v>
      </c>
      <c r="D532" s="266" t="str">
        <f>" - "&amp;'Giá VL'!E17</f>
        <v xml:space="preserve"> - Cát vàng</v>
      </c>
      <c r="E532" s="265" t="str">
        <f>'Giá VL'!F17</f>
        <v>m3</v>
      </c>
      <c r="F532" s="267">
        <v>0</v>
      </c>
      <c r="G532" s="268">
        <v>0.52678499999999995</v>
      </c>
      <c r="H532" s="268">
        <f>'5.Tiên lượng'!V138</f>
        <v>1</v>
      </c>
      <c r="I532" s="268">
        <f>PRODUCT(F529,G532,H532)</f>
        <v>3.4978523999999993</v>
      </c>
      <c r="J532" s="283">
        <f>'Giá VL'!G17</f>
        <v>580000</v>
      </c>
      <c r="K532" s="283">
        <f t="shared" si="216"/>
        <v>305535.3</v>
      </c>
      <c r="L532" s="283">
        <f>'Giá VL'!J17</f>
        <v>580000</v>
      </c>
      <c r="M532" s="284">
        <f t="shared" si="217"/>
        <v>305535.3</v>
      </c>
      <c r="N532" s="284">
        <v>0</v>
      </c>
      <c r="O532" s="284">
        <v>0</v>
      </c>
      <c r="P532" s="284">
        <f>'Giá VL'!V17</f>
        <v>659026.49526849983</v>
      </c>
      <c r="Q532" s="284">
        <f t="shared" si="218"/>
        <v>347165.27231001662</v>
      </c>
      <c r="R532" s="287">
        <v>0.5</v>
      </c>
    </row>
    <row r="533" spans="1:18">
      <c r="A533" s="246"/>
      <c r="B533" s="265">
        <v>0</v>
      </c>
      <c r="C533" s="680" t="s">
        <v>659</v>
      </c>
      <c r="D533" s="266" t="str">
        <f>" - "&amp;'Giá VL'!E18</f>
        <v xml:space="preserve"> - Đá 1x2</v>
      </c>
      <c r="E533" s="265" t="str">
        <f>'Giá VL'!F18</f>
        <v>m3</v>
      </c>
      <c r="F533" s="267">
        <v>0</v>
      </c>
      <c r="G533" s="268">
        <v>0.86782499999999996</v>
      </c>
      <c r="H533" s="268">
        <f>'5.Tiên lượng'!V138</f>
        <v>1</v>
      </c>
      <c r="I533" s="268">
        <f>PRODUCT(F529,G533,H533)</f>
        <v>5.7623579999999999</v>
      </c>
      <c r="J533" s="283">
        <f>'Giá VL'!G18</f>
        <v>160000</v>
      </c>
      <c r="K533" s="283">
        <f t="shared" si="216"/>
        <v>138852</v>
      </c>
      <c r="L533" s="283">
        <f>'Giá VL'!J18</f>
        <v>260000</v>
      </c>
      <c r="M533" s="284">
        <f t="shared" si="217"/>
        <v>225634.5</v>
      </c>
      <c r="N533" s="284">
        <v>0</v>
      </c>
      <c r="O533" s="284">
        <v>0</v>
      </c>
      <c r="P533" s="284">
        <f>'Giá VL'!V18</f>
        <v>330458.0547558713</v>
      </c>
      <c r="Q533" s="284">
        <f t="shared" si="218"/>
        <v>286779.76136851398</v>
      </c>
      <c r="R533" s="287">
        <v>0.5</v>
      </c>
    </row>
    <row r="534" spans="1:18">
      <c r="A534" s="246"/>
      <c r="B534" s="265">
        <v>0</v>
      </c>
      <c r="C534" s="680" t="s">
        <v>617</v>
      </c>
      <c r="D534" s="266" t="str">
        <f>" - "&amp;'Giá VL'!E33</f>
        <v xml:space="preserve"> - Nước</v>
      </c>
      <c r="E534" s="265" t="str">
        <f>'Giá VL'!F33</f>
        <v>lít</v>
      </c>
      <c r="F534" s="267">
        <v>0</v>
      </c>
      <c r="G534" s="268">
        <v>185.745</v>
      </c>
      <c r="H534" s="268">
        <f>'5.Tiên lượng'!V138</f>
        <v>1</v>
      </c>
      <c r="I534" s="268">
        <f>PRODUCT(F529,G534,H534)</f>
        <v>1233.3468</v>
      </c>
      <c r="J534" s="283">
        <f>'Giá VL'!G33</f>
        <v>15</v>
      </c>
      <c r="K534" s="283">
        <f t="shared" si="216"/>
        <v>2786.1750000000002</v>
      </c>
      <c r="L534" s="283">
        <f>'Giá VL'!J33</f>
        <v>15</v>
      </c>
      <c r="M534" s="284">
        <f t="shared" si="217"/>
        <v>2786.1750000000002</v>
      </c>
      <c r="N534" s="284">
        <v>0</v>
      </c>
      <c r="O534" s="284">
        <v>0</v>
      </c>
      <c r="P534" s="284">
        <f>'Giá VL'!V33</f>
        <v>15</v>
      </c>
      <c r="Q534" s="284">
        <f t="shared" si="218"/>
        <v>2786.1750000000002</v>
      </c>
      <c r="R534" s="287">
        <v>0.5</v>
      </c>
    </row>
    <row r="535" spans="1:18">
      <c r="A535" s="246"/>
      <c r="B535" s="265">
        <v>0</v>
      </c>
      <c r="C535" s="680" t="s">
        <v>620</v>
      </c>
      <c r="D535" s="266" t="s">
        <v>621</v>
      </c>
      <c r="E535" s="265" t="s">
        <v>37</v>
      </c>
      <c r="F535" s="267">
        <v>0</v>
      </c>
      <c r="G535" s="268">
        <f>AVERAGE(R531:R534)</f>
        <v>0.5</v>
      </c>
      <c r="H535" s="268">
        <f>'5.Tiên lượng'!V138</f>
        <v>1</v>
      </c>
      <c r="I535" s="268">
        <f>PRODUCT(F529,G535,H535)</f>
        <v>3.32</v>
      </c>
      <c r="J535" s="283">
        <f>(G531*J531+G532*J532+G533*J533+G534*J534)/100</f>
        <v>8596.1872500000009</v>
      </c>
      <c r="K535" s="283">
        <f t="shared" si="216"/>
        <v>4298.0936250000004</v>
      </c>
      <c r="L535" s="283">
        <f>(G531*L531+G532*L532+G533*L533+G534*L534)/100</f>
        <v>10227.79975</v>
      </c>
      <c r="M535" s="284">
        <f t="shared" si="217"/>
        <v>5113.8998750000001</v>
      </c>
      <c r="N535" s="284">
        <v>0</v>
      </c>
      <c r="O535" s="284">
        <v>0</v>
      </c>
      <c r="P535" s="284">
        <f>(G531*P531+G532*P532+G533*P533+G534*P534)/100</f>
        <v>11652.721586785306</v>
      </c>
      <c r="Q535" s="284">
        <f t="shared" si="218"/>
        <v>5826.3607933926532</v>
      </c>
      <c r="R535" s="287">
        <v>0</v>
      </c>
    </row>
    <row r="536" spans="1:18">
      <c r="A536" s="240"/>
      <c r="B536" s="260">
        <v>0</v>
      </c>
      <c r="C536" s="261" t="s">
        <v>590</v>
      </c>
      <c r="D536" s="262" t="s">
        <v>265</v>
      </c>
      <c r="E536" s="260"/>
      <c r="F536" s="263">
        <v>0</v>
      </c>
      <c r="G536" s="264">
        <v>0</v>
      </c>
      <c r="H536" s="264"/>
      <c r="I536" s="264">
        <v>0</v>
      </c>
      <c r="J536" s="281">
        <v>0</v>
      </c>
      <c r="K536" s="281">
        <f>SUM(K537:K537)</f>
        <v>435938.75</v>
      </c>
      <c r="L536" s="281">
        <v>0</v>
      </c>
      <c r="M536" s="282">
        <f>SUM(M537:M537)</f>
        <v>476532.44</v>
      </c>
      <c r="N536" s="282">
        <v>0</v>
      </c>
      <c r="O536" s="282">
        <v>0</v>
      </c>
      <c r="P536" s="282">
        <v>0</v>
      </c>
      <c r="Q536" s="282">
        <f>SUM(Q537:Q537)</f>
        <v>476532.44</v>
      </c>
      <c r="R536" s="287">
        <v>0</v>
      </c>
    </row>
    <row r="537" spans="1:18">
      <c r="A537" s="246"/>
      <c r="B537" s="265">
        <v>0</v>
      </c>
      <c r="C537" s="680" t="s">
        <v>605</v>
      </c>
      <c r="D537" s="266" t="str">
        <f>" - "&amp;'Giá NC'!E8</f>
        <v xml:space="preserve"> - Nhân công bậc 3,0/7 - Nhóm 2</v>
      </c>
      <c r="E537" s="265" t="str">
        <f>'Giá NC'!F8</f>
        <v>công</v>
      </c>
      <c r="F537" s="267">
        <v>0</v>
      </c>
      <c r="G537" s="268">
        <v>1.93</v>
      </c>
      <c r="H537" s="268">
        <f>'5.Tiên lượng'!W138</f>
        <v>1</v>
      </c>
      <c r="I537" s="268">
        <f>PRODUCT(F529,G537,H537)</f>
        <v>12.815199999999999</v>
      </c>
      <c r="J537" s="283">
        <f>'Giá NC'!G8</f>
        <v>225875</v>
      </c>
      <c r="K537" s="283">
        <f>PRODUCT(G537,H537,J537)</f>
        <v>435938.75</v>
      </c>
      <c r="L537" s="283">
        <f>'Giá NC'!H8</f>
        <v>246908</v>
      </c>
      <c r="M537" s="284">
        <f>PRODUCT(G537,H537,L537)</f>
        <v>476532.44</v>
      </c>
      <c r="N537" s="284">
        <v>0</v>
      </c>
      <c r="O537" s="284">
        <v>0</v>
      </c>
      <c r="P537" s="284">
        <f>'Giá NC'!K8</f>
        <v>246908</v>
      </c>
      <c r="Q537" s="284">
        <f>PRODUCT(G537,H537,P537)</f>
        <v>476532.44</v>
      </c>
      <c r="R537" s="287">
        <v>0</v>
      </c>
    </row>
    <row r="538" spans="1:18">
      <c r="A538" s="240"/>
      <c r="B538" s="260">
        <v>0</v>
      </c>
      <c r="C538" s="261" t="s">
        <v>590</v>
      </c>
      <c r="D538" s="262" t="s">
        <v>267</v>
      </c>
      <c r="E538" s="260"/>
      <c r="F538" s="263">
        <v>0</v>
      </c>
      <c r="G538" s="264">
        <v>0</v>
      </c>
      <c r="H538" s="264"/>
      <c r="I538" s="264">
        <v>0</v>
      </c>
      <c r="J538" s="281">
        <v>0</v>
      </c>
      <c r="K538" s="281">
        <f>SUM(K539:K539)</f>
        <v>28800.419493699999</v>
      </c>
      <c r="L538" s="281">
        <v>0</v>
      </c>
      <c r="M538" s="282">
        <f>SUM(M539:M539)</f>
        <v>28739.02</v>
      </c>
      <c r="N538" s="282">
        <v>0</v>
      </c>
      <c r="O538" s="282">
        <v>0</v>
      </c>
      <c r="P538" s="282">
        <v>0</v>
      </c>
      <c r="Q538" s="282">
        <f>SUM(Q539:Q539)</f>
        <v>30999.068921274997</v>
      </c>
      <c r="R538" s="287">
        <v>0</v>
      </c>
    </row>
    <row r="539" spans="1:18">
      <c r="A539" s="251"/>
      <c r="B539" s="269">
        <v>0</v>
      </c>
      <c r="C539" s="681" t="s">
        <v>623</v>
      </c>
      <c r="D539" s="270" t="str">
        <f>" - "&amp;'Giá Máy'!E27</f>
        <v xml:space="preserve"> - Máy trộn bê tông 250 lít</v>
      </c>
      <c r="E539" s="269" t="str">
        <f>'Giá Máy'!F27</f>
        <v>ca</v>
      </c>
      <c r="F539" s="271">
        <v>0</v>
      </c>
      <c r="G539" s="272">
        <v>9.5000000000000001E-2</v>
      </c>
      <c r="H539" s="272">
        <f>'5.Tiên lượng'!X138</f>
        <v>1</v>
      </c>
      <c r="I539" s="272">
        <f>PRODUCT(F529,G539,H539)</f>
        <v>0.63080000000000003</v>
      </c>
      <c r="J539" s="285">
        <f>'Giá Máy'!G27</f>
        <v>303162.31046000001</v>
      </c>
      <c r="K539" s="285">
        <f>PRODUCT(G539,H539,J539)</f>
        <v>28800.419493699999</v>
      </c>
      <c r="L539" s="285">
        <f>'Giá Máy'!H27</f>
        <v>302516</v>
      </c>
      <c r="M539" s="286">
        <f>PRODUCT(G539,H539,L539)</f>
        <v>28739.02</v>
      </c>
      <c r="N539" s="286">
        <v>0</v>
      </c>
      <c r="O539" s="286">
        <v>0</v>
      </c>
      <c r="P539" s="286">
        <f>'Giá Máy'!O27</f>
        <v>326305.98864499998</v>
      </c>
      <c r="Q539" s="286">
        <f>PRODUCT(G539,H539,P539)</f>
        <v>30999.068921274997</v>
      </c>
      <c r="R539" s="288">
        <v>0</v>
      </c>
    </row>
    <row r="540" spans="1:18" ht="27.6">
      <c r="A540" s="234"/>
      <c r="B540" s="256">
        <v>59</v>
      </c>
      <c r="C540" s="234" t="str">
        <f>'5.Tiên lượng'!C139</f>
        <v>AG.41610</v>
      </c>
      <c r="D540" s="257" t="str">
        <f>'5.Tiên lượng'!D139</f>
        <v>Lắp đặt cấu kiện bê tông đúc sẵn trọng lượng từ 50kg đến 200kg bằng cần cẩu</v>
      </c>
      <c r="E540" s="256" t="str">
        <f>'5.Tiên lượng'!E139</f>
        <v>1cấu kiện</v>
      </c>
      <c r="F540" s="258">
        <f>'5.Tiên lượng'!M139</f>
        <v>79</v>
      </c>
      <c r="G540" s="259">
        <v>0</v>
      </c>
      <c r="H540" s="259">
        <v>0</v>
      </c>
      <c r="I540" s="259">
        <v>0</v>
      </c>
      <c r="J540" s="279">
        <v>0</v>
      </c>
      <c r="K540" s="279">
        <v>0</v>
      </c>
      <c r="L540" s="279">
        <v>0</v>
      </c>
      <c r="M540" s="280">
        <v>0</v>
      </c>
      <c r="N540" s="280">
        <v>0</v>
      </c>
      <c r="O540" s="280">
        <v>0</v>
      </c>
      <c r="P540" s="280">
        <v>0</v>
      </c>
      <c r="Q540" s="280">
        <v>0</v>
      </c>
      <c r="R540" s="222">
        <v>0</v>
      </c>
    </row>
    <row r="541" spans="1:18">
      <c r="A541" s="240"/>
      <c r="B541" s="260">
        <v>0</v>
      </c>
      <c r="C541" s="261" t="s">
        <v>590</v>
      </c>
      <c r="D541" s="262" t="s">
        <v>265</v>
      </c>
      <c r="E541" s="260"/>
      <c r="F541" s="263">
        <v>0</v>
      </c>
      <c r="G541" s="264">
        <v>0</v>
      </c>
      <c r="H541" s="264"/>
      <c r="I541" s="264">
        <v>0</v>
      </c>
      <c r="J541" s="281">
        <v>0</v>
      </c>
      <c r="K541" s="281">
        <f>SUM(K542:K542)</f>
        <v>6776.25</v>
      </c>
      <c r="L541" s="281">
        <v>0</v>
      </c>
      <c r="M541" s="282">
        <f>SUM(M542:M542)</f>
        <v>7407.24</v>
      </c>
      <c r="N541" s="282">
        <v>0</v>
      </c>
      <c r="O541" s="282">
        <v>0</v>
      </c>
      <c r="P541" s="282">
        <v>0</v>
      </c>
      <c r="Q541" s="282">
        <f>SUM(Q542:Q542)</f>
        <v>7407.24</v>
      </c>
      <c r="R541" s="287">
        <v>0</v>
      </c>
    </row>
    <row r="542" spans="1:18">
      <c r="A542" s="246"/>
      <c r="B542" s="265">
        <v>0</v>
      </c>
      <c r="C542" s="680" t="s">
        <v>605</v>
      </c>
      <c r="D542" s="266" t="str">
        <f>" - "&amp;'Giá NC'!E8</f>
        <v xml:space="preserve"> - Nhân công bậc 3,0/7 - Nhóm 2</v>
      </c>
      <c r="E542" s="265" t="str">
        <f>'Giá NC'!F8</f>
        <v>công</v>
      </c>
      <c r="F542" s="267">
        <v>0</v>
      </c>
      <c r="G542" s="268">
        <v>0.03</v>
      </c>
      <c r="H542" s="268">
        <f>'5.Tiên lượng'!W139</f>
        <v>1</v>
      </c>
      <c r="I542" s="268">
        <f>PRODUCT(F540,G542,H542)</f>
        <v>2.37</v>
      </c>
      <c r="J542" s="283">
        <f>'Giá NC'!G8</f>
        <v>225875</v>
      </c>
      <c r="K542" s="283">
        <f>PRODUCT(G542,H542,J542)</f>
        <v>6776.25</v>
      </c>
      <c r="L542" s="283">
        <f>'Giá NC'!H8</f>
        <v>246908</v>
      </c>
      <c r="M542" s="284">
        <f>PRODUCT(G542,H542,L542)</f>
        <v>7407.24</v>
      </c>
      <c r="N542" s="284">
        <v>0</v>
      </c>
      <c r="O542" s="284">
        <v>0</v>
      </c>
      <c r="P542" s="284">
        <f>'Giá NC'!K8</f>
        <v>246908</v>
      </c>
      <c r="Q542" s="284">
        <f>PRODUCT(G542,H542,P542)</f>
        <v>7407.24</v>
      </c>
      <c r="R542" s="287">
        <v>0</v>
      </c>
    </row>
    <row r="543" spans="1:18">
      <c r="A543" s="240"/>
      <c r="B543" s="260">
        <v>0</v>
      </c>
      <c r="C543" s="261" t="s">
        <v>590</v>
      </c>
      <c r="D543" s="262" t="s">
        <v>267</v>
      </c>
      <c r="E543" s="260"/>
      <c r="F543" s="263">
        <v>0</v>
      </c>
      <c r="G543" s="264">
        <v>0</v>
      </c>
      <c r="H543" s="264"/>
      <c r="I543" s="264">
        <v>0</v>
      </c>
      <c r="J543" s="281">
        <v>0</v>
      </c>
      <c r="K543" s="281">
        <f>SUM(K544:K544)</f>
        <v>22989.213499999947</v>
      </c>
      <c r="L543" s="281">
        <v>0</v>
      </c>
      <c r="M543" s="282">
        <f>SUM(M544:M544)</f>
        <v>24414.84</v>
      </c>
      <c r="N543" s="282">
        <v>0</v>
      </c>
      <c r="O543" s="282">
        <v>0</v>
      </c>
      <c r="P543" s="282">
        <v>0</v>
      </c>
      <c r="Q543" s="282">
        <f>SUM(Q544:Q544)</f>
        <v>24177.150499999996</v>
      </c>
      <c r="R543" s="287">
        <v>0</v>
      </c>
    </row>
    <row r="544" spans="1:18">
      <c r="A544" s="251"/>
      <c r="B544" s="269">
        <v>0</v>
      </c>
      <c r="C544" s="681" t="s">
        <v>665</v>
      </c>
      <c r="D544" s="270" t="str">
        <f>" - "&amp;'Giá Máy'!E6</f>
        <v xml:space="preserve"> - Cần cẩu bánh hơi 6T</v>
      </c>
      <c r="E544" s="269" t="str">
        <f>'Giá Máy'!F6</f>
        <v>ca</v>
      </c>
      <c r="F544" s="271">
        <v>0</v>
      </c>
      <c r="G544" s="272">
        <v>1.4999999999999999E-2</v>
      </c>
      <c r="H544" s="272">
        <f>'5.Tiên lượng'!X139</f>
        <v>1</v>
      </c>
      <c r="I544" s="272">
        <f>PRODUCT(F540,G544,H544)</f>
        <v>1.1850000000000001</v>
      </c>
      <c r="J544" s="285">
        <f>'Giá Máy'!G6</f>
        <v>1532614.2333333299</v>
      </c>
      <c r="K544" s="285">
        <f>PRODUCT(G544,H544,J544)</f>
        <v>22989.213499999947</v>
      </c>
      <c r="L544" s="285">
        <f>'Giá Máy'!H6</f>
        <v>1627656</v>
      </c>
      <c r="M544" s="286">
        <f>PRODUCT(G544,H544,L544)</f>
        <v>24414.84</v>
      </c>
      <c r="N544" s="286">
        <v>0</v>
      </c>
      <c r="O544" s="286">
        <v>0</v>
      </c>
      <c r="P544" s="286">
        <f>'Giá Máy'!O6</f>
        <v>1611810.0333333332</v>
      </c>
      <c r="Q544" s="286">
        <f>PRODUCT(G544,H544,P544)</f>
        <v>24177.150499999996</v>
      </c>
      <c r="R544" s="288">
        <v>0</v>
      </c>
    </row>
    <row r="545" spans="1:18">
      <c r="A545" s="234"/>
      <c r="B545" s="256">
        <v>60</v>
      </c>
      <c r="C545" s="234" t="str">
        <f>'5.Tiên lượng'!C141</f>
        <v>AG.13231</v>
      </c>
      <c r="D545" s="257" t="str">
        <f>'5.Tiên lượng'!D141</f>
        <v>Cốt thép tấm đậy</v>
      </c>
      <c r="E545" s="256" t="str">
        <f>'5.Tiên lượng'!E141</f>
        <v>tấn</v>
      </c>
      <c r="F545" s="258">
        <f>'5.Tiên lượng'!M141</f>
        <v>1.7095600000000002</v>
      </c>
      <c r="G545" s="259">
        <v>0</v>
      </c>
      <c r="H545" s="259">
        <v>0</v>
      </c>
      <c r="I545" s="259">
        <v>0</v>
      </c>
      <c r="J545" s="279">
        <v>0</v>
      </c>
      <c r="K545" s="279">
        <v>0</v>
      </c>
      <c r="L545" s="279">
        <v>0</v>
      </c>
      <c r="M545" s="280">
        <v>0</v>
      </c>
      <c r="N545" s="280">
        <v>0</v>
      </c>
      <c r="O545" s="280">
        <v>0</v>
      </c>
      <c r="P545" s="280">
        <v>0</v>
      </c>
      <c r="Q545" s="280">
        <v>0</v>
      </c>
      <c r="R545" s="222">
        <v>0</v>
      </c>
    </row>
    <row r="546" spans="1:18">
      <c r="A546" s="240"/>
      <c r="B546" s="260">
        <v>0</v>
      </c>
      <c r="C546" s="261" t="s">
        <v>590</v>
      </c>
      <c r="D546" s="262" t="s">
        <v>262</v>
      </c>
      <c r="E546" s="260"/>
      <c r="F546" s="263">
        <v>0</v>
      </c>
      <c r="G546" s="264">
        <v>0</v>
      </c>
      <c r="H546" s="264"/>
      <c r="I546" s="264">
        <v>0</v>
      </c>
      <c r="J546" s="281">
        <v>0</v>
      </c>
      <c r="K546" s="281">
        <f>SUM(K547:K548)</f>
        <v>18171400</v>
      </c>
      <c r="L546" s="281">
        <v>0</v>
      </c>
      <c r="M546" s="282">
        <f>SUM(M547:M548)</f>
        <v>18171400</v>
      </c>
      <c r="N546" s="282">
        <v>0</v>
      </c>
      <c r="O546" s="282">
        <v>0</v>
      </c>
      <c r="P546" s="282">
        <v>0</v>
      </c>
      <c r="Q546" s="282">
        <f>SUM(Q547:Q548)</f>
        <v>18260848.267546091</v>
      </c>
      <c r="R546" s="287">
        <v>0</v>
      </c>
    </row>
    <row r="547" spans="1:18">
      <c r="A547" s="246"/>
      <c r="B547" s="265">
        <v>0</v>
      </c>
      <c r="C547" s="680" t="s">
        <v>666</v>
      </c>
      <c r="D547" s="266" t="str">
        <f>" - "&amp;'Giá VL'!E42</f>
        <v xml:space="preserve"> - Thép tròn</v>
      </c>
      <c r="E547" s="265" t="str">
        <f>'Giá VL'!F42</f>
        <v>kg</v>
      </c>
      <c r="F547" s="267">
        <v>0</v>
      </c>
      <c r="G547" s="268">
        <v>1020</v>
      </c>
      <c r="H547" s="268">
        <f>'5.Tiên lượng'!V141</f>
        <v>1</v>
      </c>
      <c r="I547" s="268">
        <f>PRODUCT(F545,G547,H547)</f>
        <v>1743.7512000000002</v>
      </c>
      <c r="J547" s="283">
        <f>'Giá VL'!G42</f>
        <v>17500</v>
      </c>
      <c r="K547" s="283">
        <f t="shared" ref="K547:K548" si="219">PRODUCT(G547,H547,J547)</f>
        <v>17850000</v>
      </c>
      <c r="L547" s="283">
        <f>'Giá VL'!J42</f>
        <v>17500</v>
      </c>
      <c r="M547" s="284">
        <f t="shared" ref="M547:M548" si="220">PRODUCT(G547,H547,L547)</f>
        <v>17850000</v>
      </c>
      <c r="N547" s="284">
        <v>0</v>
      </c>
      <c r="O547" s="284">
        <v>0</v>
      </c>
      <c r="P547" s="284">
        <f>'Giá VL'!V42</f>
        <v>17587.694379947148</v>
      </c>
      <c r="Q547" s="284">
        <f t="shared" ref="Q547:Q548" si="221">PRODUCT(G547,H547,P547)</f>
        <v>17939448.267546091</v>
      </c>
      <c r="R547" s="287">
        <v>0</v>
      </c>
    </row>
    <row r="548" spans="1:18">
      <c r="A548" s="246"/>
      <c r="B548" s="265">
        <v>0</v>
      </c>
      <c r="C548" s="680" t="s">
        <v>662</v>
      </c>
      <c r="D548" s="266" t="str">
        <f>" - "&amp;'Giá VL'!E23</f>
        <v xml:space="preserve"> - Dây thép</v>
      </c>
      <c r="E548" s="265" t="str">
        <f>'Giá VL'!F23</f>
        <v>kg</v>
      </c>
      <c r="F548" s="267">
        <v>0</v>
      </c>
      <c r="G548" s="268">
        <v>16.07</v>
      </c>
      <c r="H548" s="268">
        <f>'5.Tiên lượng'!V141</f>
        <v>1</v>
      </c>
      <c r="I548" s="268">
        <f>PRODUCT(F545,G548,H548)</f>
        <v>27.472629200000004</v>
      </c>
      <c r="J548" s="283">
        <f>'Giá VL'!G23</f>
        <v>20000</v>
      </c>
      <c r="K548" s="283">
        <f t="shared" si="219"/>
        <v>321400</v>
      </c>
      <c r="L548" s="283">
        <f>'Giá VL'!J23</f>
        <v>20000</v>
      </c>
      <c r="M548" s="284">
        <f t="shared" si="220"/>
        <v>321400</v>
      </c>
      <c r="N548" s="284">
        <v>0</v>
      </c>
      <c r="O548" s="284">
        <v>0</v>
      </c>
      <c r="P548" s="284">
        <f>'Giá VL'!V23</f>
        <v>20000</v>
      </c>
      <c r="Q548" s="284">
        <f t="shared" si="221"/>
        <v>321400</v>
      </c>
      <c r="R548" s="287">
        <v>0</v>
      </c>
    </row>
    <row r="549" spans="1:18">
      <c r="A549" s="240"/>
      <c r="B549" s="260">
        <v>0</v>
      </c>
      <c r="C549" s="261" t="s">
        <v>590</v>
      </c>
      <c r="D549" s="262" t="s">
        <v>265</v>
      </c>
      <c r="E549" s="260"/>
      <c r="F549" s="263">
        <v>0</v>
      </c>
      <c r="G549" s="264">
        <v>0</v>
      </c>
      <c r="H549" s="264"/>
      <c r="I549" s="264">
        <v>0</v>
      </c>
      <c r="J549" s="281">
        <v>0</v>
      </c>
      <c r="K549" s="281">
        <f>SUM(K550:K550)</f>
        <v>4013750</v>
      </c>
      <c r="L549" s="281">
        <v>0</v>
      </c>
      <c r="M549" s="282">
        <f>SUM(M550:M550)</f>
        <v>4387500</v>
      </c>
      <c r="N549" s="282">
        <v>0</v>
      </c>
      <c r="O549" s="282">
        <v>0</v>
      </c>
      <c r="P549" s="282">
        <v>0</v>
      </c>
      <c r="Q549" s="282">
        <f>SUM(Q550:Q550)</f>
        <v>4387500</v>
      </c>
      <c r="R549" s="287">
        <v>0</v>
      </c>
    </row>
    <row r="550" spans="1:18">
      <c r="A550" s="246"/>
      <c r="B550" s="265">
        <v>0</v>
      </c>
      <c r="C550" s="680" t="s">
        <v>622</v>
      </c>
      <c r="D550" s="266" t="str">
        <f>" - "&amp;'Giá NC'!E9</f>
        <v xml:space="preserve"> - Nhân công bậc 3,5/7 - Nhóm 2</v>
      </c>
      <c r="E550" s="265" t="str">
        <f>'Giá NC'!F9</f>
        <v>công</v>
      </c>
      <c r="F550" s="267">
        <v>0</v>
      </c>
      <c r="G550" s="268">
        <v>16.25</v>
      </c>
      <c r="H550" s="268">
        <f>'5.Tiên lượng'!W141</f>
        <v>1</v>
      </c>
      <c r="I550" s="268">
        <f>PRODUCT(F545,G550,H550)</f>
        <v>27.780350000000002</v>
      </c>
      <c r="J550" s="283">
        <f>'Giá NC'!G9</f>
        <v>247000</v>
      </c>
      <c r="K550" s="283">
        <f>PRODUCT(G550,H550,J550)</f>
        <v>4013750</v>
      </c>
      <c r="L550" s="283">
        <f>'Giá NC'!H9</f>
        <v>270000</v>
      </c>
      <c r="M550" s="284">
        <f>PRODUCT(G550,H550,L550)</f>
        <v>4387500</v>
      </c>
      <c r="N550" s="284">
        <v>0</v>
      </c>
      <c r="O550" s="284">
        <v>0</v>
      </c>
      <c r="P550" s="284">
        <f>'Giá NC'!K9</f>
        <v>270000</v>
      </c>
      <c r="Q550" s="284">
        <f>PRODUCT(G550,H550,P550)</f>
        <v>4387500</v>
      </c>
      <c r="R550" s="287">
        <v>0</v>
      </c>
    </row>
    <row r="551" spans="1:18">
      <c r="A551" s="240"/>
      <c r="B551" s="260">
        <v>0</v>
      </c>
      <c r="C551" s="261" t="s">
        <v>590</v>
      </c>
      <c r="D551" s="262" t="s">
        <v>267</v>
      </c>
      <c r="E551" s="260"/>
      <c r="F551" s="263">
        <v>0</v>
      </c>
      <c r="G551" s="264">
        <v>0</v>
      </c>
      <c r="H551" s="264"/>
      <c r="I551" s="264">
        <v>0</v>
      </c>
      <c r="J551" s="281">
        <v>0</v>
      </c>
      <c r="K551" s="281">
        <f>SUM(K552:K552)</f>
        <v>105409.8773626668</v>
      </c>
      <c r="L551" s="281">
        <v>0</v>
      </c>
      <c r="M551" s="282">
        <f>SUM(M552:M552)</f>
        <v>105198.40000000001</v>
      </c>
      <c r="N551" s="282">
        <v>0</v>
      </c>
      <c r="O551" s="282">
        <v>0</v>
      </c>
      <c r="P551" s="282">
        <v>0</v>
      </c>
      <c r="Q551" s="282">
        <f>SUM(Q552:Q552)</f>
        <v>114513.84476866666</v>
      </c>
      <c r="R551" s="287">
        <v>0</v>
      </c>
    </row>
    <row r="552" spans="1:18">
      <c r="A552" s="251"/>
      <c r="B552" s="269">
        <v>0</v>
      </c>
      <c r="C552" s="681" t="s">
        <v>633</v>
      </c>
      <c r="D552" s="270" t="str">
        <f>" - "&amp;'Giá Máy'!E9</f>
        <v xml:space="preserve"> - Máy cắt uốn cốt thép 5kW</v>
      </c>
      <c r="E552" s="269" t="str">
        <f>'Giá Máy'!F9</f>
        <v>ca</v>
      </c>
      <c r="F552" s="271">
        <v>0</v>
      </c>
      <c r="G552" s="272">
        <v>0.4</v>
      </c>
      <c r="H552" s="272">
        <f>'5.Tiên lượng'!X141</f>
        <v>1</v>
      </c>
      <c r="I552" s="272">
        <f>PRODUCT(F545,G552,H552)</f>
        <v>0.6838240000000001</v>
      </c>
      <c r="J552" s="285">
        <f>'Giá Máy'!G9</f>
        <v>263524.69340666698</v>
      </c>
      <c r="K552" s="285">
        <f>PRODUCT(G552,H552,J552)</f>
        <v>105409.8773626668</v>
      </c>
      <c r="L552" s="285">
        <f>'Giá Máy'!H9</f>
        <v>262996</v>
      </c>
      <c r="M552" s="286">
        <f>PRODUCT(G552,H552,L552)</f>
        <v>105198.40000000001</v>
      </c>
      <c r="N552" s="286">
        <v>0</v>
      </c>
      <c r="O552" s="286">
        <v>0</v>
      </c>
      <c r="P552" s="286">
        <f>'Giá Máy'!O9</f>
        <v>286284.61192166666</v>
      </c>
      <c r="Q552" s="286">
        <f>PRODUCT(G552,H552,P552)</f>
        <v>114513.84476866666</v>
      </c>
      <c r="R552" s="288">
        <v>0</v>
      </c>
    </row>
    <row r="553" spans="1:18">
      <c r="A553" s="234"/>
      <c r="B553" s="256">
        <v>61</v>
      </c>
      <c r="C553" s="234" t="str">
        <f>'5.Tiên lượng'!C143</f>
        <v>AG.32511</v>
      </c>
      <c r="D553" s="257" t="str">
        <f>'5.Tiên lượng'!D143</f>
        <v>Ván khuôn thép tấm đậy</v>
      </c>
      <c r="E553" s="256" t="str">
        <f>'5.Tiên lượng'!E143</f>
        <v>100m2</v>
      </c>
      <c r="F553" s="258">
        <f>'5.Tiên lượng'!M143</f>
        <v>0.35389999999999999</v>
      </c>
      <c r="G553" s="259">
        <v>0</v>
      </c>
      <c r="H553" s="259">
        <v>0</v>
      </c>
      <c r="I553" s="259">
        <v>0</v>
      </c>
      <c r="J553" s="279">
        <v>0</v>
      </c>
      <c r="K553" s="279">
        <v>0</v>
      </c>
      <c r="L553" s="279">
        <v>0</v>
      </c>
      <c r="M553" s="280">
        <v>0</v>
      </c>
      <c r="N553" s="280">
        <v>0</v>
      </c>
      <c r="O553" s="280">
        <v>0</v>
      </c>
      <c r="P553" s="280">
        <v>0</v>
      </c>
      <c r="Q553" s="280">
        <v>0</v>
      </c>
      <c r="R553" s="222">
        <v>0</v>
      </c>
    </row>
    <row r="554" spans="1:18">
      <c r="A554" s="240"/>
      <c r="B554" s="260">
        <v>0</v>
      </c>
      <c r="C554" s="261" t="s">
        <v>590</v>
      </c>
      <c r="D554" s="262" t="s">
        <v>262</v>
      </c>
      <c r="E554" s="260"/>
      <c r="F554" s="263">
        <v>0</v>
      </c>
      <c r="G554" s="264">
        <v>0</v>
      </c>
      <c r="H554" s="264"/>
      <c r="I554" s="264">
        <v>0</v>
      </c>
      <c r="J554" s="281">
        <v>0</v>
      </c>
      <c r="K554" s="281">
        <f>SUM(K555:K558)</f>
        <v>702266.25</v>
      </c>
      <c r="L554" s="281">
        <v>0</v>
      </c>
      <c r="M554" s="282">
        <f>SUM(M555:M558)</f>
        <v>702266.25</v>
      </c>
      <c r="N554" s="282">
        <v>0</v>
      </c>
      <c r="O554" s="282">
        <v>0</v>
      </c>
      <c r="P554" s="282">
        <v>0</v>
      </c>
      <c r="Q554" s="282">
        <f>SUM(Q555:Q558)</f>
        <v>705646.47372225288</v>
      </c>
      <c r="R554" s="287">
        <v>0</v>
      </c>
    </row>
    <row r="555" spans="1:18">
      <c r="A555" s="246"/>
      <c r="B555" s="265">
        <v>0</v>
      </c>
      <c r="C555" s="680" t="s">
        <v>663</v>
      </c>
      <c r="D555" s="266" t="str">
        <f>" - "&amp;'Giá VL'!E41</f>
        <v xml:space="preserve"> - Thép tấm</v>
      </c>
      <c r="E555" s="265" t="str">
        <f>'Giá VL'!F41</f>
        <v>kg</v>
      </c>
      <c r="F555" s="267">
        <v>0</v>
      </c>
      <c r="G555" s="268">
        <v>23.03</v>
      </c>
      <c r="H555" s="268">
        <f>'5.Tiên lượng'!V143</f>
        <v>1</v>
      </c>
      <c r="I555" s="268">
        <f>PRODUCT(F553,G555,H555)</f>
        <v>8.1503169999999994</v>
      </c>
      <c r="J555" s="283">
        <f>'Giá VL'!G41</f>
        <v>17500</v>
      </c>
      <c r="K555" s="283">
        <f t="shared" ref="K555:K558" si="222">PRODUCT(G555,H555,J555)</f>
        <v>403025</v>
      </c>
      <c r="L555" s="283">
        <f>'Giá VL'!J41</f>
        <v>17500</v>
      </c>
      <c r="M555" s="284">
        <f t="shared" ref="M555:M558" si="223">PRODUCT(G555,H555,L555)</f>
        <v>403025</v>
      </c>
      <c r="N555" s="284">
        <v>0</v>
      </c>
      <c r="O555" s="284">
        <v>0</v>
      </c>
      <c r="P555" s="284">
        <f>'Giá VL'!V41</f>
        <v>17587.694379947148</v>
      </c>
      <c r="Q555" s="284">
        <f t="shared" ref="Q555:Q558" si="224">PRODUCT(G555,H555,P555)</f>
        <v>405044.60157018283</v>
      </c>
      <c r="R555" s="287">
        <v>5</v>
      </c>
    </row>
    <row r="556" spans="1:18">
      <c r="A556" s="246"/>
      <c r="B556" s="265">
        <v>0</v>
      </c>
      <c r="C556" s="680" t="s">
        <v>664</v>
      </c>
      <c r="D556" s="266" t="str">
        <f>" - "&amp;'Giá VL'!E39</f>
        <v xml:space="preserve"> - Thép hình</v>
      </c>
      <c r="E556" s="265" t="str">
        <f>'Giá VL'!F39</f>
        <v>kg</v>
      </c>
      <c r="F556" s="267">
        <v>0</v>
      </c>
      <c r="G556" s="268">
        <v>13.68</v>
      </c>
      <c r="H556" s="268">
        <f>'5.Tiên lượng'!V143</f>
        <v>1</v>
      </c>
      <c r="I556" s="268">
        <f>PRODUCT(F553,G556,H556)</f>
        <v>4.8413519999999997</v>
      </c>
      <c r="J556" s="283">
        <f>'Giá VL'!G39</f>
        <v>17500</v>
      </c>
      <c r="K556" s="283">
        <f t="shared" si="222"/>
        <v>239400</v>
      </c>
      <c r="L556" s="283">
        <f>'Giá VL'!J39</f>
        <v>17500</v>
      </c>
      <c r="M556" s="284">
        <f t="shared" si="223"/>
        <v>239400</v>
      </c>
      <c r="N556" s="284">
        <v>0</v>
      </c>
      <c r="O556" s="284">
        <v>0</v>
      </c>
      <c r="P556" s="284">
        <f>'Giá VL'!V39</f>
        <v>17587.694379947148</v>
      </c>
      <c r="Q556" s="284">
        <f t="shared" si="224"/>
        <v>240599.65911767699</v>
      </c>
      <c r="R556" s="287">
        <v>5</v>
      </c>
    </row>
    <row r="557" spans="1:18">
      <c r="A557" s="246"/>
      <c r="B557" s="265">
        <v>0</v>
      </c>
      <c r="C557" s="680" t="s">
        <v>628</v>
      </c>
      <c r="D557" s="266" t="str">
        <f>" - "&amp;'Giá VL'!E37</f>
        <v xml:space="preserve"> - Que hàn</v>
      </c>
      <c r="E557" s="265" t="str">
        <f>'Giá VL'!F37</f>
        <v>kg</v>
      </c>
      <c r="F557" s="267">
        <v>0</v>
      </c>
      <c r="G557" s="268">
        <v>1.2</v>
      </c>
      <c r="H557" s="268">
        <f>'5.Tiên lượng'!V143</f>
        <v>1</v>
      </c>
      <c r="I557" s="268">
        <f>PRODUCT(F553,G557,H557)</f>
        <v>0.42468</v>
      </c>
      <c r="J557" s="283">
        <f>'Giá VL'!G37</f>
        <v>22000</v>
      </c>
      <c r="K557" s="283">
        <f t="shared" si="222"/>
        <v>26400</v>
      </c>
      <c r="L557" s="283">
        <f>'Giá VL'!J37</f>
        <v>22000</v>
      </c>
      <c r="M557" s="284">
        <f t="shared" si="223"/>
        <v>26400</v>
      </c>
      <c r="N557" s="284">
        <v>0</v>
      </c>
      <c r="O557" s="284">
        <v>0</v>
      </c>
      <c r="P557" s="284">
        <f>'Giá VL'!V37</f>
        <v>22000</v>
      </c>
      <c r="Q557" s="284">
        <f t="shared" si="224"/>
        <v>26400</v>
      </c>
      <c r="R557" s="287">
        <v>5</v>
      </c>
    </row>
    <row r="558" spans="1:18">
      <c r="A558" s="246"/>
      <c r="B558" s="265">
        <v>0</v>
      </c>
      <c r="C558" s="680" t="s">
        <v>620</v>
      </c>
      <c r="D558" s="266" t="s">
        <v>621</v>
      </c>
      <c r="E558" s="265" t="s">
        <v>37</v>
      </c>
      <c r="F558" s="267">
        <v>0</v>
      </c>
      <c r="G558" s="268">
        <f>AVERAGE(R555:R557)</f>
        <v>5</v>
      </c>
      <c r="H558" s="268">
        <f>'5.Tiên lượng'!V143</f>
        <v>1</v>
      </c>
      <c r="I558" s="268">
        <f>PRODUCT(F553,G558,H558)</f>
        <v>1.7694999999999999</v>
      </c>
      <c r="J558" s="283">
        <f>(G555*J555+G556*J556+G557*J557)/100</f>
        <v>6688.25</v>
      </c>
      <c r="K558" s="283">
        <f t="shared" si="222"/>
        <v>33441.25</v>
      </c>
      <c r="L558" s="283">
        <f>(G555*L555+G556*L556+G557*L557)/100</f>
        <v>6688.25</v>
      </c>
      <c r="M558" s="284">
        <f t="shared" si="223"/>
        <v>33441.25</v>
      </c>
      <c r="N558" s="284">
        <v>0</v>
      </c>
      <c r="O558" s="284">
        <v>0</v>
      </c>
      <c r="P558" s="284">
        <f>(G555*P555+G556*P556+G557*P557)/100</f>
        <v>6720.4426068785988</v>
      </c>
      <c r="Q558" s="284">
        <f t="shared" si="224"/>
        <v>33602.213034392997</v>
      </c>
      <c r="R558" s="287">
        <v>0</v>
      </c>
    </row>
    <row r="559" spans="1:18">
      <c r="A559" s="240"/>
      <c r="B559" s="260">
        <v>0</v>
      </c>
      <c r="C559" s="261" t="s">
        <v>590</v>
      </c>
      <c r="D559" s="262" t="s">
        <v>265</v>
      </c>
      <c r="E559" s="260"/>
      <c r="F559" s="263">
        <v>0</v>
      </c>
      <c r="G559" s="264">
        <v>0</v>
      </c>
      <c r="H559" s="264"/>
      <c r="I559" s="264">
        <v>0</v>
      </c>
      <c r="J559" s="281">
        <v>0</v>
      </c>
      <c r="K559" s="281">
        <f>SUM(K560:K560)</f>
        <v>6182962.5</v>
      </c>
      <c r="L559" s="281">
        <v>0</v>
      </c>
      <c r="M559" s="282">
        <f>SUM(M560:M560)</f>
        <v>6758701.5199999996</v>
      </c>
      <c r="N559" s="282">
        <v>0</v>
      </c>
      <c r="O559" s="282">
        <v>0</v>
      </c>
      <c r="P559" s="282">
        <v>0</v>
      </c>
      <c r="Q559" s="282">
        <f>SUM(Q560:Q560)</f>
        <v>6758701.5199999996</v>
      </c>
      <c r="R559" s="287">
        <v>0</v>
      </c>
    </row>
    <row r="560" spans="1:18">
      <c r="A560" s="246"/>
      <c r="B560" s="265">
        <v>0</v>
      </c>
      <c r="C560" s="680" t="s">
        <v>629</v>
      </c>
      <c r="D560" s="266" t="str">
        <f>" - "&amp;'Giá NC'!E10</f>
        <v xml:space="preserve"> - Nhân công bậc 4,0/7 - Nhóm 2</v>
      </c>
      <c r="E560" s="265" t="str">
        <f>'Giá NC'!F10</f>
        <v>công</v>
      </c>
      <c r="F560" s="267">
        <v>0</v>
      </c>
      <c r="G560" s="268">
        <v>23.06</v>
      </c>
      <c r="H560" s="268">
        <f>'5.Tiên lượng'!W143</f>
        <v>1</v>
      </c>
      <c r="I560" s="268">
        <f>PRODUCT(F553,G560,H560)</f>
        <v>8.1609339999999992</v>
      </c>
      <c r="J560" s="283">
        <f>'Giá NC'!G10</f>
        <v>268125</v>
      </c>
      <c r="K560" s="283">
        <f>PRODUCT(G560,H560,J560)</f>
        <v>6182962.5</v>
      </c>
      <c r="L560" s="283">
        <f>'Giá NC'!H10</f>
        <v>293092</v>
      </c>
      <c r="M560" s="284">
        <f>PRODUCT(G560,H560,L560)</f>
        <v>6758701.5199999996</v>
      </c>
      <c r="N560" s="284">
        <v>0</v>
      </c>
      <c r="O560" s="284">
        <v>0</v>
      </c>
      <c r="P560" s="284">
        <f>'Giá NC'!K10</f>
        <v>293092</v>
      </c>
      <c r="Q560" s="284">
        <f>PRODUCT(G560,H560,P560)</f>
        <v>6758701.5199999996</v>
      </c>
      <c r="R560" s="287">
        <v>0</v>
      </c>
    </row>
    <row r="561" spans="1:18">
      <c r="A561" s="240"/>
      <c r="B561" s="260">
        <v>0</v>
      </c>
      <c r="C561" s="261" t="s">
        <v>590</v>
      </c>
      <c r="D561" s="262" t="s">
        <v>267</v>
      </c>
      <c r="E561" s="260"/>
      <c r="F561" s="263">
        <v>0</v>
      </c>
      <c r="G561" s="264">
        <v>0</v>
      </c>
      <c r="H561" s="264"/>
      <c r="I561" s="264">
        <v>0</v>
      </c>
      <c r="J561" s="281">
        <v>0</v>
      </c>
      <c r="K561" s="281">
        <f>SUM(K562:K564)</f>
        <v>136108.25241551999</v>
      </c>
      <c r="L561" s="281">
        <v>0</v>
      </c>
      <c r="M561" s="282">
        <f>SUM(M562:M564)</f>
        <v>135131.535</v>
      </c>
      <c r="N561" s="282">
        <v>0</v>
      </c>
      <c r="O561" s="282">
        <v>0</v>
      </c>
      <c r="P561" s="282">
        <v>0</v>
      </c>
      <c r="Q561" s="282">
        <f>SUM(Q562:Q564)</f>
        <v>147950.66333124001</v>
      </c>
      <c r="R561" s="287">
        <v>0</v>
      </c>
    </row>
    <row r="562" spans="1:18">
      <c r="A562" s="246"/>
      <c r="B562" s="265">
        <v>0</v>
      </c>
      <c r="C562" s="680" t="s">
        <v>630</v>
      </c>
      <c r="D562" s="266" t="str">
        <f>" - "&amp;'Giá Máy'!E16</f>
        <v xml:space="preserve"> - Máy hàn điện 23kW</v>
      </c>
      <c r="E562" s="265" t="str">
        <f>'Giá Máy'!F16</f>
        <v>ca</v>
      </c>
      <c r="F562" s="267">
        <v>0</v>
      </c>
      <c r="G562" s="268">
        <v>0.33</v>
      </c>
      <c r="H562" s="268">
        <f>'5.Tiên lượng'!X143</f>
        <v>1</v>
      </c>
      <c r="I562" s="268">
        <f>PRODUCT(F553,G562,H562)</f>
        <v>0.116787</v>
      </c>
      <c r="J562" s="283">
        <f>'Giá Máy'!G16</f>
        <v>392808.80927999999</v>
      </c>
      <c r="K562" s="283">
        <f t="shared" ref="K562:K564" si="225">PRODUCT(G562,H562,J562)</f>
        <v>129626.9070624</v>
      </c>
      <c r="L562" s="283">
        <f>'Giá Máy'!H16</f>
        <v>389990</v>
      </c>
      <c r="M562" s="284">
        <f t="shared" ref="M562:M564" si="226">PRODUCT(G562,H562,L562)</f>
        <v>128696.70000000001</v>
      </c>
      <c r="N562" s="284">
        <v>0</v>
      </c>
      <c r="O562" s="284">
        <v>0</v>
      </c>
      <c r="P562" s="284">
        <f>'Giá Máy'!O16</f>
        <v>426986.04135999997</v>
      </c>
      <c r="Q562" s="284">
        <f t="shared" ref="Q562:Q564" si="227">PRODUCT(G562,H562,P562)</f>
        <v>140905.3936488</v>
      </c>
      <c r="R562" s="287">
        <v>5</v>
      </c>
    </row>
    <row r="563" spans="1:18">
      <c r="A563" s="251"/>
      <c r="B563" s="269">
        <v>0</v>
      </c>
      <c r="C563" s="681" t="s">
        <v>611</v>
      </c>
      <c r="D563" s="270" t="s">
        <v>612</v>
      </c>
      <c r="E563" s="269" t="s">
        <v>37</v>
      </c>
      <c r="F563" s="271">
        <v>0</v>
      </c>
      <c r="G563" s="272">
        <f>AVERAGE(R562:R562)</f>
        <v>5</v>
      </c>
      <c r="H563" s="272">
        <f>'5.Tiên lượng'!X143</f>
        <v>1</v>
      </c>
      <c r="I563" s="272">
        <f>PRODUCT(F553,G563,H563)</f>
        <v>1.7694999999999999</v>
      </c>
      <c r="J563" s="285">
        <f>(G562*J562)/100</f>
        <v>1296.2690706240001</v>
      </c>
      <c r="K563" s="285">
        <f t="shared" si="225"/>
        <v>6481.3453531200003</v>
      </c>
      <c r="L563" s="285">
        <f>(G562*L562)/100</f>
        <v>1286.9670000000001</v>
      </c>
      <c r="M563" s="286">
        <f t="shared" si="226"/>
        <v>6434.8350000000009</v>
      </c>
      <c r="N563" s="286">
        <v>0</v>
      </c>
      <c r="O563" s="286">
        <v>0</v>
      </c>
      <c r="P563" s="286">
        <f>(G562*P562)/100</f>
        <v>1409.0539364880001</v>
      </c>
      <c r="Q563" s="286">
        <f t="shared" si="227"/>
        <v>7045.2696824400009</v>
      </c>
      <c r="R563" s="288">
        <v>0</v>
      </c>
    </row>
    <row r="564" spans="1:18">
      <c r="A564" s="229"/>
      <c r="B564" s="289">
        <v>0</v>
      </c>
      <c r="C564" s="682" t="s">
        <v>339</v>
      </c>
      <c r="D564" s="290" t="s">
        <v>1078</v>
      </c>
      <c r="E564" s="289"/>
      <c r="F564" s="291">
        <v>0</v>
      </c>
      <c r="G564" s="292">
        <v>0</v>
      </c>
      <c r="H564" s="292">
        <f>'5.Tiên lượng'!X143</f>
        <v>1</v>
      </c>
      <c r="I564" s="292">
        <f>PRODUCT(F553,G564,H564)</f>
        <v>0</v>
      </c>
      <c r="J564" s="293">
        <v>0</v>
      </c>
      <c r="K564" s="294">
        <f t="shared" si="225"/>
        <v>0</v>
      </c>
      <c r="L564" s="294">
        <v>0</v>
      </c>
      <c r="M564" s="295">
        <f t="shared" si="226"/>
        <v>0</v>
      </c>
      <c r="N564" s="295">
        <v>0</v>
      </c>
      <c r="O564" s="295">
        <v>0</v>
      </c>
      <c r="P564" s="295">
        <v>0</v>
      </c>
      <c r="Q564" s="295">
        <f t="shared" si="227"/>
        <v>0</v>
      </c>
      <c r="R564" s="146">
        <v>0</v>
      </c>
    </row>
    <row r="565" spans="1:18" ht="27.6">
      <c r="A565" s="234"/>
      <c r="B565" s="256">
        <v>62</v>
      </c>
      <c r="C565" s="234" t="str">
        <f>'5.Tiên lượng'!C146</f>
        <v>BB.11112</v>
      </c>
      <c r="D565" s="257" t="str">
        <f>'5.Tiên lượng'!D146</f>
        <v xml:space="preserve">Lắp đặt ống bê tông bằng thủ công, đoạn ống dài 1m - Đường kính 300mm </v>
      </c>
      <c r="E565" s="256" t="str">
        <f>'5.Tiên lượng'!E146</f>
        <v>1 đoạn ống</v>
      </c>
      <c r="F565" s="258">
        <f>'5.Tiên lượng'!M146</f>
        <v>38</v>
      </c>
      <c r="G565" s="259">
        <v>0</v>
      </c>
      <c r="H565" s="259">
        <v>0</v>
      </c>
      <c r="I565" s="259">
        <v>0</v>
      </c>
      <c r="J565" s="279">
        <v>0</v>
      </c>
      <c r="K565" s="279">
        <v>0</v>
      </c>
      <c r="L565" s="279">
        <v>0</v>
      </c>
      <c r="M565" s="280">
        <v>0</v>
      </c>
      <c r="N565" s="280">
        <v>0</v>
      </c>
      <c r="O565" s="280">
        <v>0</v>
      </c>
      <c r="P565" s="280">
        <v>0</v>
      </c>
      <c r="Q565" s="280">
        <v>0</v>
      </c>
      <c r="R565" s="222">
        <v>0</v>
      </c>
    </row>
    <row r="566" spans="1:18">
      <c r="A566" s="240"/>
      <c r="B566" s="260">
        <v>0</v>
      </c>
      <c r="C566" s="261" t="s">
        <v>590</v>
      </c>
      <c r="D566" s="262" t="s">
        <v>262</v>
      </c>
      <c r="E566" s="260"/>
      <c r="F566" s="263">
        <v>0</v>
      </c>
      <c r="G566" s="264">
        <v>0</v>
      </c>
      <c r="H566" s="264"/>
      <c r="I566" s="264">
        <v>0</v>
      </c>
      <c r="J566" s="281">
        <v>0</v>
      </c>
      <c r="K566" s="281">
        <f>SUM(K567:K568)</f>
        <v>330915.375</v>
      </c>
      <c r="L566" s="281">
        <v>0</v>
      </c>
      <c r="M566" s="282">
        <f>SUM(M567:M568)</f>
        <v>330915.375</v>
      </c>
      <c r="N566" s="282">
        <v>0</v>
      </c>
      <c r="O566" s="282">
        <v>0</v>
      </c>
      <c r="P566" s="282">
        <v>0</v>
      </c>
      <c r="Q566" s="282">
        <f>SUM(Q567:Q568)</f>
        <v>341794.36583022942</v>
      </c>
      <c r="R566" s="287">
        <v>0</v>
      </c>
    </row>
    <row r="567" spans="1:18">
      <c r="A567" s="246"/>
      <c r="B567" s="265">
        <v>0</v>
      </c>
      <c r="C567" s="680" t="s">
        <v>667</v>
      </c>
      <c r="D567" s="266" t="str">
        <f>" - "&amp;'Giá VL'!E5</f>
        <v xml:space="preserve"> - Ống bê tông D300mm, L=1m</v>
      </c>
      <c r="E567" s="265" t="str">
        <f>'Giá VL'!F5</f>
        <v>đoạn</v>
      </c>
      <c r="F567" s="267">
        <v>0</v>
      </c>
      <c r="G567" s="268">
        <v>1</v>
      </c>
      <c r="H567" s="268">
        <f>'5.Tiên lượng'!V146</f>
        <v>1</v>
      </c>
      <c r="I567" s="268">
        <f>PRODUCT(F565,G567,H567)</f>
        <v>38</v>
      </c>
      <c r="J567" s="283">
        <f>'Giá VL'!G5</f>
        <v>330750</v>
      </c>
      <c r="K567" s="283">
        <f t="shared" ref="K567:K568" si="228">PRODUCT(G567,H567,J567)</f>
        <v>330750</v>
      </c>
      <c r="L567" s="283">
        <f>'Giá VL'!J5</f>
        <v>330750</v>
      </c>
      <c r="M567" s="284">
        <f t="shared" ref="M567:M568" si="229">PRODUCT(G567,H567,L567)</f>
        <v>330750</v>
      </c>
      <c r="N567" s="284">
        <v>0</v>
      </c>
      <c r="O567" s="284">
        <v>0</v>
      </c>
      <c r="P567" s="284">
        <f>'Giá VL'!V5</f>
        <v>341623.5540532028</v>
      </c>
      <c r="Q567" s="284">
        <f t="shared" ref="Q567:Q568" si="230">PRODUCT(G567,H567,P567)</f>
        <v>341623.5540532028</v>
      </c>
      <c r="R567" s="287">
        <v>0.05</v>
      </c>
    </row>
    <row r="568" spans="1:18">
      <c r="A568" s="246"/>
      <c r="B568" s="265">
        <v>0</v>
      </c>
      <c r="C568" s="680" t="s">
        <v>620</v>
      </c>
      <c r="D568" s="266" t="s">
        <v>668</v>
      </c>
      <c r="E568" s="265" t="s">
        <v>37</v>
      </c>
      <c r="F568" s="267">
        <v>0</v>
      </c>
      <c r="G568" s="268">
        <f>AVERAGE(R567:R567)</f>
        <v>0.05</v>
      </c>
      <c r="H568" s="268">
        <f>'5.Tiên lượng'!V146</f>
        <v>1</v>
      </c>
      <c r="I568" s="268">
        <f>PRODUCT(F565,G568,H568)</f>
        <v>1.9000000000000001</v>
      </c>
      <c r="J568" s="283">
        <f>(G567*J567)/100</f>
        <v>3307.5</v>
      </c>
      <c r="K568" s="283">
        <f t="shared" si="228"/>
        <v>165.375</v>
      </c>
      <c r="L568" s="283">
        <f>(G567*L567)/100</f>
        <v>3307.5</v>
      </c>
      <c r="M568" s="284">
        <f t="shared" si="229"/>
        <v>165.375</v>
      </c>
      <c r="N568" s="284">
        <v>0</v>
      </c>
      <c r="O568" s="284">
        <v>0</v>
      </c>
      <c r="P568" s="284">
        <f>(G567*P567)/100</f>
        <v>3416.2355405320282</v>
      </c>
      <c r="Q568" s="284">
        <f t="shared" si="230"/>
        <v>170.81177702660142</v>
      </c>
      <c r="R568" s="287">
        <v>0</v>
      </c>
    </row>
    <row r="569" spans="1:18">
      <c r="A569" s="240"/>
      <c r="B569" s="260">
        <v>0</v>
      </c>
      <c r="C569" s="261" t="s">
        <v>590</v>
      </c>
      <c r="D569" s="262" t="s">
        <v>265</v>
      </c>
      <c r="E569" s="260"/>
      <c r="F569" s="263">
        <v>0</v>
      </c>
      <c r="G569" s="264">
        <v>0</v>
      </c>
      <c r="H569" s="264"/>
      <c r="I569" s="264">
        <v>0</v>
      </c>
      <c r="J569" s="281">
        <v>0</v>
      </c>
      <c r="K569" s="281">
        <f>SUM(K570:K570)</f>
        <v>64220</v>
      </c>
      <c r="L569" s="281">
        <v>0</v>
      </c>
      <c r="M569" s="282">
        <f>SUM(M570:M570)</f>
        <v>70200</v>
      </c>
      <c r="N569" s="282">
        <v>0</v>
      </c>
      <c r="O569" s="282">
        <v>0</v>
      </c>
      <c r="P569" s="282">
        <v>0</v>
      </c>
      <c r="Q569" s="282">
        <f>SUM(Q570:Q570)</f>
        <v>70200</v>
      </c>
      <c r="R569" s="287">
        <v>0</v>
      </c>
    </row>
    <row r="570" spans="1:18">
      <c r="A570" s="251"/>
      <c r="B570" s="269">
        <v>0</v>
      </c>
      <c r="C570" s="681" t="s">
        <v>622</v>
      </c>
      <c r="D570" s="270" t="str">
        <f>" - "&amp;'Giá NC'!E9</f>
        <v xml:space="preserve"> - Nhân công bậc 3,5/7 - Nhóm 2</v>
      </c>
      <c r="E570" s="269" t="str">
        <f>'Giá NC'!F9</f>
        <v>công</v>
      </c>
      <c r="F570" s="271">
        <v>0</v>
      </c>
      <c r="G570" s="272">
        <v>0.26</v>
      </c>
      <c r="H570" s="272">
        <f>'5.Tiên lượng'!W146</f>
        <v>1</v>
      </c>
      <c r="I570" s="272">
        <f>PRODUCT(F565,G570,H570)</f>
        <v>9.8800000000000008</v>
      </c>
      <c r="J570" s="285">
        <f>'Giá NC'!G9</f>
        <v>247000</v>
      </c>
      <c r="K570" s="285">
        <f>PRODUCT(G570,H570,J570)</f>
        <v>64220</v>
      </c>
      <c r="L570" s="285">
        <f>'Giá NC'!H9</f>
        <v>270000</v>
      </c>
      <c r="M570" s="286">
        <f>PRODUCT(G570,H570,L570)</f>
        <v>70200</v>
      </c>
      <c r="N570" s="286">
        <v>0</v>
      </c>
      <c r="O570" s="286">
        <v>0</v>
      </c>
      <c r="P570" s="286">
        <f>'Giá NC'!K9</f>
        <v>270000</v>
      </c>
      <c r="Q570" s="286">
        <f>PRODUCT(G570,H570,P570)</f>
        <v>70200</v>
      </c>
      <c r="R570" s="288">
        <v>0</v>
      </c>
    </row>
    <row r="571" spans="1:18" ht="27.6">
      <c r="A571" s="234"/>
      <c r="B571" s="256">
        <v>63</v>
      </c>
      <c r="C571" s="234" t="str">
        <f>'5.Tiên lượng'!C147</f>
        <v>BB.11122</v>
      </c>
      <c r="D571" s="257" t="str">
        <f>'5.Tiên lượng'!D147</f>
        <v xml:space="preserve">Lắp đặt ống bê tông bằng thủ công, đoạn ống dài 2m - Đường kính 300mm </v>
      </c>
      <c r="E571" s="256" t="str">
        <f>'5.Tiên lượng'!E147</f>
        <v>1 đoạn ống</v>
      </c>
      <c r="F571" s="258">
        <f>'5.Tiên lượng'!M147</f>
        <v>74</v>
      </c>
      <c r="G571" s="259">
        <v>0</v>
      </c>
      <c r="H571" s="259">
        <v>0</v>
      </c>
      <c r="I571" s="259">
        <v>0</v>
      </c>
      <c r="J571" s="279">
        <v>0</v>
      </c>
      <c r="K571" s="279">
        <v>0</v>
      </c>
      <c r="L571" s="279">
        <v>0</v>
      </c>
      <c r="M571" s="280">
        <v>0</v>
      </c>
      <c r="N571" s="280">
        <v>0</v>
      </c>
      <c r="O571" s="280">
        <v>0</v>
      </c>
      <c r="P571" s="280">
        <v>0</v>
      </c>
      <c r="Q571" s="280">
        <v>0</v>
      </c>
      <c r="R571" s="222">
        <v>0</v>
      </c>
    </row>
    <row r="572" spans="1:18">
      <c r="A572" s="240"/>
      <c r="B572" s="260">
        <v>0</v>
      </c>
      <c r="C572" s="261" t="s">
        <v>590</v>
      </c>
      <c r="D572" s="262" t="s">
        <v>262</v>
      </c>
      <c r="E572" s="260"/>
      <c r="F572" s="263">
        <v>0</v>
      </c>
      <c r="G572" s="264">
        <v>0</v>
      </c>
      <c r="H572" s="264"/>
      <c r="I572" s="264">
        <v>0</v>
      </c>
      <c r="J572" s="281">
        <v>0</v>
      </c>
      <c r="K572" s="281">
        <f>SUM(K573:K574)</f>
        <v>661830.75</v>
      </c>
      <c r="L572" s="281">
        <v>0</v>
      </c>
      <c r="M572" s="282">
        <f>SUM(M573:M574)</f>
        <v>661830.75</v>
      </c>
      <c r="N572" s="282">
        <v>0</v>
      </c>
      <c r="O572" s="282">
        <v>0</v>
      </c>
      <c r="P572" s="282">
        <v>0</v>
      </c>
      <c r="Q572" s="282">
        <f>SUM(Q573:Q574)</f>
        <v>683588.73166045884</v>
      </c>
      <c r="R572" s="287">
        <v>0</v>
      </c>
    </row>
    <row r="573" spans="1:18">
      <c r="A573" s="246"/>
      <c r="B573" s="265">
        <v>0</v>
      </c>
      <c r="C573" s="680" t="s">
        <v>669</v>
      </c>
      <c r="D573" s="266" t="str">
        <f>" - "&amp;'Giá VL'!E6</f>
        <v xml:space="preserve"> - Ống bê tông D300mm, L=2m</v>
      </c>
      <c r="E573" s="265" t="str">
        <f>'Giá VL'!F6</f>
        <v>đoạn</v>
      </c>
      <c r="F573" s="267">
        <v>0</v>
      </c>
      <c r="G573" s="268">
        <v>1</v>
      </c>
      <c r="H573" s="268">
        <f>'5.Tiên lượng'!V147</f>
        <v>1</v>
      </c>
      <c r="I573" s="268">
        <f>PRODUCT(F571,G573,H573)</f>
        <v>74</v>
      </c>
      <c r="J573" s="283">
        <f>'Giá VL'!G6</f>
        <v>661500</v>
      </c>
      <c r="K573" s="283">
        <f t="shared" ref="K573:K574" si="231">PRODUCT(G573,H573,J573)</f>
        <v>661500</v>
      </c>
      <c r="L573" s="283">
        <f>'Giá VL'!J6</f>
        <v>661500</v>
      </c>
      <c r="M573" s="284">
        <f t="shared" ref="M573:M574" si="232">PRODUCT(G573,H573,L573)</f>
        <v>661500</v>
      </c>
      <c r="N573" s="284">
        <v>0</v>
      </c>
      <c r="O573" s="284">
        <v>0</v>
      </c>
      <c r="P573" s="284">
        <f>'Giá VL'!V6</f>
        <v>683247.10810640559</v>
      </c>
      <c r="Q573" s="284">
        <f t="shared" ref="Q573:Q574" si="233">PRODUCT(G573,H573,P573)</f>
        <v>683247.10810640559</v>
      </c>
      <c r="R573" s="287">
        <v>0.05</v>
      </c>
    </row>
    <row r="574" spans="1:18">
      <c r="A574" s="246"/>
      <c r="B574" s="265">
        <v>0</v>
      </c>
      <c r="C574" s="680" t="s">
        <v>620</v>
      </c>
      <c r="D574" s="266" t="s">
        <v>668</v>
      </c>
      <c r="E574" s="265" t="s">
        <v>37</v>
      </c>
      <c r="F574" s="267">
        <v>0</v>
      </c>
      <c r="G574" s="268">
        <f>AVERAGE(R573:R573)</f>
        <v>0.05</v>
      </c>
      <c r="H574" s="268">
        <f>'5.Tiên lượng'!V147</f>
        <v>1</v>
      </c>
      <c r="I574" s="268">
        <f>PRODUCT(F571,G574,H574)</f>
        <v>3.7</v>
      </c>
      <c r="J574" s="283">
        <f>(G573*J573)/100</f>
        <v>6615</v>
      </c>
      <c r="K574" s="283">
        <f t="shared" si="231"/>
        <v>330.75</v>
      </c>
      <c r="L574" s="283">
        <f>(G573*L573)/100</f>
        <v>6615</v>
      </c>
      <c r="M574" s="284">
        <f t="shared" si="232"/>
        <v>330.75</v>
      </c>
      <c r="N574" s="284">
        <v>0</v>
      </c>
      <c r="O574" s="284">
        <v>0</v>
      </c>
      <c r="P574" s="284">
        <f>(G573*P573)/100</f>
        <v>6832.4710810640563</v>
      </c>
      <c r="Q574" s="284">
        <f t="shared" si="233"/>
        <v>341.62355405320284</v>
      </c>
      <c r="R574" s="287">
        <v>0</v>
      </c>
    </row>
    <row r="575" spans="1:18">
      <c r="A575" s="240"/>
      <c r="B575" s="260">
        <v>0</v>
      </c>
      <c r="C575" s="261" t="s">
        <v>590</v>
      </c>
      <c r="D575" s="262" t="s">
        <v>265</v>
      </c>
      <c r="E575" s="260"/>
      <c r="F575" s="263">
        <v>0</v>
      </c>
      <c r="G575" s="264">
        <v>0</v>
      </c>
      <c r="H575" s="264"/>
      <c r="I575" s="264">
        <v>0</v>
      </c>
      <c r="J575" s="281">
        <v>0</v>
      </c>
      <c r="K575" s="281">
        <f>SUM(K576:K576)</f>
        <v>86450</v>
      </c>
      <c r="L575" s="281">
        <v>0</v>
      </c>
      <c r="M575" s="282">
        <f>SUM(M576:M576)</f>
        <v>94500</v>
      </c>
      <c r="N575" s="282">
        <v>0</v>
      </c>
      <c r="O575" s="282">
        <v>0</v>
      </c>
      <c r="P575" s="282">
        <v>0</v>
      </c>
      <c r="Q575" s="282">
        <f>SUM(Q576:Q576)</f>
        <v>94500</v>
      </c>
      <c r="R575" s="287">
        <v>0</v>
      </c>
    </row>
    <row r="576" spans="1:18">
      <c r="A576" s="251"/>
      <c r="B576" s="269">
        <v>0</v>
      </c>
      <c r="C576" s="681" t="s">
        <v>622</v>
      </c>
      <c r="D576" s="270" t="str">
        <f>" - "&amp;'Giá NC'!E9</f>
        <v xml:space="preserve"> - Nhân công bậc 3,5/7 - Nhóm 2</v>
      </c>
      <c r="E576" s="269" t="str">
        <f>'Giá NC'!F9</f>
        <v>công</v>
      </c>
      <c r="F576" s="271">
        <v>0</v>
      </c>
      <c r="G576" s="272">
        <v>0.35</v>
      </c>
      <c r="H576" s="272">
        <f>'5.Tiên lượng'!W147</f>
        <v>1</v>
      </c>
      <c r="I576" s="272">
        <f>PRODUCT(F571,G576,H576)</f>
        <v>25.9</v>
      </c>
      <c r="J576" s="285">
        <f>'Giá NC'!G9</f>
        <v>247000</v>
      </c>
      <c r="K576" s="285">
        <f>PRODUCT(G576,H576,J576)</f>
        <v>86450</v>
      </c>
      <c r="L576" s="285">
        <f>'Giá NC'!H9</f>
        <v>270000</v>
      </c>
      <c r="M576" s="286">
        <f>PRODUCT(G576,H576,L576)</f>
        <v>94500</v>
      </c>
      <c r="N576" s="286">
        <v>0</v>
      </c>
      <c r="O576" s="286">
        <v>0</v>
      </c>
      <c r="P576" s="286">
        <f>'Giá NC'!K9</f>
        <v>270000</v>
      </c>
      <c r="Q576" s="286">
        <f>PRODUCT(G576,H576,P576)</f>
        <v>94500</v>
      </c>
      <c r="R576" s="288">
        <v>0</v>
      </c>
    </row>
    <row r="577" spans="1:18" ht="27.6">
      <c r="A577" s="234"/>
      <c r="B577" s="256">
        <v>64</v>
      </c>
      <c r="C577" s="234" t="str">
        <f>'5.Tiên lượng'!C148</f>
        <v>BB.13502</v>
      </c>
      <c r="D577" s="257" t="str">
        <f>'5.Tiên lượng'!D148</f>
        <v xml:space="preserve">Nối ống bê tông bằng phương pháp xảm - Đường kính 300mm </v>
      </c>
      <c r="E577" s="256" t="str">
        <f>'5.Tiên lượng'!E148</f>
        <v>mối nối</v>
      </c>
      <c r="F577" s="258">
        <f>'5.Tiên lượng'!M148</f>
        <v>64</v>
      </c>
      <c r="G577" s="259">
        <v>0</v>
      </c>
      <c r="H577" s="259">
        <v>0</v>
      </c>
      <c r="I577" s="259">
        <v>0</v>
      </c>
      <c r="J577" s="279">
        <v>0</v>
      </c>
      <c r="K577" s="279">
        <v>0</v>
      </c>
      <c r="L577" s="279">
        <v>0</v>
      </c>
      <c r="M577" s="280">
        <v>0</v>
      </c>
      <c r="N577" s="280">
        <v>0</v>
      </c>
      <c r="O577" s="280">
        <v>0</v>
      </c>
      <c r="P577" s="280">
        <v>0</v>
      </c>
      <c r="Q577" s="280">
        <v>0</v>
      </c>
      <c r="R577" s="222">
        <v>0</v>
      </c>
    </row>
    <row r="578" spans="1:18">
      <c r="A578" s="240"/>
      <c r="B578" s="260">
        <v>0</v>
      </c>
      <c r="C578" s="261" t="s">
        <v>590</v>
      </c>
      <c r="D578" s="262" t="s">
        <v>262</v>
      </c>
      <c r="E578" s="260"/>
      <c r="F578" s="263">
        <v>0</v>
      </c>
      <c r="G578" s="264">
        <v>0</v>
      </c>
      <c r="H578" s="264"/>
      <c r="I578" s="264">
        <v>0</v>
      </c>
      <c r="J578" s="281">
        <v>0</v>
      </c>
      <c r="K578" s="281">
        <f>SUM(K579:K581)</f>
        <v>5903.6640000000007</v>
      </c>
      <c r="L578" s="281">
        <v>0</v>
      </c>
      <c r="M578" s="282">
        <f>SUM(M579:M581)</f>
        <v>6521.8559999999998</v>
      </c>
      <c r="N578" s="282">
        <v>0</v>
      </c>
      <c r="O578" s="282">
        <v>0</v>
      </c>
      <c r="P578" s="282">
        <v>0</v>
      </c>
      <c r="Q578" s="282">
        <f>SUM(Q579:Q581)</f>
        <v>7221.9701351034164</v>
      </c>
      <c r="R578" s="287">
        <v>0</v>
      </c>
    </row>
    <row r="579" spans="1:18">
      <c r="A579" s="246"/>
      <c r="B579" s="265">
        <v>0</v>
      </c>
      <c r="C579" s="680" t="s">
        <v>615</v>
      </c>
      <c r="D579" s="266" t="str">
        <f>" - "&amp;'Giá VL'!E17</f>
        <v xml:space="preserve"> - Cát vàng</v>
      </c>
      <c r="E579" s="265" t="str">
        <f>'Giá VL'!F17</f>
        <v>m3</v>
      </c>
      <c r="F579" s="267">
        <v>0</v>
      </c>
      <c r="G579" s="268">
        <v>5.0927999999999998E-3</v>
      </c>
      <c r="H579" s="268">
        <f>'5.Tiên lượng'!V148</f>
        <v>1</v>
      </c>
      <c r="I579" s="268">
        <f>PRODUCT(F577,G579,H579)</f>
        <v>0.32593919999999998</v>
      </c>
      <c r="J579" s="283">
        <f>'Giá VL'!G17</f>
        <v>580000</v>
      </c>
      <c r="K579" s="283">
        <f t="shared" ref="K579:K581" si="234">PRODUCT(G579,H579,J579)</f>
        <v>2953.8240000000001</v>
      </c>
      <c r="L579" s="283">
        <f>'Giá VL'!J17</f>
        <v>580000</v>
      </c>
      <c r="M579" s="284">
        <f t="shared" ref="M579:M581" si="235">PRODUCT(G579,H579,L579)</f>
        <v>2953.8240000000001</v>
      </c>
      <c r="N579" s="284">
        <v>0</v>
      </c>
      <c r="O579" s="284">
        <v>0</v>
      </c>
      <c r="P579" s="284">
        <f>'Giá VL'!V17</f>
        <v>659026.49526849983</v>
      </c>
      <c r="Q579" s="284">
        <f t="shared" ref="Q579:Q581" si="236">PRODUCT(G579,H579,P579)</f>
        <v>3356.2901351034157</v>
      </c>
      <c r="R579" s="287">
        <v>0</v>
      </c>
    </row>
    <row r="580" spans="1:18">
      <c r="A580" s="246"/>
      <c r="B580" s="265">
        <v>0</v>
      </c>
      <c r="C580" s="680" t="s">
        <v>617</v>
      </c>
      <c r="D580" s="266" t="str">
        <f>" - "&amp;'Giá VL'!E33</f>
        <v xml:space="preserve"> - Nước</v>
      </c>
      <c r="E580" s="265" t="str">
        <f>'Giá VL'!F33</f>
        <v>lít</v>
      </c>
      <c r="F580" s="267">
        <v>0</v>
      </c>
      <c r="G580" s="268">
        <v>1.2767999999999999</v>
      </c>
      <c r="H580" s="268">
        <f>'5.Tiên lượng'!V148</f>
        <v>1</v>
      </c>
      <c r="I580" s="268">
        <f>PRODUCT(F577,G580,H580)</f>
        <v>81.715199999999996</v>
      </c>
      <c r="J580" s="283">
        <f>'Giá VL'!G33</f>
        <v>15</v>
      </c>
      <c r="K580" s="283">
        <f t="shared" si="234"/>
        <v>19.151999999999997</v>
      </c>
      <c r="L580" s="283">
        <f>'Giá VL'!J33</f>
        <v>15</v>
      </c>
      <c r="M580" s="284">
        <f t="shared" si="235"/>
        <v>19.151999999999997</v>
      </c>
      <c r="N580" s="284">
        <v>0</v>
      </c>
      <c r="O580" s="284">
        <v>0</v>
      </c>
      <c r="P580" s="284">
        <f>'Giá VL'!V33</f>
        <v>15</v>
      </c>
      <c r="Q580" s="284">
        <f t="shared" si="236"/>
        <v>19.151999999999997</v>
      </c>
      <c r="R580" s="287">
        <v>0</v>
      </c>
    </row>
    <row r="581" spans="1:18">
      <c r="A581" s="246"/>
      <c r="B581" s="265">
        <v>0</v>
      </c>
      <c r="C581" s="680" t="s">
        <v>670</v>
      </c>
      <c r="D581" s="266" t="str">
        <f>" - "&amp;'Giá VL'!E44</f>
        <v xml:space="preserve"> - Xi măng PCB30</v>
      </c>
      <c r="E581" s="265" t="str">
        <f>'Giá VL'!F44</f>
        <v>kg</v>
      </c>
      <c r="F581" s="267">
        <v>0</v>
      </c>
      <c r="G581" s="268">
        <v>2.2896000000000001</v>
      </c>
      <c r="H581" s="268">
        <f>'5.Tiên lượng'!V148</f>
        <v>1</v>
      </c>
      <c r="I581" s="268">
        <f>PRODUCT(F577,G581,H581)</f>
        <v>146.53440000000001</v>
      </c>
      <c r="J581" s="283">
        <f>'Giá VL'!G44</f>
        <v>1280</v>
      </c>
      <c r="K581" s="283">
        <f t="shared" si="234"/>
        <v>2930.6880000000001</v>
      </c>
      <c r="L581" s="283">
        <f>'Giá VL'!J44</f>
        <v>1550</v>
      </c>
      <c r="M581" s="284">
        <f t="shared" si="235"/>
        <v>3548.88</v>
      </c>
      <c r="N581" s="284">
        <v>0</v>
      </c>
      <c r="O581" s="284">
        <v>0</v>
      </c>
      <c r="P581" s="284">
        <f>'Giá VL'!V44</f>
        <v>1680</v>
      </c>
      <c r="Q581" s="284">
        <f t="shared" si="236"/>
        <v>3846.5280000000002</v>
      </c>
      <c r="R581" s="287">
        <v>0</v>
      </c>
    </row>
    <row r="582" spans="1:18">
      <c r="A582" s="240"/>
      <c r="B582" s="260">
        <v>0</v>
      </c>
      <c r="C582" s="261" t="s">
        <v>590</v>
      </c>
      <c r="D582" s="262" t="s">
        <v>265</v>
      </c>
      <c r="E582" s="260"/>
      <c r="F582" s="263">
        <v>0</v>
      </c>
      <c r="G582" s="264">
        <v>0</v>
      </c>
      <c r="H582" s="264"/>
      <c r="I582" s="264">
        <v>0</v>
      </c>
      <c r="J582" s="281">
        <v>0</v>
      </c>
      <c r="K582" s="281">
        <f>SUM(K583:K583)</f>
        <v>17290</v>
      </c>
      <c r="L582" s="281">
        <v>0</v>
      </c>
      <c r="M582" s="282">
        <f>SUM(M583:M583)</f>
        <v>18900</v>
      </c>
      <c r="N582" s="282">
        <v>0</v>
      </c>
      <c r="O582" s="282">
        <v>0</v>
      </c>
      <c r="P582" s="282">
        <v>0</v>
      </c>
      <c r="Q582" s="282">
        <f>SUM(Q583:Q583)</f>
        <v>18900</v>
      </c>
      <c r="R582" s="287">
        <v>0</v>
      </c>
    </row>
    <row r="583" spans="1:18">
      <c r="A583" s="251"/>
      <c r="B583" s="269">
        <v>0</v>
      </c>
      <c r="C583" s="681" t="s">
        <v>622</v>
      </c>
      <c r="D583" s="270" t="str">
        <f>" - "&amp;'Giá NC'!E9</f>
        <v xml:space="preserve"> - Nhân công bậc 3,5/7 - Nhóm 2</v>
      </c>
      <c r="E583" s="269" t="str">
        <f>'Giá NC'!F9</f>
        <v>công</v>
      </c>
      <c r="F583" s="271">
        <v>0</v>
      </c>
      <c r="G583" s="272">
        <v>7.0000000000000007E-2</v>
      </c>
      <c r="H583" s="272">
        <f>'5.Tiên lượng'!W148</f>
        <v>1</v>
      </c>
      <c r="I583" s="272">
        <f>PRODUCT(F577,G583,H583)</f>
        <v>4.4800000000000004</v>
      </c>
      <c r="J583" s="285">
        <f>'Giá NC'!G9</f>
        <v>247000</v>
      </c>
      <c r="K583" s="285">
        <f>PRODUCT(G583,H583,J583)</f>
        <v>17290</v>
      </c>
      <c r="L583" s="285">
        <f>'Giá NC'!H9</f>
        <v>270000</v>
      </c>
      <c r="M583" s="286">
        <f>PRODUCT(G583,H583,L583)</f>
        <v>18900</v>
      </c>
      <c r="N583" s="286">
        <v>0</v>
      </c>
      <c r="O583" s="286">
        <v>0</v>
      </c>
      <c r="P583" s="286">
        <f>'Giá NC'!K9</f>
        <v>270000</v>
      </c>
      <c r="Q583" s="286">
        <f>PRODUCT(G583,H583,P583)</f>
        <v>18900</v>
      </c>
      <c r="R583" s="288">
        <v>0</v>
      </c>
    </row>
    <row r="584" spans="1:18" ht="27.6">
      <c r="A584" s="234"/>
      <c r="B584" s="256">
        <v>65</v>
      </c>
      <c r="C584" s="234" t="str">
        <f>'5.Tiên lượng'!C149</f>
        <v>AB.64113</v>
      </c>
      <c r="D584" s="257" t="str">
        <f>'5.Tiên lượng'!D149</f>
        <v>Đắp nền đường bằng máy lu bánh thép 9T, máy ủi 110CV, độ chặt Y/C K = 0,95</v>
      </c>
      <c r="E584" s="256" t="str">
        <f>'5.Tiên lượng'!E149</f>
        <v>100m3</v>
      </c>
      <c r="F584" s="258">
        <f>'5.Tiên lượng'!M149</f>
        <v>0.27899999999999997</v>
      </c>
      <c r="G584" s="259">
        <v>0</v>
      </c>
      <c r="H584" s="259">
        <v>0</v>
      </c>
      <c r="I584" s="259">
        <v>0</v>
      </c>
      <c r="J584" s="279">
        <v>0</v>
      </c>
      <c r="K584" s="279">
        <v>0</v>
      </c>
      <c r="L584" s="279">
        <v>0</v>
      </c>
      <c r="M584" s="280">
        <v>0</v>
      </c>
      <c r="N584" s="280">
        <v>0</v>
      </c>
      <c r="O584" s="280">
        <v>0</v>
      </c>
      <c r="P584" s="280">
        <v>0</v>
      </c>
      <c r="Q584" s="280">
        <v>0</v>
      </c>
      <c r="R584" s="222">
        <v>0</v>
      </c>
    </row>
    <row r="585" spans="1:18">
      <c r="A585" s="240"/>
      <c r="B585" s="260">
        <v>0</v>
      </c>
      <c r="C585" s="261" t="s">
        <v>590</v>
      </c>
      <c r="D585" s="262" t="s">
        <v>265</v>
      </c>
      <c r="E585" s="260"/>
      <c r="F585" s="263">
        <v>0</v>
      </c>
      <c r="G585" s="264">
        <v>0</v>
      </c>
      <c r="H585" s="264"/>
      <c r="I585" s="264">
        <v>0</v>
      </c>
      <c r="J585" s="281">
        <v>0</v>
      </c>
      <c r="K585" s="281">
        <f>SUM(K586:K586)</f>
        <v>360622.35</v>
      </c>
      <c r="L585" s="281">
        <v>0</v>
      </c>
      <c r="M585" s="282">
        <f>SUM(M586:M586)</f>
        <v>377219.69999999995</v>
      </c>
      <c r="N585" s="282">
        <v>0</v>
      </c>
      <c r="O585" s="282">
        <v>0</v>
      </c>
      <c r="P585" s="282">
        <v>0</v>
      </c>
      <c r="Q585" s="282">
        <f>SUM(Q586:Q586)</f>
        <v>377219.69999999995</v>
      </c>
      <c r="R585" s="287">
        <v>0</v>
      </c>
    </row>
    <row r="586" spans="1:18">
      <c r="A586" s="246"/>
      <c r="B586" s="265">
        <v>0</v>
      </c>
      <c r="C586" s="680" t="s">
        <v>598</v>
      </c>
      <c r="D586" s="266" t="str">
        <f>" - "&amp;'Giá NC'!E5</f>
        <v xml:space="preserve"> - Nhân công bậc 3,0/7 - Nhóm 1</v>
      </c>
      <c r="E586" s="265" t="str">
        <f>'Giá NC'!F5</f>
        <v>công</v>
      </c>
      <c r="F586" s="267">
        <v>0</v>
      </c>
      <c r="G586" s="268">
        <v>1.65</v>
      </c>
      <c r="H586" s="268">
        <f>'5.Tiên lượng'!W149</f>
        <v>1</v>
      </c>
      <c r="I586" s="268">
        <f>PRODUCT(F584,G586,H586)</f>
        <v>0.46034999999999993</v>
      </c>
      <c r="J586" s="283">
        <f>'Giá NC'!G5</f>
        <v>218559</v>
      </c>
      <c r="K586" s="283">
        <f>PRODUCT(G586,H586,J586)</f>
        <v>360622.35</v>
      </c>
      <c r="L586" s="283">
        <f>'Giá NC'!H5</f>
        <v>228618</v>
      </c>
      <c r="M586" s="284">
        <f>PRODUCT(G586,H586,L586)</f>
        <v>377219.69999999995</v>
      </c>
      <c r="N586" s="284">
        <v>0</v>
      </c>
      <c r="O586" s="284">
        <v>0</v>
      </c>
      <c r="P586" s="284">
        <f>'Giá NC'!K5</f>
        <v>228618</v>
      </c>
      <c r="Q586" s="284">
        <f>PRODUCT(G586,H586,P586)</f>
        <v>377219.69999999995</v>
      </c>
      <c r="R586" s="287">
        <v>0</v>
      </c>
    </row>
    <row r="587" spans="1:18">
      <c r="A587" s="240"/>
      <c r="B587" s="260">
        <v>0</v>
      </c>
      <c r="C587" s="261" t="s">
        <v>590</v>
      </c>
      <c r="D587" s="262" t="s">
        <v>267</v>
      </c>
      <c r="E587" s="260"/>
      <c r="F587" s="263">
        <v>0</v>
      </c>
      <c r="G587" s="264">
        <v>0</v>
      </c>
      <c r="H587" s="264"/>
      <c r="I587" s="264">
        <v>0</v>
      </c>
      <c r="J587" s="281">
        <v>0</v>
      </c>
      <c r="K587" s="281">
        <f>SUM(K588:K591)</f>
        <v>786591.09942629933</v>
      </c>
      <c r="L587" s="281">
        <v>0</v>
      </c>
      <c r="M587" s="282">
        <f>SUM(M588:M591)</f>
        <v>862761.71310000005</v>
      </c>
      <c r="N587" s="282">
        <v>0</v>
      </c>
      <c r="O587" s="282">
        <v>0</v>
      </c>
      <c r="P587" s="282">
        <v>0</v>
      </c>
      <c r="Q587" s="282">
        <f>SUM(Q588:Q591)</f>
        <v>818124.93843149999</v>
      </c>
      <c r="R587" s="287">
        <v>0</v>
      </c>
    </row>
    <row r="588" spans="1:18">
      <c r="A588" s="246"/>
      <c r="B588" s="265">
        <v>0</v>
      </c>
      <c r="C588" s="680" t="s">
        <v>638</v>
      </c>
      <c r="D588" s="266" t="str">
        <f>" - "&amp;'Giá Máy'!E41</f>
        <v xml:space="preserve"> - Máy lu bánh thép 9T</v>
      </c>
      <c r="E588" s="265" t="str">
        <f>'Giá Máy'!F41</f>
        <v>ca</v>
      </c>
      <c r="F588" s="267">
        <v>0</v>
      </c>
      <c r="G588" s="268">
        <v>0.42</v>
      </c>
      <c r="H588" s="268">
        <f>'5.Tiên lượng'!X149</f>
        <v>1</v>
      </c>
      <c r="I588" s="268">
        <f>PRODUCT(F584,G588,H588)</f>
        <v>0.11717999999999998</v>
      </c>
      <c r="J588" s="283">
        <f>'Giá Máy'!G41</f>
        <v>965860.19200000004</v>
      </c>
      <c r="K588" s="283">
        <f t="shared" ref="K588:K591" si="237">PRODUCT(G588,H588,J588)</f>
        <v>405661.28064000001</v>
      </c>
      <c r="L588" s="283">
        <f>'Giá Máy'!H41</f>
        <v>1057100</v>
      </c>
      <c r="M588" s="284">
        <f t="shared" ref="M588:M591" si="238">PRODUCT(G588,H588,L588)</f>
        <v>443982</v>
      </c>
      <c r="N588" s="284">
        <v>0</v>
      </c>
      <c r="O588" s="284">
        <v>0</v>
      </c>
      <c r="P588" s="284">
        <f>'Giá Máy'!O41</f>
        <v>1009475.96</v>
      </c>
      <c r="Q588" s="284">
        <f t="shared" ref="Q588:Q591" si="239">PRODUCT(G588,H588,P588)</f>
        <v>423979.90319999994</v>
      </c>
      <c r="R588" s="287">
        <v>1.5</v>
      </c>
    </row>
    <row r="589" spans="1:18">
      <c r="A589" s="246"/>
      <c r="B589" s="265">
        <v>0</v>
      </c>
      <c r="C589" s="680" t="s">
        <v>600</v>
      </c>
      <c r="D589" s="266" t="str">
        <f>" - "&amp;'Giá Máy'!E29</f>
        <v xml:space="preserve"> - Máy ủi 110CV</v>
      </c>
      <c r="E589" s="265" t="str">
        <f>'Giá Máy'!F29</f>
        <v>ca</v>
      </c>
      <c r="F589" s="267">
        <v>0</v>
      </c>
      <c r="G589" s="268">
        <v>0.21</v>
      </c>
      <c r="H589" s="268">
        <f>'5.Tiên lượng'!X149</f>
        <v>1</v>
      </c>
      <c r="I589" s="268">
        <f>PRODUCT(F584,G589,H589)</f>
        <v>5.8589999999999989E-2</v>
      </c>
      <c r="J589" s="283">
        <f>'Giá Máy'!G29</f>
        <v>1758596.7608571399</v>
      </c>
      <c r="K589" s="283">
        <f t="shared" si="237"/>
        <v>369305.31977999938</v>
      </c>
      <c r="L589" s="283">
        <f>'Giá Máy'!H29</f>
        <v>1933474</v>
      </c>
      <c r="M589" s="284">
        <f t="shared" si="238"/>
        <v>406029.54</v>
      </c>
      <c r="N589" s="284">
        <v>0</v>
      </c>
      <c r="O589" s="284">
        <v>0</v>
      </c>
      <c r="P589" s="284">
        <f>'Giá Máy'!O29</f>
        <v>1819307.232857143</v>
      </c>
      <c r="Q589" s="284">
        <f t="shared" si="239"/>
        <v>382054.51890000002</v>
      </c>
      <c r="R589" s="287">
        <v>1.5</v>
      </c>
    </row>
    <row r="590" spans="1:18">
      <c r="A590" s="251"/>
      <c r="B590" s="269">
        <v>0</v>
      </c>
      <c r="C590" s="681" t="s">
        <v>611</v>
      </c>
      <c r="D590" s="270" t="s">
        <v>612</v>
      </c>
      <c r="E590" s="269" t="s">
        <v>37</v>
      </c>
      <c r="F590" s="271">
        <v>0</v>
      </c>
      <c r="G590" s="272">
        <f>AVERAGE(R588:R589)</f>
        <v>1.5</v>
      </c>
      <c r="H590" s="272">
        <f>'5.Tiên lượng'!X149</f>
        <v>1</v>
      </c>
      <c r="I590" s="272">
        <f>PRODUCT(F584,G590,H590)</f>
        <v>0.41849999999999998</v>
      </c>
      <c r="J590" s="285">
        <f>(G588*J588+G589*J589)/100</f>
        <v>7749.666004199993</v>
      </c>
      <c r="K590" s="285">
        <f t="shared" si="237"/>
        <v>11624.49900629999</v>
      </c>
      <c r="L590" s="285">
        <f>(G588*L588+G589*L589)/100</f>
        <v>8500.1154000000006</v>
      </c>
      <c r="M590" s="286">
        <f t="shared" si="238"/>
        <v>12750.1731</v>
      </c>
      <c r="N590" s="286">
        <v>0</v>
      </c>
      <c r="O590" s="286">
        <v>0</v>
      </c>
      <c r="P590" s="286">
        <f>(G588*P588+G589*P589)/100</f>
        <v>8060.3442209999994</v>
      </c>
      <c r="Q590" s="286">
        <f t="shared" si="239"/>
        <v>12090.516331499999</v>
      </c>
      <c r="R590" s="288">
        <v>0</v>
      </c>
    </row>
    <row r="591" spans="1:18">
      <c r="A591" s="229"/>
      <c r="B591" s="289">
        <v>0</v>
      </c>
      <c r="C591" s="682" t="s">
        <v>339</v>
      </c>
      <c r="D591" s="290" t="s">
        <v>1079</v>
      </c>
      <c r="E591" s="289"/>
      <c r="F591" s="291">
        <v>0</v>
      </c>
      <c r="G591" s="292">
        <v>0</v>
      </c>
      <c r="H591" s="292">
        <f>'5.Tiên lượng'!X149</f>
        <v>1</v>
      </c>
      <c r="I591" s="292">
        <f>PRODUCT(F584,G591,H591)</f>
        <v>0</v>
      </c>
      <c r="J591" s="293">
        <v>0</v>
      </c>
      <c r="K591" s="294">
        <f t="shared" si="237"/>
        <v>0</v>
      </c>
      <c r="L591" s="294">
        <v>0</v>
      </c>
      <c r="M591" s="295">
        <f t="shared" si="238"/>
        <v>0</v>
      </c>
      <c r="N591" s="295">
        <v>0</v>
      </c>
      <c r="O591" s="295">
        <v>0</v>
      </c>
      <c r="P591" s="295">
        <v>0</v>
      </c>
      <c r="Q591" s="295">
        <f t="shared" si="239"/>
        <v>0</v>
      </c>
      <c r="R591" s="146">
        <v>0</v>
      </c>
    </row>
    <row r="592" spans="1:18">
      <c r="A592" s="234"/>
      <c r="B592" s="256">
        <v>66</v>
      </c>
      <c r="C592" s="234" t="str">
        <f>'5.Tiên lượng'!C152</f>
        <v>AF.13211</v>
      </c>
      <c r="D592" s="257" t="str">
        <f>'5.Tiên lượng'!D152</f>
        <v>BTXM rãnh dọc, M150, đá 1x2, PCB40</v>
      </c>
      <c r="E592" s="256" t="str">
        <f>'5.Tiên lượng'!E152</f>
        <v>m3</v>
      </c>
      <c r="F592" s="258">
        <f>'5.Tiên lượng'!M152</f>
        <v>3.3</v>
      </c>
      <c r="G592" s="259">
        <v>0</v>
      </c>
      <c r="H592" s="259">
        <v>0</v>
      </c>
      <c r="I592" s="259">
        <v>0</v>
      </c>
      <c r="J592" s="279">
        <v>0</v>
      </c>
      <c r="K592" s="279">
        <v>0</v>
      </c>
      <c r="L592" s="279">
        <v>0</v>
      </c>
      <c r="M592" s="280">
        <v>0</v>
      </c>
      <c r="N592" s="280">
        <v>0</v>
      </c>
      <c r="O592" s="280">
        <v>0</v>
      </c>
      <c r="P592" s="280">
        <v>0</v>
      </c>
      <c r="Q592" s="280">
        <v>0</v>
      </c>
      <c r="R592" s="222">
        <v>0</v>
      </c>
    </row>
    <row r="593" spans="1:18">
      <c r="A593" s="240"/>
      <c r="B593" s="260">
        <v>0</v>
      </c>
      <c r="C593" s="261" t="s">
        <v>590</v>
      </c>
      <c r="D593" s="262" t="s">
        <v>262</v>
      </c>
      <c r="E593" s="260"/>
      <c r="F593" s="263">
        <v>0</v>
      </c>
      <c r="G593" s="264">
        <v>0</v>
      </c>
      <c r="H593" s="264"/>
      <c r="I593" s="264">
        <v>0</v>
      </c>
      <c r="J593" s="281">
        <v>0</v>
      </c>
      <c r="K593" s="281">
        <f>SUM(K594:K598)</f>
        <v>776680.78374999994</v>
      </c>
      <c r="L593" s="281">
        <v>0</v>
      </c>
      <c r="M593" s="282">
        <f>SUM(M594:M598)</f>
        <v>924669.77124999999</v>
      </c>
      <c r="N593" s="282">
        <v>0</v>
      </c>
      <c r="O593" s="282">
        <v>0</v>
      </c>
      <c r="P593" s="282">
        <v>0</v>
      </c>
      <c r="Q593" s="282">
        <f>SUM(Q594:Q598)</f>
        <v>1062670.2273051951</v>
      </c>
      <c r="R593" s="287">
        <v>0</v>
      </c>
    </row>
    <row r="594" spans="1:18">
      <c r="A594" s="246"/>
      <c r="B594" s="265">
        <v>0</v>
      </c>
      <c r="C594" s="680" t="s">
        <v>614</v>
      </c>
      <c r="D594" s="266" t="str">
        <f>" - "&amp;'Giá VL'!E45</f>
        <v xml:space="preserve"> - Xi măng PCB40</v>
      </c>
      <c r="E594" s="265" t="str">
        <f>'Giá VL'!F45</f>
        <v>kg</v>
      </c>
      <c r="F594" s="267">
        <v>0</v>
      </c>
      <c r="G594" s="268">
        <v>222.42500000000001</v>
      </c>
      <c r="H594" s="268">
        <f>'5.Tiên lượng'!V152</f>
        <v>1</v>
      </c>
      <c r="I594" s="268">
        <f>PRODUCT(F592,G594,H594)</f>
        <v>734.00250000000005</v>
      </c>
      <c r="J594" s="283">
        <f>'Giá VL'!G45</f>
        <v>1350</v>
      </c>
      <c r="K594" s="283">
        <f t="shared" ref="K594:K598" si="240">PRODUCT(G594,H594,J594)</f>
        <v>300273.75</v>
      </c>
      <c r="L594" s="283">
        <f>'Giá VL'!J45</f>
        <v>1600</v>
      </c>
      <c r="M594" s="284">
        <f t="shared" ref="M594:M598" si="241">PRODUCT(G594,H594,L594)</f>
        <v>355880</v>
      </c>
      <c r="N594" s="284">
        <v>0</v>
      </c>
      <c r="O594" s="284">
        <v>0</v>
      </c>
      <c r="P594" s="284">
        <f>'Giá VL'!V45</f>
        <v>1730</v>
      </c>
      <c r="Q594" s="284">
        <f t="shared" ref="Q594:Q598" si="242">PRODUCT(G594,H594,P594)</f>
        <v>384795.25</v>
      </c>
      <c r="R594" s="287">
        <v>1</v>
      </c>
    </row>
    <row r="595" spans="1:18">
      <c r="A595" s="246"/>
      <c r="B595" s="265">
        <v>0</v>
      </c>
      <c r="C595" s="680" t="s">
        <v>615</v>
      </c>
      <c r="D595" s="266" t="str">
        <f>" - "&amp;'Giá VL'!E17</f>
        <v xml:space="preserve"> - Cát vàng</v>
      </c>
      <c r="E595" s="265" t="str">
        <f>'Giá VL'!F17</f>
        <v>m3</v>
      </c>
      <c r="F595" s="267">
        <v>0</v>
      </c>
      <c r="G595" s="268">
        <v>0.55247500000000005</v>
      </c>
      <c r="H595" s="268">
        <f>'5.Tiên lượng'!V152</f>
        <v>1</v>
      </c>
      <c r="I595" s="268">
        <f>PRODUCT(F592,G595,H595)</f>
        <v>1.8231675000000001</v>
      </c>
      <c r="J595" s="283">
        <f>'Giá VL'!G17</f>
        <v>580000</v>
      </c>
      <c r="K595" s="283">
        <f t="shared" si="240"/>
        <v>320435.5</v>
      </c>
      <c r="L595" s="283">
        <f>'Giá VL'!J17</f>
        <v>580000</v>
      </c>
      <c r="M595" s="284">
        <f t="shared" si="241"/>
        <v>320435.5</v>
      </c>
      <c r="N595" s="284">
        <v>0</v>
      </c>
      <c r="O595" s="284">
        <v>0</v>
      </c>
      <c r="P595" s="284">
        <f>'Giá VL'!V17</f>
        <v>659026.49526849983</v>
      </c>
      <c r="Q595" s="284">
        <f t="shared" si="242"/>
        <v>364095.66297346447</v>
      </c>
      <c r="R595" s="287">
        <v>1</v>
      </c>
    </row>
    <row r="596" spans="1:18">
      <c r="A596" s="246"/>
      <c r="B596" s="265">
        <v>0</v>
      </c>
      <c r="C596" s="680" t="s">
        <v>659</v>
      </c>
      <c r="D596" s="266" t="str">
        <f>" - "&amp;'Giá VL'!E18</f>
        <v xml:space="preserve"> - Đá 1x2</v>
      </c>
      <c r="E596" s="265" t="str">
        <f>'Giá VL'!F18</f>
        <v>m3</v>
      </c>
      <c r="F596" s="267">
        <v>0</v>
      </c>
      <c r="G596" s="268">
        <v>0.90917499999999996</v>
      </c>
      <c r="H596" s="268">
        <f>'5.Tiên lượng'!V152</f>
        <v>1</v>
      </c>
      <c r="I596" s="268">
        <f>PRODUCT(F592,G596,H596)</f>
        <v>3.0002774999999997</v>
      </c>
      <c r="J596" s="283">
        <f>'Giá VL'!G18</f>
        <v>160000</v>
      </c>
      <c r="K596" s="283">
        <f t="shared" si="240"/>
        <v>145468</v>
      </c>
      <c r="L596" s="283">
        <f>'Giá VL'!J18</f>
        <v>260000</v>
      </c>
      <c r="M596" s="284">
        <f t="shared" si="241"/>
        <v>236385.5</v>
      </c>
      <c r="N596" s="284">
        <v>0</v>
      </c>
      <c r="O596" s="284">
        <v>0</v>
      </c>
      <c r="P596" s="284">
        <f>'Giá VL'!V18</f>
        <v>330458.0547558713</v>
      </c>
      <c r="Q596" s="284">
        <f t="shared" si="242"/>
        <v>300444.20193266927</v>
      </c>
      <c r="R596" s="287">
        <v>1</v>
      </c>
    </row>
    <row r="597" spans="1:18">
      <c r="A597" s="246"/>
      <c r="B597" s="265">
        <v>0</v>
      </c>
      <c r="C597" s="680" t="s">
        <v>617</v>
      </c>
      <c r="D597" s="266" t="str">
        <f>" - "&amp;'Giá VL'!E33</f>
        <v xml:space="preserve"> - Nước</v>
      </c>
      <c r="E597" s="265" t="str">
        <f>'Giá VL'!F33</f>
        <v>lít</v>
      </c>
      <c r="F597" s="267">
        <v>0</v>
      </c>
      <c r="G597" s="268">
        <v>187.57499999999999</v>
      </c>
      <c r="H597" s="268">
        <f>'5.Tiên lượng'!V152</f>
        <v>1</v>
      </c>
      <c r="I597" s="268">
        <f>PRODUCT(F592,G597,H597)</f>
        <v>618.99749999999995</v>
      </c>
      <c r="J597" s="283">
        <f>'Giá VL'!G33</f>
        <v>15</v>
      </c>
      <c r="K597" s="283">
        <f t="shared" si="240"/>
        <v>2813.625</v>
      </c>
      <c r="L597" s="283">
        <f>'Giá VL'!J33</f>
        <v>15</v>
      </c>
      <c r="M597" s="284">
        <f t="shared" si="241"/>
        <v>2813.625</v>
      </c>
      <c r="N597" s="284">
        <v>0</v>
      </c>
      <c r="O597" s="284">
        <v>0</v>
      </c>
      <c r="P597" s="284">
        <f>'Giá VL'!V33</f>
        <v>15</v>
      </c>
      <c r="Q597" s="284">
        <f t="shared" si="242"/>
        <v>2813.625</v>
      </c>
      <c r="R597" s="287">
        <v>1</v>
      </c>
    </row>
    <row r="598" spans="1:18">
      <c r="A598" s="246"/>
      <c r="B598" s="265">
        <v>0</v>
      </c>
      <c r="C598" s="680" t="s">
        <v>620</v>
      </c>
      <c r="D598" s="266" t="s">
        <v>621</v>
      </c>
      <c r="E598" s="265" t="s">
        <v>37</v>
      </c>
      <c r="F598" s="267">
        <v>0</v>
      </c>
      <c r="G598" s="268">
        <f>AVERAGE(R594:R597)</f>
        <v>1</v>
      </c>
      <c r="H598" s="268">
        <f>'5.Tiên lượng'!V152</f>
        <v>1</v>
      </c>
      <c r="I598" s="268">
        <f>PRODUCT(F592,G598,H598)</f>
        <v>3.3</v>
      </c>
      <c r="J598" s="283">
        <f>(G594*J594+G595*J595+G596*J596+G597*J597)/100</f>
        <v>7689.9087499999996</v>
      </c>
      <c r="K598" s="283">
        <f t="shared" si="240"/>
        <v>7689.9087499999996</v>
      </c>
      <c r="L598" s="283">
        <f>(G594*L594+G595*L595+G596*L596+G597*L597)/100</f>
        <v>9155.1462499999998</v>
      </c>
      <c r="M598" s="284">
        <f t="shared" si="241"/>
        <v>9155.1462499999998</v>
      </c>
      <c r="N598" s="284">
        <v>0</v>
      </c>
      <c r="O598" s="284">
        <v>0</v>
      </c>
      <c r="P598" s="284">
        <f>(G594*P594+G595*P595+G596*P596+G597*P597)/100</f>
        <v>10521.487399061336</v>
      </c>
      <c r="Q598" s="284">
        <f t="shared" si="242"/>
        <v>10521.487399061336</v>
      </c>
      <c r="R598" s="287">
        <v>0</v>
      </c>
    </row>
    <row r="599" spans="1:18">
      <c r="A599" s="240"/>
      <c r="B599" s="260">
        <v>0</v>
      </c>
      <c r="C599" s="261" t="s">
        <v>590</v>
      </c>
      <c r="D599" s="262" t="s">
        <v>265</v>
      </c>
      <c r="E599" s="260"/>
      <c r="F599" s="263">
        <v>0</v>
      </c>
      <c r="G599" s="264">
        <v>0</v>
      </c>
      <c r="H599" s="264"/>
      <c r="I599" s="264">
        <v>0</v>
      </c>
      <c r="J599" s="281">
        <v>0</v>
      </c>
      <c r="K599" s="281">
        <f>SUM(K600:K600)</f>
        <v>410020</v>
      </c>
      <c r="L599" s="281">
        <v>0</v>
      </c>
      <c r="M599" s="282">
        <f>SUM(M600:M600)</f>
        <v>448200</v>
      </c>
      <c r="N599" s="282">
        <v>0</v>
      </c>
      <c r="O599" s="282">
        <v>0</v>
      </c>
      <c r="P599" s="282">
        <v>0</v>
      </c>
      <c r="Q599" s="282">
        <f>SUM(Q600:Q600)</f>
        <v>448200</v>
      </c>
      <c r="R599" s="287">
        <v>0</v>
      </c>
    </row>
    <row r="600" spans="1:18">
      <c r="A600" s="246"/>
      <c r="B600" s="265">
        <v>0</v>
      </c>
      <c r="C600" s="680" t="s">
        <v>622</v>
      </c>
      <c r="D600" s="266" t="str">
        <f>" - "&amp;'Giá NC'!E9</f>
        <v xml:space="preserve"> - Nhân công bậc 3,5/7 - Nhóm 2</v>
      </c>
      <c r="E600" s="265" t="str">
        <f>'Giá NC'!F9</f>
        <v>công</v>
      </c>
      <c r="F600" s="267">
        <v>0</v>
      </c>
      <c r="G600" s="268">
        <v>1.66</v>
      </c>
      <c r="H600" s="268">
        <f>'5.Tiên lượng'!W152</f>
        <v>1</v>
      </c>
      <c r="I600" s="268">
        <f>PRODUCT(F592,G600,H600)</f>
        <v>5.4779999999999998</v>
      </c>
      <c r="J600" s="283">
        <f>'Giá NC'!G9</f>
        <v>247000</v>
      </c>
      <c r="K600" s="283">
        <f>PRODUCT(G600,H600,J600)</f>
        <v>410020</v>
      </c>
      <c r="L600" s="283">
        <f>'Giá NC'!H9</f>
        <v>270000</v>
      </c>
      <c r="M600" s="284">
        <f>PRODUCT(G600,H600,L600)</f>
        <v>448200</v>
      </c>
      <c r="N600" s="284">
        <v>0</v>
      </c>
      <c r="O600" s="284">
        <v>0</v>
      </c>
      <c r="P600" s="284">
        <f>'Giá NC'!K9</f>
        <v>270000</v>
      </c>
      <c r="Q600" s="284">
        <f>PRODUCT(G600,H600,P600)</f>
        <v>448200</v>
      </c>
      <c r="R600" s="287">
        <v>0</v>
      </c>
    </row>
    <row r="601" spans="1:18">
      <c r="A601" s="240"/>
      <c r="B601" s="260">
        <v>0</v>
      </c>
      <c r="C601" s="261" t="s">
        <v>590</v>
      </c>
      <c r="D601" s="262" t="s">
        <v>267</v>
      </c>
      <c r="E601" s="260"/>
      <c r="F601" s="263">
        <v>0</v>
      </c>
      <c r="G601" s="264">
        <v>0</v>
      </c>
      <c r="H601" s="264"/>
      <c r="I601" s="264">
        <v>0</v>
      </c>
      <c r="J601" s="281">
        <v>0</v>
      </c>
      <c r="K601" s="281">
        <f>SUM(K602:K603)</f>
        <v>51842.799222479996</v>
      </c>
      <c r="L601" s="281">
        <v>0</v>
      </c>
      <c r="M601" s="282">
        <f>SUM(M602:M603)</f>
        <v>51744.808000000005</v>
      </c>
      <c r="N601" s="282">
        <v>0</v>
      </c>
      <c r="O601" s="282">
        <v>0</v>
      </c>
      <c r="P601" s="282">
        <v>0</v>
      </c>
      <c r="Q601" s="282">
        <f>SUM(Q602:Q603)</f>
        <v>56032.926787260003</v>
      </c>
      <c r="R601" s="287">
        <v>0</v>
      </c>
    </row>
    <row r="602" spans="1:18">
      <c r="A602" s="246"/>
      <c r="B602" s="265">
        <v>0</v>
      </c>
      <c r="C602" s="680" t="s">
        <v>623</v>
      </c>
      <c r="D602" s="266" t="str">
        <f>" - "&amp;'Giá Máy'!E27</f>
        <v xml:space="preserve"> - Máy trộn bê tông 250 lít</v>
      </c>
      <c r="E602" s="265" t="str">
        <f>'Giá Máy'!F27</f>
        <v>ca</v>
      </c>
      <c r="F602" s="267">
        <v>0</v>
      </c>
      <c r="G602" s="268">
        <v>9.5000000000000001E-2</v>
      </c>
      <c r="H602" s="268">
        <f>'5.Tiên lượng'!X152</f>
        <v>1</v>
      </c>
      <c r="I602" s="268">
        <f>PRODUCT(F592,G602,H602)</f>
        <v>0.3135</v>
      </c>
      <c r="J602" s="283">
        <f>'Giá Máy'!G27</f>
        <v>303162.31046000001</v>
      </c>
      <c r="K602" s="283">
        <f t="shared" ref="K602:K603" si="243">PRODUCT(G602,H602,J602)</f>
        <v>28800.419493699999</v>
      </c>
      <c r="L602" s="283">
        <f>'Giá Máy'!H27</f>
        <v>302516</v>
      </c>
      <c r="M602" s="284">
        <f t="shared" ref="M602:M603" si="244">PRODUCT(G602,H602,L602)</f>
        <v>28739.02</v>
      </c>
      <c r="N602" s="284">
        <v>0</v>
      </c>
      <c r="O602" s="284">
        <v>0</v>
      </c>
      <c r="P602" s="284">
        <f>'Giá Máy'!O27</f>
        <v>326305.98864499998</v>
      </c>
      <c r="Q602" s="284">
        <f t="shared" ref="Q602:Q603" si="245">PRODUCT(G602,H602,P602)</f>
        <v>30999.068921274997</v>
      </c>
      <c r="R602" s="287">
        <v>0</v>
      </c>
    </row>
    <row r="603" spans="1:18">
      <c r="A603" s="251"/>
      <c r="B603" s="269">
        <v>0</v>
      </c>
      <c r="C603" s="681" t="s">
        <v>625</v>
      </c>
      <c r="D603" s="270" t="str">
        <f>" - "&amp;'Giá Máy'!E12</f>
        <v xml:space="preserve"> - Máy đầm dùi 1,5kW</v>
      </c>
      <c r="E603" s="269" t="str">
        <f>'Giá Máy'!F12</f>
        <v>ca</v>
      </c>
      <c r="F603" s="271">
        <v>0</v>
      </c>
      <c r="G603" s="272">
        <v>8.8999999999999996E-2</v>
      </c>
      <c r="H603" s="272">
        <f>'5.Tiên lượng'!X152</f>
        <v>1</v>
      </c>
      <c r="I603" s="272">
        <f>PRODUCT(F592,G603,H603)</f>
        <v>0.29369999999999996</v>
      </c>
      <c r="J603" s="285">
        <f>'Giá Máy'!G12</f>
        <v>258903.14301999999</v>
      </c>
      <c r="K603" s="285">
        <f t="shared" si="243"/>
        <v>23042.379728779997</v>
      </c>
      <c r="L603" s="285">
        <f>'Giá Máy'!H12</f>
        <v>258492</v>
      </c>
      <c r="M603" s="286">
        <f t="shared" si="244"/>
        <v>23005.788</v>
      </c>
      <c r="N603" s="286">
        <v>0</v>
      </c>
      <c r="O603" s="286">
        <v>0</v>
      </c>
      <c r="P603" s="286">
        <f>'Giá Máy'!O12</f>
        <v>281279.30186500004</v>
      </c>
      <c r="Q603" s="286">
        <f t="shared" si="245"/>
        <v>25033.857865985003</v>
      </c>
      <c r="R603" s="288">
        <v>0</v>
      </c>
    </row>
    <row r="604" spans="1:18">
      <c r="A604" s="234"/>
      <c r="B604" s="256">
        <v>67</v>
      </c>
      <c r="C604" s="234" t="str">
        <f>'5.Tiên lượng'!C154</f>
        <v>AL.16201</v>
      </c>
      <c r="D604" s="257" t="str">
        <f>'5.Tiên lượng'!D154</f>
        <v>Ni lông chống thấm</v>
      </c>
      <c r="E604" s="256" t="str">
        <f>'5.Tiên lượng'!E154</f>
        <v>100m2</v>
      </c>
      <c r="F604" s="258">
        <f>'5.Tiên lượng'!M154</f>
        <v>0.13200000000000001</v>
      </c>
      <c r="G604" s="259">
        <v>0</v>
      </c>
      <c r="H604" s="259">
        <v>0</v>
      </c>
      <c r="I604" s="259">
        <v>0</v>
      </c>
      <c r="J604" s="279">
        <v>0</v>
      </c>
      <c r="K604" s="279">
        <v>0</v>
      </c>
      <c r="L604" s="279">
        <v>0</v>
      </c>
      <c r="M604" s="280">
        <v>0</v>
      </c>
      <c r="N604" s="280">
        <v>0</v>
      </c>
      <c r="O604" s="280">
        <v>0</v>
      </c>
      <c r="P604" s="280">
        <v>0</v>
      </c>
      <c r="Q604" s="280">
        <v>0</v>
      </c>
      <c r="R604" s="222">
        <v>0</v>
      </c>
    </row>
    <row r="605" spans="1:18">
      <c r="A605" s="240"/>
      <c r="B605" s="260">
        <v>0</v>
      </c>
      <c r="C605" s="261" t="s">
        <v>590</v>
      </c>
      <c r="D605" s="262" t="s">
        <v>262</v>
      </c>
      <c r="E605" s="260"/>
      <c r="F605" s="263">
        <v>0</v>
      </c>
      <c r="G605" s="264">
        <v>0</v>
      </c>
      <c r="H605" s="264"/>
      <c r="I605" s="264">
        <v>0</v>
      </c>
      <c r="J605" s="281">
        <v>0</v>
      </c>
      <c r="K605" s="281">
        <f>SUM(K606:K607)</f>
        <v>220440</v>
      </c>
      <c r="L605" s="281">
        <v>0</v>
      </c>
      <c r="M605" s="282">
        <f>SUM(M606:M607)</f>
        <v>220440</v>
      </c>
      <c r="N605" s="282">
        <v>0</v>
      </c>
      <c r="O605" s="282">
        <v>0</v>
      </c>
      <c r="P605" s="282">
        <v>0</v>
      </c>
      <c r="Q605" s="282">
        <f>SUM(Q606:Q607)</f>
        <v>220440</v>
      </c>
      <c r="R605" s="287">
        <v>0</v>
      </c>
    </row>
    <row r="606" spans="1:18">
      <c r="A606" s="246"/>
      <c r="B606" s="265">
        <v>0</v>
      </c>
      <c r="C606" s="680" t="s">
        <v>626</v>
      </c>
      <c r="D606" s="266" t="str">
        <f>" - "&amp;'Giá VL'!E24</f>
        <v xml:space="preserve"> - Ni Lông</v>
      </c>
      <c r="E606" s="265" t="str">
        <f>'Giá VL'!F24</f>
        <v>m2</v>
      </c>
      <c r="F606" s="267">
        <v>0</v>
      </c>
      <c r="G606" s="268">
        <v>110</v>
      </c>
      <c r="H606" s="268">
        <f>'5.Tiên lượng'!V154</f>
        <v>1</v>
      </c>
      <c r="I606" s="268">
        <f>PRODUCT(F604,G606,H606)</f>
        <v>14.520000000000001</v>
      </c>
      <c r="J606" s="283">
        <f>'Giá VL'!G24</f>
        <v>2000</v>
      </c>
      <c r="K606" s="283">
        <f t="shared" ref="K606:K607" si="246">PRODUCT(G606,H606,J606)</f>
        <v>220000</v>
      </c>
      <c r="L606" s="283">
        <f>'Giá VL'!J24</f>
        <v>2000</v>
      </c>
      <c r="M606" s="284">
        <f t="shared" ref="M606:M607" si="247">PRODUCT(G606,H606,L606)</f>
        <v>220000</v>
      </c>
      <c r="N606" s="284">
        <v>0</v>
      </c>
      <c r="O606" s="284">
        <v>0</v>
      </c>
      <c r="P606" s="284">
        <f>'Giá VL'!V24</f>
        <v>2000</v>
      </c>
      <c r="Q606" s="284">
        <f t="shared" ref="Q606:Q607" si="248">PRODUCT(G606,H606,P606)</f>
        <v>220000</v>
      </c>
      <c r="R606" s="287">
        <v>0.2</v>
      </c>
    </row>
    <row r="607" spans="1:18">
      <c r="A607" s="246"/>
      <c r="B607" s="265">
        <v>0</v>
      </c>
      <c r="C607" s="680" t="s">
        <v>620</v>
      </c>
      <c r="D607" s="266" t="s">
        <v>621</v>
      </c>
      <c r="E607" s="265" t="s">
        <v>37</v>
      </c>
      <c r="F607" s="267">
        <v>0</v>
      </c>
      <c r="G607" s="268">
        <f>AVERAGE(R606:R606)</f>
        <v>0.2</v>
      </c>
      <c r="H607" s="268">
        <f>'5.Tiên lượng'!V154</f>
        <v>1</v>
      </c>
      <c r="I607" s="268">
        <f>PRODUCT(F604,G607,H607)</f>
        <v>2.6400000000000003E-2</v>
      </c>
      <c r="J607" s="283">
        <f>(G606*J606)/100</f>
        <v>2200</v>
      </c>
      <c r="K607" s="283">
        <f t="shared" si="246"/>
        <v>440</v>
      </c>
      <c r="L607" s="283">
        <f>(G606*L606)/100</f>
        <v>2200</v>
      </c>
      <c r="M607" s="284">
        <f t="shared" si="247"/>
        <v>440</v>
      </c>
      <c r="N607" s="284">
        <v>0</v>
      </c>
      <c r="O607" s="284">
        <v>0</v>
      </c>
      <c r="P607" s="284">
        <f>(G606*P606)/100</f>
        <v>2200</v>
      </c>
      <c r="Q607" s="284">
        <f t="shared" si="248"/>
        <v>440</v>
      </c>
      <c r="R607" s="287">
        <v>0</v>
      </c>
    </row>
    <row r="608" spans="1:18">
      <c r="A608" s="240"/>
      <c r="B608" s="260">
        <v>0</v>
      </c>
      <c r="C608" s="261" t="s">
        <v>590</v>
      </c>
      <c r="D608" s="262" t="s">
        <v>265</v>
      </c>
      <c r="E608" s="260"/>
      <c r="F608" s="263">
        <v>0</v>
      </c>
      <c r="G608" s="264">
        <v>0</v>
      </c>
      <c r="H608" s="264"/>
      <c r="I608" s="264">
        <v>0</v>
      </c>
      <c r="J608" s="281">
        <v>0</v>
      </c>
      <c r="K608" s="281">
        <f>SUM(K609:K609)</f>
        <v>37050</v>
      </c>
      <c r="L608" s="281">
        <v>0</v>
      </c>
      <c r="M608" s="282">
        <f>SUM(M609:M609)</f>
        <v>40500</v>
      </c>
      <c r="N608" s="282">
        <v>0</v>
      </c>
      <c r="O608" s="282">
        <v>0</v>
      </c>
      <c r="P608" s="282">
        <v>0</v>
      </c>
      <c r="Q608" s="282">
        <f>SUM(Q609:Q609)</f>
        <v>40500</v>
      </c>
      <c r="R608" s="287">
        <v>0</v>
      </c>
    </row>
    <row r="609" spans="1:18">
      <c r="A609" s="251"/>
      <c r="B609" s="269">
        <v>0</v>
      </c>
      <c r="C609" s="681" t="s">
        <v>622</v>
      </c>
      <c r="D609" s="270" t="str">
        <f>" - "&amp;'Giá NC'!E9</f>
        <v xml:space="preserve"> - Nhân công bậc 3,5/7 - Nhóm 2</v>
      </c>
      <c r="E609" s="269" t="str">
        <f>'Giá NC'!F9</f>
        <v>công</v>
      </c>
      <c r="F609" s="271">
        <v>0</v>
      </c>
      <c r="G609" s="272">
        <v>0.15</v>
      </c>
      <c r="H609" s="272">
        <f>'5.Tiên lượng'!W154</f>
        <v>1</v>
      </c>
      <c r="I609" s="272">
        <f>PRODUCT(F604,G609,H609)</f>
        <v>1.9800000000000002E-2</v>
      </c>
      <c r="J609" s="285">
        <f>'Giá NC'!G9</f>
        <v>247000</v>
      </c>
      <c r="K609" s="285">
        <f>PRODUCT(G609,H609,J609)</f>
        <v>37050</v>
      </c>
      <c r="L609" s="285">
        <f>'Giá NC'!H9</f>
        <v>270000</v>
      </c>
      <c r="M609" s="286">
        <f>PRODUCT(G609,H609,L609)</f>
        <v>40500</v>
      </c>
      <c r="N609" s="286">
        <v>0</v>
      </c>
      <c r="O609" s="286">
        <v>0</v>
      </c>
      <c r="P609" s="286">
        <f>'Giá NC'!K9</f>
        <v>270000</v>
      </c>
      <c r="Q609" s="286">
        <f>PRODUCT(G609,H609,P609)</f>
        <v>40500</v>
      </c>
      <c r="R609" s="288">
        <v>0</v>
      </c>
    </row>
    <row r="610" spans="1:18">
      <c r="A610" s="234"/>
      <c r="B610" s="256">
        <v>68</v>
      </c>
      <c r="C610" s="234" t="str">
        <f>'5.Tiên lượng'!C156</f>
        <v>AK.98110</v>
      </c>
      <c r="D610" s="257" t="str">
        <f>'5.Tiên lượng'!D156</f>
        <v>Cấp phối đá dăm đệm móng, dày 5cm</v>
      </c>
      <c r="E610" s="256" t="str">
        <f>'5.Tiên lượng'!E156</f>
        <v>m3</v>
      </c>
      <c r="F610" s="258">
        <f>'5.Tiên lượng'!M156</f>
        <v>0.66</v>
      </c>
      <c r="G610" s="259">
        <v>0</v>
      </c>
      <c r="H610" s="259">
        <v>0</v>
      </c>
      <c r="I610" s="259">
        <v>0</v>
      </c>
      <c r="J610" s="279">
        <v>0</v>
      </c>
      <c r="K610" s="279">
        <v>0</v>
      </c>
      <c r="L610" s="279">
        <v>0</v>
      </c>
      <c r="M610" s="280">
        <v>0</v>
      </c>
      <c r="N610" s="280">
        <v>0</v>
      </c>
      <c r="O610" s="280">
        <v>0</v>
      </c>
      <c r="P610" s="280">
        <v>0</v>
      </c>
      <c r="Q610" s="280">
        <v>0</v>
      </c>
      <c r="R610" s="222">
        <v>0</v>
      </c>
    </row>
    <row r="611" spans="1:18">
      <c r="A611" s="240"/>
      <c r="B611" s="260">
        <v>0</v>
      </c>
      <c r="C611" s="261" t="s">
        <v>590</v>
      </c>
      <c r="D611" s="262" t="s">
        <v>262</v>
      </c>
      <c r="E611" s="260"/>
      <c r="F611" s="263">
        <v>0</v>
      </c>
      <c r="G611" s="264">
        <v>0</v>
      </c>
      <c r="H611" s="264"/>
      <c r="I611" s="264">
        <v>0</v>
      </c>
      <c r="J611" s="281">
        <v>0</v>
      </c>
      <c r="K611" s="281">
        <f>SUM(K612:K613)</f>
        <v>267000</v>
      </c>
      <c r="L611" s="281">
        <v>0</v>
      </c>
      <c r="M611" s="282">
        <f>SUM(M612:M613)</f>
        <v>387000</v>
      </c>
      <c r="N611" s="282">
        <v>0</v>
      </c>
      <c r="O611" s="282">
        <v>0</v>
      </c>
      <c r="P611" s="282">
        <v>0</v>
      </c>
      <c r="Q611" s="282">
        <f>SUM(Q612:Q613)</f>
        <v>495257.6142875955</v>
      </c>
      <c r="R611" s="287">
        <v>0</v>
      </c>
    </row>
    <row r="612" spans="1:18">
      <c r="A612" s="246"/>
      <c r="B612" s="265">
        <v>0</v>
      </c>
      <c r="C612" s="680" t="s">
        <v>653</v>
      </c>
      <c r="D612" s="266" t="str">
        <f>" - "&amp;'Giá VL'!E20</f>
        <v xml:space="preserve"> - Đá cấp phối dmax ≤ 4</v>
      </c>
      <c r="E612" s="265" t="str">
        <f>'Giá VL'!F20</f>
        <v>m3</v>
      </c>
      <c r="F612" s="267">
        <v>0</v>
      </c>
      <c r="G612" s="268">
        <v>1.2</v>
      </c>
      <c r="H612" s="268">
        <f>'5.Tiên lượng'!V156</f>
        <v>1</v>
      </c>
      <c r="I612" s="268">
        <f>PRODUCT(F610,G612,H612)</f>
        <v>0.79200000000000004</v>
      </c>
      <c r="J612" s="283">
        <f>'Giá VL'!G20</f>
        <v>160000</v>
      </c>
      <c r="K612" s="283">
        <f t="shared" ref="K612:K613" si="249">PRODUCT(G612,H612,J612)</f>
        <v>192000</v>
      </c>
      <c r="L612" s="283">
        <f>'Giá VL'!J20</f>
        <v>260000</v>
      </c>
      <c r="M612" s="284">
        <f t="shared" ref="M612:M613" si="250">PRODUCT(G612,H612,L612)</f>
        <v>312000</v>
      </c>
      <c r="N612" s="284">
        <v>0</v>
      </c>
      <c r="O612" s="284">
        <v>0</v>
      </c>
      <c r="P612" s="284">
        <f>'Giá VL'!V20</f>
        <v>330458.0547558713</v>
      </c>
      <c r="Q612" s="284">
        <f t="shared" ref="Q612:Q613" si="251">PRODUCT(G612,H612,P612)</f>
        <v>396549.66570704553</v>
      </c>
      <c r="R612" s="287">
        <v>0</v>
      </c>
    </row>
    <row r="613" spans="1:18">
      <c r="A613" s="246"/>
      <c r="B613" s="265">
        <v>0</v>
      </c>
      <c r="C613" s="680" t="s">
        <v>654</v>
      </c>
      <c r="D613" s="266" t="str">
        <f>" - "&amp;'Giá VL'!E14</f>
        <v xml:space="preserve"> - Cát</v>
      </c>
      <c r="E613" s="265" t="str">
        <f>'Giá VL'!F14</f>
        <v>m3</v>
      </c>
      <c r="F613" s="267">
        <v>0</v>
      </c>
      <c r="G613" s="268">
        <v>0.3</v>
      </c>
      <c r="H613" s="268">
        <f>'5.Tiên lượng'!V156</f>
        <v>1</v>
      </c>
      <c r="I613" s="268">
        <f>PRODUCT(F610,G613,H613)</f>
        <v>0.19800000000000001</v>
      </c>
      <c r="J613" s="283">
        <f>'Giá VL'!G14</f>
        <v>250000</v>
      </c>
      <c r="K613" s="283">
        <f t="shared" si="249"/>
        <v>75000</v>
      </c>
      <c r="L613" s="283">
        <f>'Giá VL'!J14</f>
        <v>250000</v>
      </c>
      <c r="M613" s="284">
        <f t="shared" si="250"/>
        <v>75000</v>
      </c>
      <c r="N613" s="284">
        <v>0</v>
      </c>
      <c r="O613" s="284">
        <v>0</v>
      </c>
      <c r="P613" s="284">
        <f>'Giá VL'!V14</f>
        <v>329026.49526849983</v>
      </c>
      <c r="Q613" s="284">
        <f t="shared" si="251"/>
        <v>98707.948580549943</v>
      </c>
      <c r="R613" s="287">
        <v>0</v>
      </c>
    </row>
    <row r="614" spans="1:18">
      <c r="A614" s="240"/>
      <c r="B614" s="260">
        <v>0</v>
      </c>
      <c r="C614" s="261" t="s">
        <v>590</v>
      </c>
      <c r="D614" s="262" t="s">
        <v>265</v>
      </c>
      <c r="E614" s="260"/>
      <c r="F614" s="263">
        <v>0</v>
      </c>
      <c r="G614" s="264">
        <v>0</v>
      </c>
      <c r="H614" s="264"/>
      <c r="I614" s="264">
        <v>0</v>
      </c>
      <c r="J614" s="281">
        <v>0</v>
      </c>
      <c r="K614" s="281">
        <f>SUM(K615:K615)</f>
        <v>317460</v>
      </c>
      <c r="L614" s="281">
        <v>0</v>
      </c>
      <c r="M614" s="282">
        <f>SUM(M615:M615)</f>
        <v>347020.92799999996</v>
      </c>
      <c r="N614" s="282">
        <v>0</v>
      </c>
      <c r="O614" s="282">
        <v>0</v>
      </c>
      <c r="P614" s="282">
        <v>0</v>
      </c>
      <c r="Q614" s="282">
        <f>SUM(Q615:Q615)</f>
        <v>347020.92799999996</v>
      </c>
      <c r="R614" s="287">
        <v>0</v>
      </c>
    </row>
    <row r="615" spans="1:18">
      <c r="A615" s="251"/>
      <c r="B615" s="269">
        <v>0</v>
      </c>
      <c r="C615" s="681" t="s">
        <v>629</v>
      </c>
      <c r="D615" s="270" t="str">
        <f>" - "&amp;'Giá NC'!E10</f>
        <v xml:space="preserve"> - Nhân công bậc 4,0/7 - Nhóm 2</v>
      </c>
      <c r="E615" s="269" t="str">
        <f>'Giá NC'!F10</f>
        <v>công</v>
      </c>
      <c r="F615" s="271">
        <v>0</v>
      </c>
      <c r="G615" s="272">
        <v>1.48</v>
      </c>
      <c r="H615" s="272">
        <f>'5.Tiên lượng'!W156</f>
        <v>0.8</v>
      </c>
      <c r="I615" s="272">
        <f>PRODUCT(F610,G615,H615)</f>
        <v>0.78144000000000002</v>
      </c>
      <c r="J615" s="285">
        <f>'Giá NC'!G10</f>
        <v>268125</v>
      </c>
      <c r="K615" s="285">
        <f>PRODUCT(G615,H615,J615)</f>
        <v>317460</v>
      </c>
      <c r="L615" s="285">
        <f>'Giá NC'!H10</f>
        <v>293092</v>
      </c>
      <c r="M615" s="286">
        <f>PRODUCT(G615,H615,L615)</f>
        <v>347020.92799999996</v>
      </c>
      <c r="N615" s="286">
        <v>0</v>
      </c>
      <c r="O615" s="286">
        <v>0</v>
      </c>
      <c r="P615" s="286">
        <f>'Giá NC'!K10</f>
        <v>293092</v>
      </c>
      <c r="Q615" s="286">
        <f>PRODUCT(G615,H615,P615)</f>
        <v>347020.92799999996</v>
      </c>
      <c r="R615" s="288">
        <v>0</v>
      </c>
    </row>
    <row r="616" spans="1:18">
      <c r="A616" s="234"/>
      <c r="B616" s="256">
        <v>69</v>
      </c>
      <c r="C616" s="234" t="str">
        <f>'5.Tiên lượng'!C158</f>
        <v>AF.82511</v>
      </c>
      <c r="D616" s="257" t="str">
        <f>'5.Tiên lượng'!D158</f>
        <v>Ván khuôn thép rãnh</v>
      </c>
      <c r="E616" s="256" t="str">
        <f>'5.Tiên lượng'!E158</f>
        <v>100m2</v>
      </c>
      <c r="F616" s="258">
        <f>'5.Tiên lượng'!M158</f>
        <v>0.61380000000000001</v>
      </c>
      <c r="G616" s="259">
        <v>0</v>
      </c>
      <c r="H616" s="259">
        <v>0</v>
      </c>
      <c r="I616" s="259">
        <v>0</v>
      </c>
      <c r="J616" s="279">
        <v>0</v>
      </c>
      <c r="K616" s="279">
        <v>0</v>
      </c>
      <c r="L616" s="279">
        <v>0</v>
      </c>
      <c r="M616" s="280">
        <v>0</v>
      </c>
      <c r="N616" s="280">
        <v>0</v>
      </c>
      <c r="O616" s="280">
        <v>0</v>
      </c>
      <c r="P616" s="280">
        <v>0</v>
      </c>
      <c r="Q616" s="280">
        <v>0</v>
      </c>
      <c r="R616" s="222">
        <v>0</v>
      </c>
    </row>
    <row r="617" spans="1:18">
      <c r="A617" s="240"/>
      <c r="B617" s="260">
        <v>0</v>
      </c>
      <c r="C617" s="261" t="s">
        <v>590</v>
      </c>
      <c r="D617" s="262" t="s">
        <v>262</v>
      </c>
      <c r="E617" s="260"/>
      <c r="F617" s="263">
        <v>0</v>
      </c>
      <c r="G617" s="264">
        <v>0</v>
      </c>
      <c r="H617" s="264"/>
      <c r="I617" s="264">
        <v>0</v>
      </c>
      <c r="J617" s="281">
        <v>0</v>
      </c>
      <c r="K617" s="281">
        <f>SUM(K618:K621)</f>
        <v>1615682.25</v>
      </c>
      <c r="L617" s="281">
        <v>0</v>
      </c>
      <c r="M617" s="282">
        <f>SUM(M618:M621)</f>
        <v>1615682.25</v>
      </c>
      <c r="N617" s="282">
        <v>0</v>
      </c>
      <c r="O617" s="282">
        <v>0</v>
      </c>
      <c r="P617" s="282">
        <v>0</v>
      </c>
      <c r="Q617" s="282">
        <f>SUM(Q618:Q621)</f>
        <v>1623401.2408645179</v>
      </c>
      <c r="R617" s="287">
        <v>0</v>
      </c>
    </row>
    <row r="618" spans="1:18">
      <c r="A618" s="246"/>
      <c r="B618" s="265">
        <v>0</v>
      </c>
      <c r="C618" s="680" t="s">
        <v>663</v>
      </c>
      <c r="D618" s="266" t="str">
        <f>" - "&amp;'Giá VL'!E41</f>
        <v xml:space="preserve"> - Thép tấm</v>
      </c>
      <c r="E618" s="265" t="str">
        <f>'Giá VL'!F41</f>
        <v>kg</v>
      </c>
      <c r="F618" s="267">
        <v>0</v>
      </c>
      <c r="G618" s="268">
        <v>51.81</v>
      </c>
      <c r="H618" s="268">
        <f>'5.Tiên lượng'!V158</f>
        <v>1</v>
      </c>
      <c r="I618" s="268">
        <f>PRODUCT(F616,G618,H618)</f>
        <v>31.800978000000001</v>
      </c>
      <c r="J618" s="283">
        <f>'Giá VL'!G41</f>
        <v>17500</v>
      </c>
      <c r="K618" s="283">
        <f t="shared" ref="K618:K621" si="252">PRODUCT(G618,H618,J618)</f>
        <v>906675</v>
      </c>
      <c r="L618" s="283">
        <f>'Giá VL'!J41</f>
        <v>17500</v>
      </c>
      <c r="M618" s="284">
        <f t="shared" ref="M618:M621" si="253">PRODUCT(G618,H618,L618)</f>
        <v>906675</v>
      </c>
      <c r="N618" s="284">
        <v>0</v>
      </c>
      <c r="O618" s="284">
        <v>0</v>
      </c>
      <c r="P618" s="284">
        <f>'Giá VL'!V41</f>
        <v>17587.694379947148</v>
      </c>
      <c r="Q618" s="284">
        <f t="shared" ref="Q618:Q621" si="254">PRODUCT(G618,H618,P618)</f>
        <v>911218.44582506176</v>
      </c>
      <c r="R618" s="287">
        <v>5</v>
      </c>
    </row>
    <row r="619" spans="1:18">
      <c r="A619" s="246"/>
      <c r="B619" s="265">
        <v>0</v>
      </c>
      <c r="C619" s="680" t="s">
        <v>664</v>
      </c>
      <c r="D619" s="266" t="str">
        <f>" - "&amp;'Giá VL'!E39</f>
        <v xml:space="preserve"> - Thép hình</v>
      </c>
      <c r="E619" s="265" t="str">
        <f>'Giá VL'!F39</f>
        <v>kg</v>
      </c>
      <c r="F619" s="267">
        <v>0</v>
      </c>
      <c r="G619" s="268">
        <v>32.020000000000003</v>
      </c>
      <c r="H619" s="268">
        <f>'5.Tiên lượng'!V158</f>
        <v>1</v>
      </c>
      <c r="I619" s="268">
        <f>PRODUCT(F616,G619,H619)</f>
        <v>19.653876000000004</v>
      </c>
      <c r="J619" s="283">
        <f>'Giá VL'!G39</f>
        <v>17500</v>
      </c>
      <c r="K619" s="283">
        <f t="shared" si="252"/>
        <v>560350</v>
      </c>
      <c r="L619" s="283">
        <f>'Giá VL'!J39</f>
        <v>17500</v>
      </c>
      <c r="M619" s="284">
        <f t="shared" si="253"/>
        <v>560350</v>
      </c>
      <c r="N619" s="284">
        <v>0</v>
      </c>
      <c r="O619" s="284">
        <v>0</v>
      </c>
      <c r="P619" s="284">
        <f>'Giá VL'!V39</f>
        <v>17587.694379947148</v>
      </c>
      <c r="Q619" s="284">
        <f t="shared" si="254"/>
        <v>563157.97404590773</v>
      </c>
      <c r="R619" s="287">
        <v>5</v>
      </c>
    </row>
    <row r="620" spans="1:18">
      <c r="A620" s="246"/>
      <c r="B620" s="265">
        <v>0</v>
      </c>
      <c r="C620" s="680" t="s">
        <v>628</v>
      </c>
      <c r="D620" s="266" t="str">
        <f>" - "&amp;'Giá VL'!E37</f>
        <v xml:space="preserve"> - Que hàn</v>
      </c>
      <c r="E620" s="265" t="str">
        <f>'Giá VL'!F37</f>
        <v>kg</v>
      </c>
      <c r="F620" s="267">
        <v>0</v>
      </c>
      <c r="G620" s="268">
        <v>3.26</v>
      </c>
      <c r="H620" s="268">
        <f>'5.Tiên lượng'!V158</f>
        <v>1</v>
      </c>
      <c r="I620" s="268">
        <f>PRODUCT(F616,G620,H620)</f>
        <v>2.000988</v>
      </c>
      <c r="J620" s="283">
        <f>'Giá VL'!G37</f>
        <v>22000</v>
      </c>
      <c r="K620" s="283">
        <f t="shared" si="252"/>
        <v>71720</v>
      </c>
      <c r="L620" s="283">
        <f>'Giá VL'!J37</f>
        <v>22000</v>
      </c>
      <c r="M620" s="284">
        <f t="shared" si="253"/>
        <v>71720</v>
      </c>
      <c r="N620" s="284">
        <v>0</v>
      </c>
      <c r="O620" s="284">
        <v>0</v>
      </c>
      <c r="P620" s="284">
        <f>'Giá VL'!V37</f>
        <v>22000</v>
      </c>
      <c r="Q620" s="284">
        <f t="shared" si="254"/>
        <v>71720</v>
      </c>
      <c r="R620" s="287">
        <v>5</v>
      </c>
    </row>
    <row r="621" spans="1:18">
      <c r="A621" s="246"/>
      <c r="B621" s="265">
        <v>0</v>
      </c>
      <c r="C621" s="680" t="s">
        <v>620</v>
      </c>
      <c r="D621" s="266" t="s">
        <v>621</v>
      </c>
      <c r="E621" s="265" t="s">
        <v>37</v>
      </c>
      <c r="F621" s="267">
        <v>0</v>
      </c>
      <c r="G621" s="268">
        <f>AVERAGE(R618:R620)</f>
        <v>5</v>
      </c>
      <c r="H621" s="268">
        <f>'5.Tiên lượng'!V158</f>
        <v>1</v>
      </c>
      <c r="I621" s="268">
        <f>PRODUCT(F616,G621,H621)</f>
        <v>3.069</v>
      </c>
      <c r="J621" s="283">
        <f>(G618*J618+G619*J619+G620*J620)/100</f>
        <v>15387.45</v>
      </c>
      <c r="K621" s="283">
        <f t="shared" si="252"/>
        <v>76937.25</v>
      </c>
      <c r="L621" s="283">
        <f>(G618*L618+G619*L619+G620*L620)/100</f>
        <v>15387.45</v>
      </c>
      <c r="M621" s="284">
        <f t="shared" si="253"/>
        <v>76937.25</v>
      </c>
      <c r="N621" s="284">
        <v>0</v>
      </c>
      <c r="O621" s="284">
        <v>0</v>
      </c>
      <c r="P621" s="284">
        <f>(G618*P618+G619*P619+G620*P620)/100</f>
        <v>15460.964198709693</v>
      </c>
      <c r="Q621" s="284">
        <f t="shared" si="254"/>
        <v>77304.820993548463</v>
      </c>
      <c r="R621" s="287">
        <v>0</v>
      </c>
    </row>
    <row r="622" spans="1:18">
      <c r="A622" s="240"/>
      <c r="B622" s="260">
        <v>0</v>
      </c>
      <c r="C622" s="261" t="s">
        <v>590</v>
      </c>
      <c r="D622" s="262" t="s">
        <v>265</v>
      </c>
      <c r="E622" s="260"/>
      <c r="F622" s="263">
        <v>0</v>
      </c>
      <c r="G622" s="264">
        <v>0</v>
      </c>
      <c r="H622" s="264"/>
      <c r="I622" s="264">
        <v>0</v>
      </c>
      <c r="J622" s="281">
        <v>0</v>
      </c>
      <c r="K622" s="281">
        <f>SUM(K623:K623)</f>
        <v>3284531.25</v>
      </c>
      <c r="L622" s="281">
        <v>0</v>
      </c>
      <c r="M622" s="282">
        <f>SUM(M623:M623)</f>
        <v>3590377</v>
      </c>
      <c r="N622" s="282">
        <v>0</v>
      </c>
      <c r="O622" s="282">
        <v>0</v>
      </c>
      <c r="P622" s="282">
        <v>0</v>
      </c>
      <c r="Q622" s="282">
        <f>SUM(Q623:Q623)</f>
        <v>3590377</v>
      </c>
      <c r="R622" s="287">
        <v>0</v>
      </c>
    </row>
    <row r="623" spans="1:18">
      <c r="A623" s="246"/>
      <c r="B623" s="265">
        <v>0</v>
      </c>
      <c r="C623" s="680" t="s">
        <v>629</v>
      </c>
      <c r="D623" s="266" t="str">
        <f>" - "&amp;'Giá NC'!E10</f>
        <v xml:space="preserve"> - Nhân công bậc 4,0/7 - Nhóm 2</v>
      </c>
      <c r="E623" s="265" t="str">
        <f>'Giá NC'!F10</f>
        <v>công</v>
      </c>
      <c r="F623" s="267">
        <v>0</v>
      </c>
      <c r="G623" s="268">
        <v>12.25</v>
      </c>
      <c r="H623" s="268">
        <f>'5.Tiên lượng'!W158</f>
        <v>1</v>
      </c>
      <c r="I623" s="268">
        <f>PRODUCT(F616,G623,H623)</f>
        <v>7.51905</v>
      </c>
      <c r="J623" s="283">
        <f>'Giá NC'!G10</f>
        <v>268125</v>
      </c>
      <c r="K623" s="283">
        <f>PRODUCT(G623,H623,J623)</f>
        <v>3284531.25</v>
      </c>
      <c r="L623" s="283">
        <f>'Giá NC'!H10</f>
        <v>293092</v>
      </c>
      <c r="M623" s="284">
        <f>PRODUCT(G623,H623,L623)</f>
        <v>3590377</v>
      </c>
      <c r="N623" s="284">
        <v>0</v>
      </c>
      <c r="O623" s="284">
        <v>0</v>
      </c>
      <c r="P623" s="284">
        <f>'Giá NC'!K10</f>
        <v>293092</v>
      </c>
      <c r="Q623" s="284">
        <f>PRODUCT(G623,H623,P623)</f>
        <v>3590377</v>
      </c>
      <c r="R623" s="287">
        <v>0</v>
      </c>
    </row>
    <row r="624" spans="1:18">
      <c r="A624" s="240"/>
      <c r="B624" s="260">
        <v>0</v>
      </c>
      <c r="C624" s="261" t="s">
        <v>590</v>
      </c>
      <c r="D624" s="262" t="s">
        <v>267</v>
      </c>
      <c r="E624" s="260"/>
      <c r="F624" s="263">
        <v>0</v>
      </c>
      <c r="G624" s="264">
        <v>0</v>
      </c>
      <c r="H624" s="264"/>
      <c r="I624" s="264">
        <v>0</v>
      </c>
      <c r="J624" s="281">
        <v>0</v>
      </c>
      <c r="K624" s="281">
        <f>SUM(K625:K627)</f>
        <v>328545.28808179201</v>
      </c>
      <c r="L624" s="281">
        <v>0</v>
      </c>
      <c r="M624" s="282">
        <f>SUM(M625:M627)</f>
        <v>326187.636</v>
      </c>
      <c r="N624" s="282">
        <v>0</v>
      </c>
      <c r="O624" s="282">
        <v>0</v>
      </c>
      <c r="P624" s="282">
        <v>0</v>
      </c>
      <c r="Q624" s="282">
        <f>SUM(Q625:Q627)</f>
        <v>357131.12499350397</v>
      </c>
      <c r="R624" s="287">
        <v>0</v>
      </c>
    </row>
    <row r="625" spans="1:18">
      <c r="A625" s="246"/>
      <c r="B625" s="265">
        <v>0</v>
      </c>
      <c r="C625" s="680" t="s">
        <v>630</v>
      </c>
      <c r="D625" s="266" t="str">
        <f>" - "&amp;'Giá Máy'!E16</f>
        <v xml:space="preserve"> - Máy hàn điện 23kW</v>
      </c>
      <c r="E625" s="265" t="str">
        <f>'Giá Máy'!F16</f>
        <v>ca</v>
      </c>
      <c r="F625" s="267">
        <v>0</v>
      </c>
      <c r="G625" s="268">
        <v>0.82</v>
      </c>
      <c r="H625" s="268">
        <f>'5.Tiên lượng'!X158</f>
        <v>1</v>
      </c>
      <c r="I625" s="268">
        <f>PRODUCT(F616,G625,H625)</f>
        <v>0.50331599999999999</v>
      </c>
      <c r="J625" s="283">
        <f>'Giá Máy'!G16</f>
        <v>392808.80927999999</v>
      </c>
      <c r="K625" s="283">
        <f t="shared" ref="K625:K627" si="255">PRODUCT(G625,H625,J625)</f>
        <v>322103.22360959998</v>
      </c>
      <c r="L625" s="283">
        <f>'Giá Máy'!H16</f>
        <v>389990</v>
      </c>
      <c r="M625" s="284">
        <f t="shared" ref="M625:M627" si="256">PRODUCT(G625,H625,L625)</f>
        <v>319791.8</v>
      </c>
      <c r="N625" s="284">
        <v>0</v>
      </c>
      <c r="O625" s="284">
        <v>0</v>
      </c>
      <c r="P625" s="284">
        <f>'Giá Máy'!O16</f>
        <v>426986.04135999997</v>
      </c>
      <c r="Q625" s="284">
        <f t="shared" ref="Q625:Q627" si="257">PRODUCT(G625,H625,P625)</f>
        <v>350128.55391519994</v>
      </c>
      <c r="R625" s="287">
        <v>2</v>
      </c>
    </row>
    <row r="626" spans="1:18">
      <c r="A626" s="251"/>
      <c r="B626" s="269">
        <v>0</v>
      </c>
      <c r="C626" s="681" t="s">
        <v>611</v>
      </c>
      <c r="D626" s="270" t="s">
        <v>612</v>
      </c>
      <c r="E626" s="269" t="s">
        <v>37</v>
      </c>
      <c r="F626" s="271">
        <v>0</v>
      </c>
      <c r="G626" s="272">
        <f>AVERAGE(R625:R625)</f>
        <v>2</v>
      </c>
      <c r="H626" s="272">
        <f>'5.Tiên lượng'!X158</f>
        <v>1</v>
      </c>
      <c r="I626" s="272">
        <f>PRODUCT(F616,G626,H626)</f>
        <v>1.2276</v>
      </c>
      <c r="J626" s="285">
        <f>(G625*J625)/100</f>
        <v>3221.0322360959999</v>
      </c>
      <c r="K626" s="285">
        <f t="shared" si="255"/>
        <v>6442.0644721919998</v>
      </c>
      <c r="L626" s="285">
        <f>(G625*L625)/100</f>
        <v>3197.9179999999997</v>
      </c>
      <c r="M626" s="286">
        <f t="shared" si="256"/>
        <v>6395.8359999999993</v>
      </c>
      <c r="N626" s="286">
        <v>0</v>
      </c>
      <c r="O626" s="286">
        <v>0</v>
      </c>
      <c r="P626" s="286">
        <f>(G625*P625)/100</f>
        <v>3501.2855391519993</v>
      </c>
      <c r="Q626" s="286">
        <f t="shared" si="257"/>
        <v>7002.5710783039985</v>
      </c>
      <c r="R626" s="288">
        <v>0</v>
      </c>
    </row>
    <row r="627" spans="1:18">
      <c r="A627" s="229"/>
      <c r="B627" s="289">
        <v>0</v>
      </c>
      <c r="C627" s="682" t="s">
        <v>339</v>
      </c>
      <c r="D627" s="290" t="s">
        <v>1080</v>
      </c>
      <c r="E627" s="289"/>
      <c r="F627" s="291">
        <v>0</v>
      </c>
      <c r="G627" s="292">
        <v>0</v>
      </c>
      <c r="H627" s="292">
        <f>'5.Tiên lượng'!X158</f>
        <v>1</v>
      </c>
      <c r="I627" s="292">
        <f>PRODUCT(F616,G627,H627)</f>
        <v>0</v>
      </c>
      <c r="J627" s="293">
        <v>0</v>
      </c>
      <c r="K627" s="294">
        <f t="shared" si="255"/>
        <v>0</v>
      </c>
      <c r="L627" s="294">
        <v>0</v>
      </c>
      <c r="M627" s="295">
        <f t="shared" si="256"/>
        <v>0</v>
      </c>
      <c r="N627" s="295">
        <v>0</v>
      </c>
      <c r="O627" s="295">
        <v>0</v>
      </c>
      <c r="P627" s="295">
        <v>0</v>
      </c>
      <c r="Q627" s="295">
        <f t="shared" si="257"/>
        <v>0</v>
      </c>
      <c r="R627" s="146">
        <v>0</v>
      </c>
    </row>
    <row r="628" spans="1:18" ht="27.6">
      <c r="A628" s="234"/>
      <c r="B628" s="256">
        <v>70</v>
      </c>
      <c r="C628" s="234" t="str">
        <f>'5.Tiên lượng'!C161</f>
        <v>AB.25123</v>
      </c>
      <c r="D628" s="257" t="str">
        <f>'5.Tiên lượng'!D161</f>
        <v>Đào móng bằng máy đào 1,25m3, chiều rộng móng ≤6m - Cấp đất III</v>
      </c>
      <c r="E628" s="256" t="str">
        <f>'5.Tiên lượng'!E161</f>
        <v>100m3</v>
      </c>
      <c r="F628" s="258">
        <f>'5.Tiên lượng'!M161</f>
        <v>1.8000000000000002E-2</v>
      </c>
      <c r="G628" s="259">
        <v>0</v>
      </c>
      <c r="H628" s="259">
        <v>0</v>
      </c>
      <c r="I628" s="259">
        <v>0</v>
      </c>
      <c r="J628" s="279">
        <v>0</v>
      </c>
      <c r="K628" s="279">
        <v>0</v>
      </c>
      <c r="L628" s="279">
        <v>0</v>
      </c>
      <c r="M628" s="280">
        <v>0</v>
      </c>
      <c r="N628" s="280">
        <v>0</v>
      </c>
      <c r="O628" s="280">
        <v>0</v>
      </c>
      <c r="P628" s="280">
        <v>0</v>
      </c>
      <c r="Q628" s="280">
        <v>0</v>
      </c>
      <c r="R628" s="222">
        <v>0</v>
      </c>
    </row>
    <row r="629" spans="1:18">
      <c r="A629" s="240"/>
      <c r="B629" s="260">
        <v>0</v>
      </c>
      <c r="C629" s="261" t="s">
        <v>590</v>
      </c>
      <c r="D629" s="262" t="s">
        <v>265</v>
      </c>
      <c r="E629" s="260"/>
      <c r="F629" s="263">
        <v>0</v>
      </c>
      <c r="G629" s="264">
        <v>0</v>
      </c>
      <c r="H629" s="264"/>
      <c r="I629" s="264">
        <v>0</v>
      </c>
      <c r="J629" s="281">
        <v>0</v>
      </c>
      <c r="K629" s="281">
        <f>SUM(K630:K630)</f>
        <v>963845.19000000006</v>
      </c>
      <c r="L629" s="281">
        <v>0</v>
      </c>
      <c r="M629" s="282">
        <f>SUM(M630:M630)</f>
        <v>1008205.38</v>
      </c>
      <c r="N629" s="282">
        <v>0</v>
      </c>
      <c r="O629" s="282">
        <v>0</v>
      </c>
      <c r="P629" s="282">
        <v>0</v>
      </c>
      <c r="Q629" s="282">
        <f>SUM(Q630:Q630)</f>
        <v>1008205.38</v>
      </c>
      <c r="R629" s="287">
        <v>0</v>
      </c>
    </row>
    <row r="630" spans="1:18">
      <c r="A630" s="246"/>
      <c r="B630" s="265">
        <v>0</v>
      </c>
      <c r="C630" s="680" t="s">
        <v>598</v>
      </c>
      <c r="D630" s="266" t="str">
        <f>" - "&amp;'Giá NC'!E5</f>
        <v xml:space="preserve"> - Nhân công bậc 3,0/7 - Nhóm 1</v>
      </c>
      <c r="E630" s="265" t="str">
        <f>'Giá NC'!F5</f>
        <v>công</v>
      </c>
      <c r="F630" s="267">
        <v>0</v>
      </c>
      <c r="G630" s="268">
        <v>4.41</v>
      </c>
      <c r="H630" s="268">
        <f>'5.Tiên lượng'!W161</f>
        <v>1</v>
      </c>
      <c r="I630" s="268">
        <f>PRODUCT(F628,G630,H630)</f>
        <v>7.9380000000000006E-2</v>
      </c>
      <c r="J630" s="283">
        <f>'Giá NC'!G5</f>
        <v>218559</v>
      </c>
      <c r="K630" s="283">
        <f>PRODUCT(G630,H630,J630)</f>
        <v>963845.19000000006</v>
      </c>
      <c r="L630" s="283">
        <f>'Giá NC'!H5</f>
        <v>228618</v>
      </c>
      <c r="M630" s="284">
        <f>PRODUCT(G630,H630,L630)</f>
        <v>1008205.38</v>
      </c>
      <c r="N630" s="284">
        <v>0</v>
      </c>
      <c r="O630" s="284">
        <v>0</v>
      </c>
      <c r="P630" s="284">
        <f>'Giá NC'!K5</f>
        <v>228618</v>
      </c>
      <c r="Q630" s="284">
        <f>PRODUCT(G630,H630,P630)</f>
        <v>1008205.38</v>
      </c>
      <c r="R630" s="287">
        <v>0</v>
      </c>
    </row>
    <row r="631" spans="1:18">
      <c r="A631" s="240"/>
      <c r="B631" s="260">
        <v>0</v>
      </c>
      <c r="C631" s="261" t="s">
        <v>590</v>
      </c>
      <c r="D631" s="262" t="s">
        <v>267</v>
      </c>
      <c r="E631" s="260"/>
      <c r="F631" s="263">
        <v>0</v>
      </c>
      <c r="G631" s="264">
        <v>0</v>
      </c>
      <c r="H631" s="264"/>
      <c r="I631" s="264">
        <v>0</v>
      </c>
      <c r="J631" s="281">
        <v>0</v>
      </c>
      <c r="K631" s="281">
        <f>SUM(K632:K632)</f>
        <v>1093801.4490582871</v>
      </c>
      <c r="L631" s="281">
        <v>0</v>
      </c>
      <c r="M631" s="282">
        <f>SUM(M632:M632)</f>
        <v>1195089.42</v>
      </c>
      <c r="N631" s="282">
        <v>0</v>
      </c>
      <c r="O631" s="282">
        <v>0</v>
      </c>
      <c r="P631" s="282">
        <v>0</v>
      </c>
      <c r="Q631" s="282">
        <f>SUM(Q632:Q632)</f>
        <v>1122518.3196342858</v>
      </c>
      <c r="R631" s="287">
        <v>0</v>
      </c>
    </row>
    <row r="632" spans="1:18">
      <c r="A632" s="251"/>
      <c r="B632" s="269">
        <v>0</v>
      </c>
      <c r="C632" s="681" t="s">
        <v>599</v>
      </c>
      <c r="D632" s="270" t="str">
        <f>" - "&amp;'Giá Máy'!E14</f>
        <v xml:space="preserve"> - Máy đào 1,25m3</v>
      </c>
      <c r="E632" s="269" t="str">
        <f>'Giá Máy'!F14</f>
        <v>ca</v>
      </c>
      <c r="F632" s="271">
        <v>0</v>
      </c>
      <c r="G632" s="272">
        <v>0.32100000000000001</v>
      </c>
      <c r="H632" s="272">
        <f>'5.Tiên lượng'!X161</f>
        <v>1</v>
      </c>
      <c r="I632" s="272">
        <f>PRODUCT(F628,G632,H632)</f>
        <v>5.778000000000001E-3</v>
      </c>
      <c r="J632" s="285">
        <f>'Giá Máy'!G14</f>
        <v>3407481.1497142902</v>
      </c>
      <c r="K632" s="285">
        <f>PRODUCT(G632,H632,J632)</f>
        <v>1093801.4490582871</v>
      </c>
      <c r="L632" s="285">
        <f>'Giá Máy'!H14</f>
        <v>3723020</v>
      </c>
      <c r="M632" s="286">
        <f>PRODUCT(G632,H632,L632)</f>
        <v>1195089.42</v>
      </c>
      <c r="N632" s="286">
        <v>0</v>
      </c>
      <c r="O632" s="286">
        <v>0</v>
      </c>
      <c r="P632" s="286">
        <f>'Giá Máy'!O14</f>
        <v>3496941.8057142859</v>
      </c>
      <c r="Q632" s="286">
        <f>PRODUCT(G632,H632,P632)</f>
        <v>1122518.3196342858</v>
      </c>
      <c r="R632" s="288">
        <v>0</v>
      </c>
    </row>
    <row r="633" spans="1:18" ht="27.6">
      <c r="A633" s="234"/>
      <c r="B633" s="256">
        <v>71</v>
      </c>
      <c r="C633" s="234" t="str">
        <f>'5.Tiên lượng'!C163</f>
        <v>AE.11114</v>
      </c>
      <c r="D633" s="257" t="str">
        <f>'5.Tiên lượng'!D163</f>
        <v>Khối xây bó nền bằng đá hộc - Chiều dày ≤60cm, vữa XM M100, PCB40</v>
      </c>
      <c r="E633" s="256" t="str">
        <f>'5.Tiên lượng'!E163</f>
        <v>m3</v>
      </c>
      <c r="F633" s="258">
        <f>'5.Tiên lượng'!M163</f>
        <v>3.6</v>
      </c>
      <c r="G633" s="259">
        <v>0</v>
      </c>
      <c r="H633" s="259">
        <v>0</v>
      </c>
      <c r="I633" s="259">
        <v>0</v>
      </c>
      <c r="J633" s="279">
        <v>0</v>
      </c>
      <c r="K633" s="279">
        <v>0</v>
      </c>
      <c r="L633" s="279">
        <v>0</v>
      </c>
      <c r="M633" s="280">
        <v>0</v>
      </c>
      <c r="N633" s="280">
        <v>0</v>
      </c>
      <c r="O633" s="280">
        <v>0</v>
      </c>
      <c r="P633" s="280">
        <v>0</v>
      </c>
      <c r="Q633" s="280">
        <v>0</v>
      </c>
      <c r="R633" s="222">
        <v>0</v>
      </c>
    </row>
    <row r="634" spans="1:18">
      <c r="A634" s="240"/>
      <c r="B634" s="260">
        <v>0</v>
      </c>
      <c r="C634" s="261" t="s">
        <v>590</v>
      </c>
      <c r="D634" s="262" t="s">
        <v>262</v>
      </c>
      <c r="E634" s="260"/>
      <c r="F634" s="263">
        <v>0</v>
      </c>
      <c r="G634" s="264">
        <v>0</v>
      </c>
      <c r="H634" s="264"/>
      <c r="I634" s="264">
        <v>0</v>
      </c>
      <c r="J634" s="281">
        <v>0</v>
      </c>
      <c r="K634" s="281">
        <f>SUM(K635:K639)</f>
        <v>624025.80000000005</v>
      </c>
      <c r="L634" s="281">
        <v>0</v>
      </c>
      <c r="M634" s="282">
        <f>SUM(M635:M639)</f>
        <v>795055.8</v>
      </c>
      <c r="N634" s="282">
        <v>0</v>
      </c>
      <c r="O634" s="282">
        <v>0</v>
      </c>
      <c r="P634" s="282">
        <v>0</v>
      </c>
      <c r="Q634" s="282">
        <f>SUM(Q635:Q639)</f>
        <v>934340.87185523123</v>
      </c>
      <c r="R634" s="287">
        <v>0</v>
      </c>
    </row>
    <row r="635" spans="1:18">
      <c r="A635" s="246"/>
      <c r="B635" s="265">
        <v>0</v>
      </c>
      <c r="C635" s="680" t="s">
        <v>671</v>
      </c>
      <c r="D635" s="266" t="str">
        <f>" - "&amp;'Giá VL'!E22</f>
        <v xml:space="preserve"> - Đá hộc</v>
      </c>
      <c r="E635" s="265" t="str">
        <f>'Giá VL'!F22</f>
        <v>m3</v>
      </c>
      <c r="F635" s="267">
        <v>0</v>
      </c>
      <c r="G635" s="268">
        <v>1.2</v>
      </c>
      <c r="H635" s="268">
        <f>'5.Tiên lượng'!V163</f>
        <v>1</v>
      </c>
      <c r="I635" s="268">
        <f>PRODUCT(F633,G635,H635)</f>
        <v>4.32</v>
      </c>
      <c r="J635" s="283">
        <f>'Giá VL'!G22</f>
        <v>130000</v>
      </c>
      <c r="K635" s="283">
        <f t="shared" ref="K635:K639" si="258">PRODUCT(G635,H635,J635)</f>
        <v>156000</v>
      </c>
      <c r="L635" s="283">
        <f>'Giá VL'!J22</f>
        <v>240000</v>
      </c>
      <c r="M635" s="284">
        <f t="shared" ref="M635:M639" si="259">PRODUCT(G635,H635,L635)</f>
        <v>288000</v>
      </c>
      <c r="N635" s="284">
        <v>0</v>
      </c>
      <c r="O635" s="284">
        <v>0</v>
      </c>
      <c r="P635" s="284">
        <f>'Giá VL'!V22</f>
        <v>306636.9934461856</v>
      </c>
      <c r="Q635" s="284">
        <f t="shared" ref="Q635:Q639" si="260">PRODUCT(G635,H635,P635)</f>
        <v>367964.39213542274</v>
      </c>
      <c r="R635" s="287">
        <v>0</v>
      </c>
    </row>
    <row r="636" spans="1:18">
      <c r="A636" s="246"/>
      <c r="B636" s="265">
        <v>0</v>
      </c>
      <c r="C636" s="680" t="s">
        <v>672</v>
      </c>
      <c r="D636" s="266" t="str">
        <f>" - "&amp;'Giá VL'!E21</f>
        <v xml:space="preserve"> - Đá dăm</v>
      </c>
      <c r="E636" s="265" t="str">
        <f>'Giá VL'!F21</f>
        <v>m3</v>
      </c>
      <c r="F636" s="267">
        <v>0</v>
      </c>
      <c r="G636" s="268">
        <v>5.7000000000000002E-2</v>
      </c>
      <c r="H636" s="268">
        <f>'5.Tiên lượng'!V163</f>
        <v>1</v>
      </c>
      <c r="I636" s="268">
        <f>PRODUCT(F633,G636,H636)</f>
        <v>0.20520000000000002</v>
      </c>
      <c r="J636" s="283">
        <f>'Giá VL'!G21</f>
        <v>150000</v>
      </c>
      <c r="K636" s="283">
        <f t="shared" si="258"/>
        <v>8550</v>
      </c>
      <c r="L636" s="283">
        <f>'Giá VL'!J21</f>
        <v>260000</v>
      </c>
      <c r="M636" s="284">
        <f t="shared" si="259"/>
        <v>14820</v>
      </c>
      <c r="N636" s="284">
        <v>0</v>
      </c>
      <c r="O636" s="284">
        <v>0</v>
      </c>
      <c r="P636" s="284">
        <f>'Giá VL'!V21</f>
        <v>330458.0547558713</v>
      </c>
      <c r="Q636" s="284">
        <f t="shared" si="260"/>
        <v>18836.109121084664</v>
      </c>
      <c r="R636" s="287">
        <v>0</v>
      </c>
    </row>
    <row r="637" spans="1:18">
      <c r="A637" s="246"/>
      <c r="B637" s="265">
        <v>0</v>
      </c>
      <c r="C637" s="680" t="s">
        <v>614</v>
      </c>
      <c r="D637" s="266" t="str">
        <f>" - "&amp;'Giá VL'!E45</f>
        <v xml:space="preserve"> - Xi măng PCB40</v>
      </c>
      <c r="E637" s="265" t="str">
        <f>'Giá VL'!F45</f>
        <v>kg</v>
      </c>
      <c r="F637" s="267">
        <v>0</v>
      </c>
      <c r="G637" s="268">
        <v>131.04</v>
      </c>
      <c r="H637" s="268">
        <f>'5.Tiên lượng'!V163</f>
        <v>1</v>
      </c>
      <c r="I637" s="268">
        <f>PRODUCT(F633,G637,H637)</f>
        <v>471.74399999999997</v>
      </c>
      <c r="J637" s="283">
        <f>'Giá VL'!G45</f>
        <v>1350</v>
      </c>
      <c r="K637" s="283">
        <f t="shared" si="258"/>
        <v>176904</v>
      </c>
      <c r="L637" s="283">
        <f>'Giá VL'!J45</f>
        <v>1600</v>
      </c>
      <c r="M637" s="284">
        <f t="shared" si="259"/>
        <v>209664</v>
      </c>
      <c r="N637" s="284">
        <v>0</v>
      </c>
      <c r="O637" s="284">
        <v>0</v>
      </c>
      <c r="P637" s="284">
        <f>'Giá VL'!V45</f>
        <v>1730</v>
      </c>
      <c r="Q637" s="284">
        <f t="shared" si="260"/>
        <v>226699.19999999998</v>
      </c>
      <c r="R637" s="287">
        <v>0</v>
      </c>
    </row>
    <row r="638" spans="1:18">
      <c r="A638" s="246"/>
      <c r="B638" s="265">
        <v>0</v>
      </c>
      <c r="C638" s="680" t="s">
        <v>615</v>
      </c>
      <c r="D638" s="266" t="str">
        <f>" - "&amp;'Giá VL'!E17</f>
        <v xml:space="preserve"> - Cát vàng</v>
      </c>
      <c r="E638" s="265" t="str">
        <f>'Giá VL'!F17</f>
        <v>m3</v>
      </c>
      <c r="F638" s="267">
        <v>0</v>
      </c>
      <c r="G638" s="268">
        <v>0.48426000000000002</v>
      </c>
      <c r="H638" s="268">
        <f>'5.Tiên lượng'!V163</f>
        <v>1</v>
      </c>
      <c r="I638" s="268">
        <f>PRODUCT(F633,G638,H638)</f>
        <v>1.7433360000000002</v>
      </c>
      <c r="J638" s="283">
        <f>'Giá VL'!G17</f>
        <v>580000</v>
      </c>
      <c r="K638" s="283">
        <f t="shared" si="258"/>
        <v>280870.8</v>
      </c>
      <c r="L638" s="283">
        <f>'Giá VL'!J17</f>
        <v>580000</v>
      </c>
      <c r="M638" s="284">
        <f t="shared" si="259"/>
        <v>280870.8</v>
      </c>
      <c r="N638" s="284">
        <v>0</v>
      </c>
      <c r="O638" s="284">
        <v>0</v>
      </c>
      <c r="P638" s="284">
        <f>'Giá VL'!V17</f>
        <v>659026.49526849983</v>
      </c>
      <c r="Q638" s="284">
        <f t="shared" si="260"/>
        <v>319140.17059872375</v>
      </c>
      <c r="R638" s="287">
        <v>0</v>
      </c>
    </row>
    <row r="639" spans="1:18">
      <c r="A639" s="246"/>
      <c r="B639" s="265">
        <v>0</v>
      </c>
      <c r="C639" s="680" t="s">
        <v>617</v>
      </c>
      <c r="D639" s="266" t="str">
        <f>" - "&amp;'Giá VL'!E33</f>
        <v xml:space="preserve"> - Nước</v>
      </c>
      <c r="E639" s="265" t="str">
        <f>'Giá VL'!F33</f>
        <v>lít</v>
      </c>
      <c r="F639" s="267">
        <v>0</v>
      </c>
      <c r="G639" s="268">
        <v>113.4</v>
      </c>
      <c r="H639" s="268">
        <f>'5.Tiên lượng'!V163</f>
        <v>1</v>
      </c>
      <c r="I639" s="268">
        <f>PRODUCT(F633,G639,H639)</f>
        <v>408.24</v>
      </c>
      <c r="J639" s="283">
        <f>'Giá VL'!G33</f>
        <v>15</v>
      </c>
      <c r="K639" s="283">
        <f t="shared" si="258"/>
        <v>1701</v>
      </c>
      <c r="L639" s="283">
        <f>'Giá VL'!J33</f>
        <v>15</v>
      </c>
      <c r="M639" s="284">
        <f t="shared" si="259"/>
        <v>1701</v>
      </c>
      <c r="N639" s="284">
        <v>0</v>
      </c>
      <c r="O639" s="284">
        <v>0</v>
      </c>
      <c r="P639" s="284">
        <f>'Giá VL'!V33</f>
        <v>15</v>
      </c>
      <c r="Q639" s="284">
        <f t="shared" si="260"/>
        <v>1701</v>
      </c>
      <c r="R639" s="287">
        <v>0</v>
      </c>
    </row>
    <row r="640" spans="1:18">
      <c r="A640" s="240"/>
      <c r="B640" s="260">
        <v>0</v>
      </c>
      <c r="C640" s="261" t="s">
        <v>590</v>
      </c>
      <c r="D640" s="262" t="s">
        <v>265</v>
      </c>
      <c r="E640" s="260"/>
      <c r="F640" s="263">
        <v>0</v>
      </c>
      <c r="G640" s="264">
        <v>0</v>
      </c>
      <c r="H640" s="264"/>
      <c r="I640" s="264">
        <v>0</v>
      </c>
      <c r="J640" s="281">
        <v>0</v>
      </c>
      <c r="K640" s="281">
        <f>SUM(K641:K641)</f>
        <v>447070</v>
      </c>
      <c r="L640" s="281">
        <v>0</v>
      </c>
      <c r="M640" s="282">
        <f>SUM(M641:M641)</f>
        <v>488700</v>
      </c>
      <c r="N640" s="282">
        <v>0</v>
      </c>
      <c r="O640" s="282">
        <v>0</v>
      </c>
      <c r="P640" s="282">
        <v>0</v>
      </c>
      <c r="Q640" s="282">
        <f>SUM(Q641:Q641)</f>
        <v>488700</v>
      </c>
      <c r="R640" s="287">
        <v>0</v>
      </c>
    </row>
    <row r="641" spans="1:18">
      <c r="A641" s="246"/>
      <c r="B641" s="265">
        <v>0</v>
      </c>
      <c r="C641" s="680" t="s">
        <v>622</v>
      </c>
      <c r="D641" s="266" t="str">
        <f>" - "&amp;'Giá NC'!E9</f>
        <v xml:space="preserve"> - Nhân công bậc 3,5/7 - Nhóm 2</v>
      </c>
      <c r="E641" s="265" t="str">
        <f>'Giá NC'!F9</f>
        <v>công</v>
      </c>
      <c r="F641" s="267">
        <v>0</v>
      </c>
      <c r="G641" s="268">
        <v>1.81</v>
      </c>
      <c r="H641" s="268">
        <f>'5.Tiên lượng'!W163</f>
        <v>1</v>
      </c>
      <c r="I641" s="268">
        <f>PRODUCT(F633,G641,H641)</f>
        <v>6.516</v>
      </c>
      <c r="J641" s="283">
        <f>'Giá NC'!G9</f>
        <v>247000</v>
      </c>
      <c r="K641" s="283">
        <f>PRODUCT(G641,H641,J641)</f>
        <v>447070</v>
      </c>
      <c r="L641" s="283">
        <f>'Giá NC'!H9</f>
        <v>270000</v>
      </c>
      <c r="M641" s="284">
        <f>PRODUCT(G641,H641,L641)</f>
        <v>488700</v>
      </c>
      <c r="N641" s="284">
        <v>0</v>
      </c>
      <c r="O641" s="284">
        <v>0</v>
      </c>
      <c r="P641" s="284">
        <f>'Giá NC'!K9</f>
        <v>270000</v>
      </c>
      <c r="Q641" s="284">
        <f>PRODUCT(G641,H641,P641)</f>
        <v>488700</v>
      </c>
      <c r="R641" s="287">
        <v>0</v>
      </c>
    </row>
    <row r="642" spans="1:18">
      <c r="A642" s="240"/>
      <c r="B642" s="260">
        <v>0</v>
      </c>
      <c r="C642" s="261" t="s">
        <v>590</v>
      </c>
      <c r="D642" s="262" t="s">
        <v>267</v>
      </c>
      <c r="E642" s="260"/>
      <c r="F642" s="263">
        <v>0</v>
      </c>
      <c r="G642" s="264">
        <v>0</v>
      </c>
      <c r="H642" s="264"/>
      <c r="I642" s="264">
        <v>0</v>
      </c>
      <c r="J642" s="281">
        <v>0</v>
      </c>
      <c r="K642" s="281">
        <f>SUM(K643:K644)</f>
        <v>14683.611630992962</v>
      </c>
      <c r="L642" s="281">
        <v>0</v>
      </c>
      <c r="M642" s="282">
        <f>SUM(M643:M644)</f>
        <v>14658.687</v>
      </c>
      <c r="N642" s="282">
        <v>0</v>
      </c>
      <c r="O642" s="282">
        <v>0</v>
      </c>
      <c r="P642" s="282">
        <v>0</v>
      </c>
      <c r="Q642" s="282">
        <f>SUM(Q643:Q644)</f>
        <v>15879.717681032944</v>
      </c>
      <c r="R642" s="287">
        <v>0</v>
      </c>
    </row>
    <row r="643" spans="1:18">
      <c r="A643" s="251"/>
      <c r="B643" s="269">
        <v>0</v>
      </c>
      <c r="C643" s="681" t="s">
        <v>657</v>
      </c>
      <c r="D643" s="270" t="str">
        <f>" - "&amp;'Giá Máy'!E28</f>
        <v xml:space="preserve"> - Máy trộn vữa 150l</v>
      </c>
      <c r="E643" s="269" t="str">
        <f>'Giá Máy'!F28</f>
        <v>ca</v>
      </c>
      <c r="F643" s="271">
        <v>0</v>
      </c>
      <c r="G643" s="272">
        <v>5.2999999999999999E-2</v>
      </c>
      <c r="H643" s="272">
        <f>'5.Tiên lượng'!X163</f>
        <v>1</v>
      </c>
      <c r="I643" s="272">
        <f>PRODUCT(F633,G643,H643)</f>
        <v>0.1908</v>
      </c>
      <c r="J643" s="285">
        <f>'Giá Máy'!G28</f>
        <v>277049.27605647099</v>
      </c>
      <c r="K643" s="285">
        <f t="shared" ref="K643:K644" si="261">PRODUCT(G643,H643,J643)</f>
        <v>14683.611630992962</v>
      </c>
      <c r="L643" s="285">
        <f>'Giá Máy'!H28</f>
        <v>276579</v>
      </c>
      <c r="M643" s="286">
        <f t="shared" ref="M643:M644" si="262">PRODUCT(G643,H643,L643)</f>
        <v>14658.687</v>
      </c>
      <c r="N643" s="286">
        <v>0</v>
      </c>
      <c r="O643" s="286">
        <v>0</v>
      </c>
      <c r="P643" s="286">
        <f>'Giá Máy'!O28</f>
        <v>299617.31473647064</v>
      </c>
      <c r="Q643" s="286">
        <f t="shared" ref="Q643:Q644" si="263">PRODUCT(G643,H643,P643)</f>
        <v>15879.717681032944</v>
      </c>
      <c r="R643" s="288">
        <v>0</v>
      </c>
    </row>
    <row r="644" spans="1:18">
      <c r="A644" s="229"/>
      <c r="B644" s="289">
        <v>0</v>
      </c>
      <c r="C644" s="682" t="s">
        <v>339</v>
      </c>
      <c r="D644" s="290" t="s">
        <v>1081</v>
      </c>
      <c r="E644" s="289"/>
      <c r="F644" s="291">
        <v>0</v>
      </c>
      <c r="G644" s="292">
        <v>0</v>
      </c>
      <c r="H644" s="292">
        <f>'5.Tiên lượng'!X163</f>
        <v>1</v>
      </c>
      <c r="I644" s="292">
        <f>PRODUCT(F633,G644,H644)</f>
        <v>0</v>
      </c>
      <c r="J644" s="293">
        <v>0</v>
      </c>
      <c r="K644" s="294">
        <f t="shared" si="261"/>
        <v>0</v>
      </c>
      <c r="L644" s="294">
        <v>0</v>
      </c>
      <c r="M644" s="295">
        <f t="shared" si="262"/>
        <v>0</v>
      </c>
      <c r="N644" s="295">
        <v>0</v>
      </c>
      <c r="O644" s="295">
        <v>0</v>
      </c>
      <c r="P644" s="295">
        <v>0</v>
      </c>
      <c r="Q644" s="295">
        <f t="shared" si="263"/>
        <v>0</v>
      </c>
      <c r="R644" s="146">
        <v>0</v>
      </c>
    </row>
    <row r="645" spans="1:18" ht="27.6">
      <c r="A645" s="234"/>
      <c r="B645" s="256">
        <v>72</v>
      </c>
      <c r="C645" s="234" t="str">
        <f>'5.Tiên lượng'!C165</f>
        <v>AA.22121</v>
      </c>
      <c r="D645" s="257" t="str">
        <f>'5.Tiên lượng'!D165</f>
        <v>Phá dỡ kết cấu gạch đá bằng búa căn khí nén 3m3/ph</v>
      </c>
      <c r="E645" s="256" t="str">
        <f>'5.Tiên lượng'!E165</f>
        <v>m3</v>
      </c>
      <c r="F645" s="258">
        <f>'5.Tiên lượng'!M165</f>
        <v>8.4240000000000013</v>
      </c>
      <c r="G645" s="259">
        <v>0</v>
      </c>
      <c r="H645" s="259">
        <v>0</v>
      </c>
      <c r="I645" s="259">
        <v>0</v>
      </c>
      <c r="J645" s="279">
        <v>0</v>
      </c>
      <c r="K645" s="279">
        <v>0</v>
      </c>
      <c r="L645" s="279">
        <v>0</v>
      </c>
      <c r="M645" s="280">
        <v>0</v>
      </c>
      <c r="N645" s="280">
        <v>0</v>
      </c>
      <c r="O645" s="280">
        <v>0</v>
      </c>
      <c r="P645" s="280">
        <v>0</v>
      </c>
      <c r="Q645" s="280">
        <v>0</v>
      </c>
      <c r="R645" s="222">
        <v>0</v>
      </c>
    </row>
    <row r="646" spans="1:18">
      <c r="A646" s="240"/>
      <c r="B646" s="260">
        <v>0</v>
      </c>
      <c r="C646" s="261" t="s">
        <v>590</v>
      </c>
      <c r="D646" s="262" t="s">
        <v>265</v>
      </c>
      <c r="E646" s="260"/>
      <c r="F646" s="263">
        <v>0</v>
      </c>
      <c r="G646" s="264">
        <v>0</v>
      </c>
      <c r="H646" s="264"/>
      <c r="I646" s="264">
        <v>0</v>
      </c>
      <c r="J646" s="281">
        <v>0</v>
      </c>
      <c r="K646" s="281">
        <f>SUM(K647:K647)</f>
        <v>43711.8</v>
      </c>
      <c r="L646" s="281">
        <v>0</v>
      </c>
      <c r="M646" s="282">
        <f>SUM(M647:M647)</f>
        <v>45723.600000000006</v>
      </c>
      <c r="N646" s="282">
        <v>0</v>
      </c>
      <c r="O646" s="282">
        <v>0</v>
      </c>
      <c r="P646" s="282">
        <v>0</v>
      </c>
      <c r="Q646" s="282">
        <f>SUM(Q647:Q647)</f>
        <v>45723.600000000006</v>
      </c>
      <c r="R646" s="287">
        <v>0</v>
      </c>
    </row>
    <row r="647" spans="1:18">
      <c r="A647" s="246"/>
      <c r="B647" s="265">
        <v>0</v>
      </c>
      <c r="C647" s="680" t="s">
        <v>598</v>
      </c>
      <c r="D647" s="266" t="str">
        <f>" - "&amp;'Giá NC'!E5</f>
        <v xml:space="preserve"> - Nhân công bậc 3,0/7 - Nhóm 1</v>
      </c>
      <c r="E647" s="265" t="str">
        <f>'Giá NC'!F5</f>
        <v>công</v>
      </c>
      <c r="F647" s="267">
        <v>0</v>
      </c>
      <c r="G647" s="268">
        <v>0.2</v>
      </c>
      <c r="H647" s="268">
        <f>'5.Tiên lượng'!W165</f>
        <v>1</v>
      </c>
      <c r="I647" s="268">
        <f>PRODUCT(F645,G647,H647)</f>
        <v>1.6848000000000003</v>
      </c>
      <c r="J647" s="283">
        <f>'Giá NC'!G5</f>
        <v>218559</v>
      </c>
      <c r="K647" s="283">
        <f>PRODUCT(G647,H647,J647)</f>
        <v>43711.8</v>
      </c>
      <c r="L647" s="283">
        <f>'Giá NC'!H5</f>
        <v>228618</v>
      </c>
      <c r="M647" s="284">
        <f>PRODUCT(G647,H647,L647)</f>
        <v>45723.600000000006</v>
      </c>
      <c r="N647" s="284">
        <v>0</v>
      </c>
      <c r="O647" s="284">
        <v>0</v>
      </c>
      <c r="P647" s="284">
        <f>'Giá NC'!K5</f>
        <v>228618</v>
      </c>
      <c r="Q647" s="284">
        <f>PRODUCT(G647,H647,P647)</f>
        <v>45723.600000000006</v>
      </c>
      <c r="R647" s="287">
        <v>0</v>
      </c>
    </row>
    <row r="648" spans="1:18">
      <c r="A648" s="240"/>
      <c r="B648" s="260">
        <v>0</v>
      </c>
      <c r="C648" s="261" t="s">
        <v>590</v>
      </c>
      <c r="D648" s="262" t="s">
        <v>267</v>
      </c>
      <c r="E648" s="260"/>
      <c r="F648" s="263">
        <v>0</v>
      </c>
      <c r="G648" s="264">
        <v>0</v>
      </c>
      <c r="H648" s="264"/>
      <c r="I648" s="264">
        <v>0</v>
      </c>
      <c r="J648" s="281">
        <v>0</v>
      </c>
      <c r="K648" s="281">
        <f>SUM(K649:K651)</f>
        <v>86126.192666666509</v>
      </c>
      <c r="L648" s="281">
        <v>0</v>
      </c>
      <c r="M648" s="282">
        <f>SUM(M649:M651)</f>
        <v>96105.600000000006</v>
      </c>
      <c r="N648" s="282">
        <v>0</v>
      </c>
      <c r="O648" s="282">
        <v>0</v>
      </c>
      <c r="P648" s="282">
        <v>0</v>
      </c>
      <c r="Q648" s="282">
        <f>SUM(Q649:Q651)</f>
        <v>90038.426666666666</v>
      </c>
      <c r="R648" s="287">
        <v>0</v>
      </c>
    </row>
    <row r="649" spans="1:18">
      <c r="A649" s="246"/>
      <c r="B649" s="265">
        <v>0</v>
      </c>
      <c r="C649" s="680" t="s">
        <v>673</v>
      </c>
      <c r="D649" s="266" t="str">
        <f>" - "&amp;'Giá Máy'!E5</f>
        <v xml:space="preserve"> - Búa căn khí nén 3m3/ph</v>
      </c>
      <c r="E649" s="265" t="str">
        <f>'Giá Máy'!F5</f>
        <v>ca</v>
      </c>
      <c r="F649" s="267">
        <v>0</v>
      </c>
      <c r="G649" s="268">
        <v>0.15</v>
      </c>
      <c r="H649" s="268">
        <f>'5.Tiên lượng'!X165</f>
        <v>1</v>
      </c>
      <c r="I649" s="268">
        <f>PRODUCT(F645,G649,H649)</f>
        <v>1.2636000000000001</v>
      </c>
      <c r="J649" s="283">
        <f>'Giá Máy'!G5</f>
        <v>21146.666666666701</v>
      </c>
      <c r="K649" s="283">
        <f t="shared" ref="K649:K651" si="264">PRODUCT(G649,H649,J649)</f>
        <v>3172.000000000005</v>
      </c>
      <c r="L649" s="283">
        <f>'Giá Máy'!H5</f>
        <v>21147</v>
      </c>
      <c r="M649" s="284">
        <f t="shared" ref="M649:M651" si="265">PRODUCT(G649,H649,L649)</f>
        <v>3172.0499999999997</v>
      </c>
      <c r="N649" s="284">
        <v>0</v>
      </c>
      <c r="O649" s="284">
        <v>0</v>
      </c>
      <c r="P649" s="284">
        <f>'Giá Máy'!O5</f>
        <v>21146.666666666668</v>
      </c>
      <c r="Q649" s="284">
        <f t="shared" ref="Q649:Q651" si="266">PRODUCT(G649,H649,P649)</f>
        <v>3172</v>
      </c>
      <c r="R649" s="287">
        <v>0</v>
      </c>
    </row>
    <row r="650" spans="1:18">
      <c r="A650" s="251"/>
      <c r="B650" s="269">
        <v>0</v>
      </c>
      <c r="C650" s="681" t="s">
        <v>674</v>
      </c>
      <c r="D650" s="270" t="str">
        <f>" - "&amp;'Giá Máy'!E21</f>
        <v xml:space="preserve"> - Máy nén khí diezel 360m3/h</v>
      </c>
      <c r="E650" s="269" t="str">
        <f>'Giá Máy'!F21</f>
        <v>ca</v>
      </c>
      <c r="F650" s="271">
        <v>0</v>
      </c>
      <c r="G650" s="272">
        <v>7.4999999999999997E-2</v>
      </c>
      <c r="H650" s="272">
        <f>'5.Tiên lượng'!X165</f>
        <v>1</v>
      </c>
      <c r="I650" s="272">
        <f>PRODUCT(F645,G650,H650)</f>
        <v>0.63180000000000003</v>
      </c>
      <c r="J650" s="285">
        <f>'Giá Máy'!G21</f>
        <v>1106055.9022222201</v>
      </c>
      <c r="K650" s="285">
        <f t="shared" si="264"/>
        <v>82954.192666666509</v>
      </c>
      <c r="L650" s="285">
        <f>'Giá Máy'!H21</f>
        <v>1239114</v>
      </c>
      <c r="M650" s="286">
        <f t="shared" si="265"/>
        <v>92933.55</v>
      </c>
      <c r="N650" s="286">
        <v>0</v>
      </c>
      <c r="O650" s="286">
        <v>0</v>
      </c>
      <c r="P650" s="286">
        <f>'Giá Máy'!O21</f>
        <v>1158219.0222222223</v>
      </c>
      <c r="Q650" s="286">
        <f t="shared" si="266"/>
        <v>86866.426666666666</v>
      </c>
      <c r="R650" s="288">
        <v>0</v>
      </c>
    </row>
    <row r="651" spans="1:18">
      <c r="A651" s="229"/>
      <c r="B651" s="289">
        <v>0</v>
      </c>
      <c r="C651" s="682" t="s">
        <v>339</v>
      </c>
      <c r="D651" s="290" t="s">
        <v>1082</v>
      </c>
      <c r="E651" s="289"/>
      <c r="F651" s="291">
        <v>0</v>
      </c>
      <c r="G651" s="292">
        <v>0</v>
      </c>
      <c r="H651" s="292">
        <f>'5.Tiên lượng'!X165</f>
        <v>1</v>
      </c>
      <c r="I651" s="292">
        <f>PRODUCT(F645,G651,H651)</f>
        <v>0</v>
      </c>
      <c r="J651" s="293">
        <v>0</v>
      </c>
      <c r="K651" s="294">
        <f t="shared" si="264"/>
        <v>0</v>
      </c>
      <c r="L651" s="294">
        <v>0</v>
      </c>
      <c r="M651" s="295">
        <f t="shared" si="265"/>
        <v>0</v>
      </c>
      <c r="N651" s="295">
        <v>0</v>
      </c>
      <c r="O651" s="295">
        <v>0</v>
      </c>
      <c r="P651" s="295">
        <v>0</v>
      </c>
      <c r="Q651" s="295">
        <f t="shared" si="266"/>
        <v>0</v>
      </c>
      <c r="R651" s="146">
        <v>0</v>
      </c>
    </row>
    <row r="652" spans="1:18" ht="27.6">
      <c r="A652" s="234"/>
      <c r="B652" s="256">
        <v>73</v>
      </c>
      <c r="C652" s="234" t="str">
        <f>'5.Tiên lượng'!C169</f>
        <v>AB.25112</v>
      </c>
      <c r="D652" s="257" t="str">
        <f>'5.Tiên lượng'!D169</f>
        <v>Đào móng bằng máy đào 0,8m3, chiều rộng móng ≤6m - Cấp đất II</v>
      </c>
      <c r="E652" s="256" t="str">
        <f>'5.Tiên lượng'!E169</f>
        <v>100m3</v>
      </c>
      <c r="F652" s="258">
        <f>'5.Tiên lượng'!M169</f>
        <v>0.13830000000000001</v>
      </c>
      <c r="G652" s="259">
        <v>0</v>
      </c>
      <c r="H652" s="259">
        <v>0</v>
      </c>
      <c r="I652" s="259">
        <v>0</v>
      </c>
      <c r="J652" s="279">
        <v>0</v>
      </c>
      <c r="K652" s="279">
        <v>0</v>
      </c>
      <c r="L652" s="279">
        <v>0</v>
      </c>
      <c r="M652" s="280">
        <v>0</v>
      </c>
      <c r="N652" s="280">
        <v>0</v>
      </c>
      <c r="O652" s="280">
        <v>0</v>
      </c>
      <c r="P652" s="280">
        <v>0</v>
      </c>
      <c r="Q652" s="280">
        <v>0</v>
      </c>
      <c r="R652" s="222">
        <v>0</v>
      </c>
    </row>
    <row r="653" spans="1:18">
      <c r="A653" s="240"/>
      <c r="B653" s="260">
        <v>0</v>
      </c>
      <c r="C653" s="261" t="s">
        <v>590</v>
      </c>
      <c r="D653" s="262" t="s">
        <v>265</v>
      </c>
      <c r="E653" s="260"/>
      <c r="F653" s="263">
        <v>0</v>
      </c>
      <c r="G653" s="264">
        <v>0</v>
      </c>
      <c r="H653" s="264"/>
      <c r="I653" s="264">
        <v>0</v>
      </c>
      <c r="J653" s="281">
        <v>0</v>
      </c>
      <c r="K653" s="281">
        <f>SUM(K654:K654)</f>
        <v>830524.2</v>
      </c>
      <c r="L653" s="281">
        <v>0</v>
      </c>
      <c r="M653" s="282">
        <f>SUM(M654:M654)</f>
        <v>868748.39999999991</v>
      </c>
      <c r="N653" s="282">
        <v>0</v>
      </c>
      <c r="O653" s="282">
        <v>0</v>
      </c>
      <c r="P653" s="282">
        <v>0</v>
      </c>
      <c r="Q653" s="282">
        <f>SUM(Q654:Q654)</f>
        <v>868748.39999999991</v>
      </c>
      <c r="R653" s="287">
        <v>0</v>
      </c>
    </row>
    <row r="654" spans="1:18">
      <c r="A654" s="246"/>
      <c r="B654" s="265">
        <v>0</v>
      </c>
      <c r="C654" s="680" t="s">
        <v>598</v>
      </c>
      <c r="D654" s="266" t="str">
        <f>" - "&amp;'Giá NC'!E5</f>
        <v xml:space="preserve"> - Nhân công bậc 3,0/7 - Nhóm 1</v>
      </c>
      <c r="E654" s="265" t="str">
        <f>'Giá NC'!F5</f>
        <v>công</v>
      </c>
      <c r="F654" s="267">
        <v>0</v>
      </c>
      <c r="G654" s="268">
        <v>3.8</v>
      </c>
      <c r="H654" s="268">
        <f>'5.Tiên lượng'!W169</f>
        <v>1</v>
      </c>
      <c r="I654" s="268">
        <f>PRODUCT(F652,G654,H654)</f>
        <v>0.52554000000000001</v>
      </c>
      <c r="J654" s="283">
        <f>'Giá NC'!G5</f>
        <v>218559</v>
      </c>
      <c r="K654" s="283">
        <f>PRODUCT(G654,H654,J654)</f>
        <v>830524.2</v>
      </c>
      <c r="L654" s="283">
        <f>'Giá NC'!H5</f>
        <v>228618</v>
      </c>
      <c r="M654" s="284">
        <f>PRODUCT(G654,H654,L654)</f>
        <v>868748.39999999991</v>
      </c>
      <c r="N654" s="284">
        <v>0</v>
      </c>
      <c r="O654" s="284">
        <v>0</v>
      </c>
      <c r="P654" s="284">
        <f>'Giá NC'!K5</f>
        <v>228618</v>
      </c>
      <c r="Q654" s="284">
        <f>PRODUCT(G654,H654,P654)</f>
        <v>868748.39999999991</v>
      </c>
      <c r="R654" s="287">
        <v>0</v>
      </c>
    </row>
    <row r="655" spans="1:18">
      <c r="A655" s="240"/>
      <c r="B655" s="260">
        <v>0</v>
      </c>
      <c r="C655" s="261" t="s">
        <v>590</v>
      </c>
      <c r="D655" s="262" t="s">
        <v>267</v>
      </c>
      <c r="E655" s="260"/>
      <c r="F655" s="263">
        <v>0</v>
      </c>
      <c r="G655" s="264">
        <v>0</v>
      </c>
      <c r="H655" s="264"/>
      <c r="I655" s="264">
        <v>0</v>
      </c>
      <c r="J655" s="281">
        <v>0</v>
      </c>
      <c r="K655" s="281">
        <f>SUM(K656:K656)</f>
        <v>918780.19914000004</v>
      </c>
      <c r="L655" s="281">
        <v>0</v>
      </c>
      <c r="M655" s="282">
        <f>SUM(M656:M656)</f>
        <v>1010704.656</v>
      </c>
      <c r="N655" s="282">
        <v>0</v>
      </c>
      <c r="O655" s="282">
        <v>0</v>
      </c>
      <c r="P655" s="282">
        <v>0</v>
      </c>
      <c r="Q655" s="282">
        <f>SUM(Q656:Q656)</f>
        <v>946856.55690000008</v>
      </c>
      <c r="R655" s="287">
        <v>0</v>
      </c>
    </row>
    <row r="656" spans="1:18">
      <c r="A656" s="251"/>
      <c r="B656" s="269">
        <v>0</v>
      </c>
      <c r="C656" s="681" t="s">
        <v>675</v>
      </c>
      <c r="D656" s="270" t="str">
        <f>" - "&amp;'Giá Máy'!E13</f>
        <v xml:space="preserve"> - Máy đào 0,8m3</v>
      </c>
      <c r="E656" s="269" t="str">
        <f>'Giá Máy'!F13</f>
        <v>ca</v>
      </c>
      <c r="F656" s="271">
        <v>0</v>
      </c>
      <c r="G656" s="272">
        <v>0.372</v>
      </c>
      <c r="H656" s="272">
        <f>'5.Tiên lượng'!X169</f>
        <v>1</v>
      </c>
      <c r="I656" s="272">
        <f>PRODUCT(F652,G656,H656)</f>
        <v>5.1447600000000003E-2</v>
      </c>
      <c r="J656" s="285">
        <f>'Giá Máy'!G13</f>
        <v>2469839.2450000001</v>
      </c>
      <c r="K656" s="285">
        <f>PRODUCT(G656,H656,J656)</f>
        <v>918780.19914000004</v>
      </c>
      <c r="L656" s="285">
        <f>'Giá Máy'!H13</f>
        <v>2716948</v>
      </c>
      <c r="M656" s="286">
        <f>PRODUCT(G656,H656,L656)</f>
        <v>1010704.656</v>
      </c>
      <c r="N656" s="286">
        <v>0</v>
      </c>
      <c r="O656" s="286">
        <v>0</v>
      </c>
      <c r="P656" s="286">
        <f>'Giá Máy'!O13</f>
        <v>2545313.3250000002</v>
      </c>
      <c r="Q656" s="286">
        <f>PRODUCT(G656,H656,P656)</f>
        <v>946856.55690000008</v>
      </c>
      <c r="R656" s="288">
        <v>0</v>
      </c>
    </row>
    <row r="657" spans="1:18" ht="27.6">
      <c r="A657" s="234"/>
      <c r="B657" s="256">
        <v>74</v>
      </c>
      <c r="C657" s="234" t="str">
        <f>'5.Tiên lượng'!C171</f>
        <v>AB.25113</v>
      </c>
      <c r="D657" s="257" t="str">
        <f>'5.Tiên lượng'!D171</f>
        <v>Đào móng bằng máy đào 0,8m3, chiều rộng móng ≤6m - Cấp đất III</v>
      </c>
      <c r="E657" s="256" t="str">
        <f>'5.Tiên lượng'!E171</f>
        <v>100m3</v>
      </c>
      <c r="F657" s="258">
        <f>'5.Tiên lượng'!M171</f>
        <v>0.67</v>
      </c>
      <c r="G657" s="259">
        <v>0</v>
      </c>
      <c r="H657" s="259">
        <v>0</v>
      </c>
      <c r="I657" s="259">
        <v>0</v>
      </c>
      <c r="J657" s="279">
        <v>0</v>
      </c>
      <c r="K657" s="279">
        <v>0</v>
      </c>
      <c r="L657" s="279">
        <v>0</v>
      </c>
      <c r="M657" s="280">
        <v>0</v>
      </c>
      <c r="N657" s="280">
        <v>0</v>
      </c>
      <c r="O657" s="280">
        <v>0</v>
      </c>
      <c r="P657" s="280">
        <v>0</v>
      </c>
      <c r="Q657" s="280">
        <v>0</v>
      </c>
      <c r="R657" s="222">
        <v>0</v>
      </c>
    </row>
    <row r="658" spans="1:18">
      <c r="A658" s="240"/>
      <c r="B658" s="260">
        <v>0</v>
      </c>
      <c r="C658" s="261" t="s">
        <v>590</v>
      </c>
      <c r="D658" s="262" t="s">
        <v>265</v>
      </c>
      <c r="E658" s="260"/>
      <c r="F658" s="263">
        <v>0</v>
      </c>
      <c r="G658" s="264">
        <v>0</v>
      </c>
      <c r="H658" s="264"/>
      <c r="I658" s="264">
        <v>0</v>
      </c>
      <c r="J658" s="281">
        <v>0</v>
      </c>
      <c r="K658" s="281">
        <f>SUM(K659:K659)</f>
        <v>976958.73</v>
      </c>
      <c r="L658" s="281">
        <v>0</v>
      </c>
      <c r="M658" s="282">
        <f>SUM(M659:M659)</f>
        <v>1021922.46</v>
      </c>
      <c r="N658" s="282">
        <v>0</v>
      </c>
      <c r="O658" s="282">
        <v>0</v>
      </c>
      <c r="P658" s="282">
        <v>0</v>
      </c>
      <c r="Q658" s="282">
        <f>SUM(Q659:Q659)</f>
        <v>1021922.46</v>
      </c>
      <c r="R658" s="287">
        <v>0</v>
      </c>
    </row>
    <row r="659" spans="1:18">
      <c r="A659" s="246"/>
      <c r="B659" s="265">
        <v>0</v>
      </c>
      <c r="C659" s="680" t="s">
        <v>598</v>
      </c>
      <c r="D659" s="266" t="str">
        <f>" - "&amp;'Giá NC'!E5</f>
        <v xml:space="preserve"> - Nhân công bậc 3,0/7 - Nhóm 1</v>
      </c>
      <c r="E659" s="265" t="str">
        <f>'Giá NC'!F5</f>
        <v>công</v>
      </c>
      <c r="F659" s="267">
        <v>0</v>
      </c>
      <c r="G659" s="268">
        <v>4.47</v>
      </c>
      <c r="H659" s="268">
        <f>'5.Tiên lượng'!W171</f>
        <v>1</v>
      </c>
      <c r="I659" s="268">
        <f>PRODUCT(F657,G659,H659)</f>
        <v>2.9948999999999999</v>
      </c>
      <c r="J659" s="283">
        <f>'Giá NC'!G5</f>
        <v>218559</v>
      </c>
      <c r="K659" s="283">
        <f>PRODUCT(G659,H659,J659)</f>
        <v>976958.73</v>
      </c>
      <c r="L659" s="283">
        <f>'Giá NC'!H5</f>
        <v>228618</v>
      </c>
      <c r="M659" s="284">
        <f>PRODUCT(G659,H659,L659)</f>
        <v>1021922.46</v>
      </c>
      <c r="N659" s="284">
        <v>0</v>
      </c>
      <c r="O659" s="284">
        <v>0</v>
      </c>
      <c r="P659" s="284">
        <f>'Giá NC'!K5</f>
        <v>228618</v>
      </c>
      <c r="Q659" s="284">
        <f>PRODUCT(G659,H659,P659)</f>
        <v>1021922.46</v>
      </c>
      <c r="R659" s="287">
        <v>0</v>
      </c>
    </row>
    <row r="660" spans="1:18">
      <c r="A660" s="240"/>
      <c r="B660" s="260">
        <v>0</v>
      </c>
      <c r="C660" s="261" t="s">
        <v>590</v>
      </c>
      <c r="D660" s="262" t="s">
        <v>267</v>
      </c>
      <c r="E660" s="260"/>
      <c r="F660" s="263">
        <v>0</v>
      </c>
      <c r="G660" s="264">
        <v>0</v>
      </c>
      <c r="H660" s="264"/>
      <c r="I660" s="264">
        <v>0</v>
      </c>
      <c r="J660" s="281">
        <v>0</v>
      </c>
      <c r="K660" s="281">
        <f>SUM(K661:K661)</f>
        <v>1284316.4074000001</v>
      </c>
      <c r="L660" s="281">
        <v>0</v>
      </c>
      <c r="M660" s="282">
        <f>SUM(M661:M661)</f>
        <v>1412812.96</v>
      </c>
      <c r="N660" s="282">
        <v>0</v>
      </c>
      <c r="O660" s="282">
        <v>0</v>
      </c>
      <c r="P660" s="282">
        <v>0</v>
      </c>
      <c r="Q660" s="282">
        <f>SUM(Q661:Q661)</f>
        <v>1323562.9290000002</v>
      </c>
      <c r="R660" s="287">
        <v>0</v>
      </c>
    </row>
    <row r="661" spans="1:18">
      <c r="A661" s="251"/>
      <c r="B661" s="269">
        <v>0</v>
      </c>
      <c r="C661" s="681" t="s">
        <v>675</v>
      </c>
      <c r="D661" s="270" t="str">
        <f>" - "&amp;'Giá Máy'!E13</f>
        <v xml:space="preserve"> - Máy đào 0,8m3</v>
      </c>
      <c r="E661" s="269" t="str">
        <f>'Giá Máy'!F13</f>
        <v>ca</v>
      </c>
      <c r="F661" s="271">
        <v>0</v>
      </c>
      <c r="G661" s="272">
        <v>0.52</v>
      </c>
      <c r="H661" s="272">
        <f>'5.Tiên lượng'!X171</f>
        <v>1</v>
      </c>
      <c r="I661" s="272">
        <f>PRODUCT(F657,G661,H661)</f>
        <v>0.34840000000000004</v>
      </c>
      <c r="J661" s="285">
        <f>'Giá Máy'!G13</f>
        <v>2469839.2450000001</v>
      </c>
      <c r="K661" s="285">
        <f>PRODUCT(G661,H661,J661)</f>
        <v>1284316.4074000001</v>
      </c>
      <c r="L661" s="285">
        <f>'Giá Máy'!H13</f>
        <v>2716948</v>
      </c>
      <c r="M661" s="286">
        <f>PRODUCT(G661,H661,L661)</f>
        <v>1412812.96</v>
      </c>
      <c r="N661" s="286">
        <v>0</v>
      </c>
      <c r="O661" s="286">
        <v>0</v>
      </c>
      <c r="P661" s="286">
        <f>'Giá Máy'!O13</f>
        <v>2545313.3250000002</v>
      </c>
      <c r="Q661" s="286">
        <f>PRODUCT(G661,H661,P661)</f>
        <v>1323562.9290000002</v>
      </c>
      <c r="R661" s="288">
        <v>0</v>
      </c>
    </row>
    <row r="662" spans="1:18" ht="27.6">
      <c r="A662" s="234"/>
      <c r="B662" s="256">
        <v>75</v>
      </c>
      <c r="C662" s="234" t="str">
        <f>'5.Tiên lượng'!C173</f>
        <v>AB.25114</v>
      </c>
      <c r="D662" s="257" t="str">
        <f>'5.Tiên lượng'!D173</f>
        <v>Đào móng bằng máy đào 0,8m3, chiều rộng móng ≤6m - Cấp đất IV</v>
      </c>
      <c r="E662" s="256" t="str">
        <f>'5.Tiên lượng'!E173</f>
        <v>100m3</v>
      </c>
      <c r="F662" s="258">
        <f>'5.Tiên lượng'!M173</f>
        <v>4.8999999999999998E-3</v>
      </c>
      <c r="G662" s="259">
        <v>0</v>
      </c>
      <c r="H662" s="259">
        <v>0</v>
      </c>
      <c r="I662" s="259">
        <v>0</v>
      </c>
      <c r="J662" s="279">
        <v>0</v>
      </c>
      <c r="K662" s="279">
        <v>0</v>
      </c>
      <c r="L662" s="279">
        <v>0</v>
      </c>
      <c r="M662" s="280">
        <v>0</v>
      </c>
      <c r="N662" s="280">
        <v>0</v>
      </c>
      <c r="O662" s="280">
        <v>0</v>
      </c>
      <c r="P662" s="280">
        <v>0</v>
      </c>
      <c r="Q662" s="280">
        <v>0</v>
      </c>
      <c r="R662" s="222">
        <v>0</v>
      </c>
    </row>
    <row r="663" spans="1:18">
      <c r="A663" s="240"/>
      <c r="B663" s="260">
        <v>0</v>
      </c>
      <c r="C663" s="261" t="s">
        <v>590</v>
      </c>
      <c r="D663" s="262" t="s">
        <v>265</v>
      </c>
      <c r="E663" s="260"/>
      <c r="F663" s="263">
        <v>0</v>
      </c>
      <c r="G663" s="264">
        <v>0</v>
      </c>
      <c r="H663" s="264"/>
      <c r="I663" s="264">
        <v>0</v>
      </c>
      <c r="J663" s="281">
        <v>0</v>
      </c>
      <c r="K663" s="281">
        <f>SUM(K664:K664)</f>
        <v>1084052.6399999999</v>
      </c>
      <c r="L663" s="281">
        <v>0</v>
      </c>
      <c r="M663" s="282">
        <f>SUM(M664:M664)</f>
        <v>1133945.28</v>
      </c>
      <c r="N663" s="282">
        <v>0</v>
      </c>
      <c r="O663" s="282">
        <v>0</v>
      </c>
      <c r="P663" s="282">
        <v>0</v>
      </c>
      <c r="Q663" s="282">
        <f>SUM(Q664:Q664)</f>
        <v>1133945.28</v>
      </c>
      <c r="R663" s="287">
        <v>0</v>
      </c>
    </row>
    <row r="664" spans="1:18">
      <c r="A664" s="246"/>
      <c r="B664" s="265">
        <v>0</v>
      </c>
      <c r="C664" s="680" t="s">
        <v>598</v>
      </c>
      <c r="D664" s="266" t="str">
        <f>" - "&amp;'Giá NC'!E5</f>
        <v xml:space="preserve"> - Nhân công bậc 3,0/7 - Nhóm 1</v>
      </c>
      <c r="E664" s="265" t="str">
        <f>'Giá NC'!F5</f>
        <v>công</v>
      </c>
      <c r="F664" s="267">
        <v>0</v>
      </c>
      <c r="G664" s="268">
        <v>4.96</v>
      </c>
      <c r="H664" s="268">
        <f>'5.Tiên lượng'!W173</f>
        <v>1</v>
      </c>
      <c r="I664" s="268">
        <f>PRODUCT(F662,G664,H664)</f>
        <v>2.4303999999999999E-2</v>
      </c>
      <c r="J664" s="283">
        <f>'Giá NC'!G5</f>
        <v>218559</v>
      </c>
      <c r="K664" s="283">
        <f>PRODUCT(G664,H664,J664)</f>
        <v>1084052.6399999999</v>
      </c>
      <c r="L664" s="283">
        <f>'Giá NC'!H5</f>
        <v>228618</v>
      </c>
      <c r="M664" s="284">
        <f>PRODUCT(G664,H664,L664)</f>
        <v>1133945.28</v>
      </c>
      <c r="N664" s="284">
        <v>0</v>
      </c>
      <c r="O664" s="284">
        <v>0</v>
      </c>
      <c r="P664" s="284">
        <f>'Giá NC'!K5</f>
        <v>228618</v>
      </c>
      <c r="Q664" s="284">
        <f>PRODUCT(G664,H664,P664)</f>
        <v>1133945.28</v>
      </c>
      <c r="R664" s="287">
        <v>0</v>
      </c>
    </row>
    <row r="665" spans="1:18">
      <c r="A665" s="240"/>
      <c r="B665" s="260">
        <v>0</v>
      </c>
      <c r="C665" s="261" t="s">
        <v>590</v>
      </c>
      <c r="D665" s="262" t="s">
        <v>267</v>
      </c>
      <c r="E665" s="260"/>
      <c r="F665" s="263">
        <v>0</v>
      </c>
      <c r="G665" s="264">
        <v>0</v>
      </c>
      <c r="H665" s="264"/>
      <c r="I665" s="264">
        <v>0</v>
      </c>
      <c r="J665" s="281">
        <v>0</v>
      </c>
      <c r="K665" s="281">
        <f>SUM(K666:K666)</f>
        <v>1489313.064735</v>
      </c>
      <c r="L665" s="281">
        <v>0</v>
      </c>
      <c r="M665" s="282">
        <f>SUM(M666:M666)</f>
        <v>1638319.6439999999</v>
      </c>
      <c r="N665" s="282">
        <v>0</v>
      </c>
      <c r="O665" s="282">
        <v>0</v>
      </c>
      <c r="P665" s="282">
        <v>0</v>
      </c>
      <c r="Q665" s="282">
        <f>SUM(Q666:Q666)</f>
        <v>1534823.9349750001</v>
      </c>
      <c r="R665" s="287">
        <v>0</v>
      </c>
    </row>
    <row r="666" spans="1:18">
      <c r="A666" s="251"/>
      <c r="B666" s="269">
        <v>0</v>
      </c>
      <c r="C666" s="681" t="s">
        <v>675</v>
      </c>
      <c r="D666" s="270" t="str">
        <f>" - "&amp;'Giá Máy'!E13</f>
        <v xml:space="preserve"> - Máy đào 0,8m3</v>
      </c>
      <c r="E666" s="269" t="str">
        <f>'Giá Máy'!F13</f>
        <v>ca</v>
      </c>
      <c r="F666" s="271">
        <v>0</v>
      </c>
      <c r="G666" s="272">
        <v>0.60299999999999998</v>
      </c>
      <c r="H666" s="272">
        <f>'5.Tiên lượng'!X173</f>
        <v>1</v>
      </c>
      <c r="I666" s="272">
        <f>PRODUCT(F662,G666,H666)</f>
        <v>2.9546999999999998E-3</v>
      </c>
      <c r="J666" s="285">
        <f>'Giá Máy'!G13</f>
        <v>2469839.2450000001</v>
      </c>
      <c r="K666" s="285">
        <f>PRODUCT(G666,H666,J666)</f>
        <v>1489313.064735</v>
      </c>
      <c r="L666" s="285">
        <f>'Giá Máy'!H13</f>
        <v>2716948</v>
      </c>
      <c r="M666" s="286">
        <f>PRODUCT(G666,H666,L666)</f>
        <v>1638319.6439999999</v>
      </c>
      <c r="N666" s="286">
        <v>0</v>
      </c>
      <c r="O666" s="286">
        <v>0</v>
      </c>
      <c r="P666" s="286">
        <f>'Giá Máy'!O13</f>
        <v>2545313.3250000002</v>
      </c>
      <c r="Q666" s="286">
        <f>PRODUCT(G666,H666,P666)</f>
        <v>1534823.9349750001</v>
      </c>
      <c r="R666" s="288">
        <v>0</v>
      </c>
    </row>
    <row r="667" spans="1:18" ht="27.6">
      <c r="A667" s="234"/>
      <c r="B667" s="256">
        <v>76</v>
      </c>
      <c r="C667" s="234" t="str">
        <f>'5.Tiên lượng'!C175</f>
        <v>AB.65130</v>
      </c>
      <c r="D667" s="257" t="str">
        <f>'5.Tiên lượng'!D175</f>
        <v>Đắp đất bằng đầm đất cầm tay 70kg, độ chặt Y/C K = 0,95</v>
      </c>
      <c r="E667" s="256" t="str">
        <f>'5.Tiên lượng'!E175</f>
        <v>100m3</v>
      </c>
      <c r="F667" s="258">
        <f>'5.Tiên lượng'!M175</f>
        <v>0.31850000000000001</v>
      </c>
      <c r="G667" s="259">
        <v>0</v>
      </c>
      <c r="H667" s="259">
        <v>0</v>
      </c>
      <c r="I667" s="259">
        <v>0</v>
      </c>
      <c r="J667" s="279">
        <v>0</v>
      </c>
      <c r="K667" s="279">
        <v>0</v>
      </c>
      <c r="L667" s="279">
        <v>0</v>
      </c>
      <c r="M667" s="280">
        <v>0</v>
      </c>
      <c r="N667" s="280">
        <v>0</v>
      </c>
      <c r="O667" s="280">
        <v>0</v>
      </c>
      <c r="P667" s="280">
        <v>0</v>
      </c>
      <c r="Q667" s="280">
        <v>0</v>
      </c>
      <c r="R667" s="222">
        <v>0</v>
      </c>
    </row>
    <row r="668" spans="1:18">
      <c r="A668" s="240"/>
      <c r="B668" s="260">
        <v>0</v>
      </c>
      <c r="C668" s="261" t="s">
        <v>590</v>
      </c>
      <c r="D668" s="262" t="s">
        <v>265</v>
      </c>
      <c r="E668" s="260"/>
      <c r="F668" s="263">
        <v>0</v>
      </c>
      <c r="G668" s="264">
        <v>0</v>
      </c>
      <c r="H668" s="264"/>
      <c r="I668" s="264">
        <v>0</v>
      </c>
      <c r="J668" s="281">
        <v>0</v>
      </c>
      <c r="K668" s="281">
        <f>SUM(K669:K669)</f>
        <v>1558325.67</v>
      </c>
      <c r="L668" s="281">
        <v>0</v>
      </c>
      <c r="M668" s="282">
        <f>SUM(M669:M669)</f>
        <v>1630046.34</v>
      </c>
      <c r="N668" s="282">
        <v>0</v>
      </c>
      <c r="O668" s="282">
        <v>0</v>
      </c>
      <c r="P668" s="282">
        <v>0</v>
      </c>
      <c r="Q668" s="282">
        <f>SUM(Q669:Q669)</f>
        <v>1630046.34</v>
      </c>
      <c r="R668" s="287">
        <v>0</v>
      </c>
    </row>
    <row r="669" spans="1:18">
      <c r="A669" s="246"/>
      <c r="B669" s="265">
        <v>0</v>
      </c>
      <c r="C669" s="680" t="s">
        <v>598</v>
      </c>
      <c r="D669" s="266" t="str">
        <f>" - "&amp;'Giá NC'!E5</f>
        <v xml:space="preserve"> - Nhân công bậc 3,0/7 - Nhóm 1</v>
      </c>
      <c r="E669" s="265" t="str">
        <f>'Giá NC'!F5</f>
        <v>công</v>
      </c>
      <c r="F669" s="267">
        <v>0</v>
      </c>
      <c r="G669" s="268">
        <v>7.13</v>
      </c>
      <c r="H669" s="268">
        <f>'5.Tiên lượng'!W175</f>
        <v>1</v>
      </c>
      <c r="I669" s="268">
        <f>PRODUCT(F667,G669,H669)</f>
        <v>2.270905</v>
      </c>
      <c r="J669" s="283">
        <f>'Giá NC'!G5</f>
        <v>218559</v>
      </c>
      <c r="K669" s="283">
        <f>PRODUCT(G669,H669,J669)</f>
        <v>1558325.67</v>
      </c>
      <c r="L669" s="283">
        <f>'Giá NC'!H5</f>
        <v>228618</v>
      </c>
      <c r="M669" s="284">
        <f>PRODUCT(G669,H669,L669)</f>
        <v>1630046.34</v>
      </c>
      <c r="N669" s="284">
        <v>0</v>
      </c>
      <c r="O669" s="284">
        <v>0</v>
      </c>
      <c r="P669" s="284">
        <f>'Giá NC'!K5</f>
        <v>228618</v>
      </c>
      <c r="Q669" s="284">
        <f>PRODUCT(G669,H669,P669)</f>
        <v>1630046.34</v>
      </c>
      <c r="R669" s="287">
        <v>0</v>
      </c>
    </row>
    <row r="670" spans="1:18">
      <c r="A670" s="240"/>
      <c r="B670" s="260">
        <v>0</v>
      </c>
      <c r="C670" s="261" t="s">
        <v>590</v>
      </c>
      <c r="D670" s="262" t="s">
        <v>267</v>
      </c>
      <c r="E670" s="260"/>
      <c r="F670" s="263">
        <v>0</v>
      </c>
      <c r="G670" s="264">
        <v>0</v>
      </c>
      <c r="H670" s="264"/>
      <c r="I670" s="264">
        <v>0</v>
      </c>
      <c r="J670" s="281">
        <v>0</v>
      </c>
      <c r="K670" s="281">
        <f>SUM(K671:K672)</f>
        <v>1566501.3444239998</v>
      </c>
      <c r="L670" s="281">
        <v>0</v>
      </c>
      <c r="M670" s="282">
        <f>SUM(M671:M672)</f>
        <v>1586866.7879999999</v>
      </c>
      <c r="N670" s="282">
        <v>0</v>
      </c>
      <c r="O670" s="282">
        <v>0</v>
      </c>
      <c r="P670" s="282">
        <v>0</v>
      </c>
      <c r="Q670" s="282">
        <f>SUM(Q671:Q672)</f>
        <v>1663581.13524</v>
      </c>
      <c r="R670" s="287">
        <v>0</v>
      </c>
    </row>
    <row r="671" spans="1:18">
      <c r="A671" s="251"/>
      <c r="B671" s="269">
        <v>0</v>
      </c>
      <c r="C671" s="681" t="s">
        <v>676</v>
      </c>
      <c r="D671" s="270" t="str">
        <f>" - "&amp;'Giá Máy'!E11</f>
        <v xml:space="preserve"> - Máy đầm đất cầm tay 70kg</v>
      </c>
      <c r="E671" s="269" t="str">
        <f>'Giá Máy'!F11</f>
        <v>ca</v>
      </c>
      <c r="F671" s="271">
        <v>0</v>
      </c>
      <c r="G671" s="272">
        <v>4.4279999999999999</v>
      </c>
      <c r="H671" s="272">
        <f>'5.Tiên lượng'!X175</f>
        <v>1</v>
      </c>
      <c r="I671" s="272">
        <f>PRODUCT(F667,G671,H671)</f>
        <v>1.410318</v>
      </c>
      <c r="J671" s="285">
        <f>'Giá Máy'!G11</f>
        <v>353771.75799999997</v>
      </c>
      <c r="K671" s="285">
        <f t="shared" ref="K671:K672" si="267">PRODUCT(G671,H671,J671)</f>
        <v>1566501.3444239998</v>
      </c>
      <c r="L671" s="285">
        <f>'Giá Máy'!H11</f>
        <v>358371</v>
      </c>
      <c r="M671" s="286">
        <f t="shared" ref="M671:M672" si="268">PRODUCT(G671,H671,L671)</f>
        <v>1586866.7879999999</v>
      </c>
      <c r="N671" s="286">
        <v>0</v>
      </c>
      <c r="O671" s="286">
        <v>0</v>
      </c>
      <c r="P671" s="286">
        <f>'Giá Máy'!O11</f>
        <v>375695.83</v>
      </c>
      <c r="Q671" s="286">
        <f t="shared" ref="Q671:Q672" si="269">PRODUCT(G671,H671,P671)</f>
        <v>1663581.13524</v>
      </c>
      <c r="R671" s="288">
        <v>0</v>
      </c>
    </row>
    <row r="672" spans="1:18">
      <c r="A672" s="229"/>
      <c r="B672" s="289">
        <v>0</v>
      </c>
      <c r="C672" s="682" t="s">
        <v>339</v>
      </c>
      <c r="D672" s="290" t="s">
        <v>1083</v>
      </c>
      <c r="E672" s="289"/>
      <c r="F672" s="291">
        <v>0</v>
      </c>
      <c r="G672" s="292">
        <v>0</v>
      </c>
      <c r="H672" s="292">
        <f>'5.Tiên lượng'!X175</f>
        <v>1</v>
      </c>
      <c r="I672" s="292">
        <f>PRODUCT(F667,G672,H672)</f>
        <v>0</v>
      </c>
      <c r="J672" s="293">
        <v>0</v>
      </c>
      <c r="K672" s="294">
        <f t="shared" si="267"/>
        <v>0</v>
      </c>
      <c r="L672" s="294">
        <v>0</v>
      </c>
      <c r="M672" s="295">
        <f t="shared" si="268"/>
        <v>0</v>
      </c>
      <c r="N672" s="295">
        <v>0</v>
      </c>
      <c r="O672" s="295">
        <v>0</v>
      </c>
      <c r="P672" s="295">
        <v>0</v>
      </c>
      <c r="Q672" s="295">
        <f t="shared" si="269"/>
        <v>0</v>
      </c>
      <c r="R672" s="146">
        <v>0</v>
      </c>
    </row>
    <row r="673" spans="1:18">
      <c r="A673" s="234"/>
      <c r="B673" s="256">
        <v>77</v>
      </c>
      <c r="C673" s="234" t="str">
        <f>'5.Tiên lượng'!C178</f>
        <v>AE.12314</v>
      </c>
      <c r="D673" s="257" t="str">
        <f>'5.Tiên lượng'!D178</f>
        <v>Xây cống, vữa XM M100, PCB40</v>
      </c>
      <c r="E673" s="256" t="str">
        <f>'5.Tiên lượng'!E178</f>
        <v>m3</v>
      </c>
      <c r="F673" s="258">
        <f>'5.Tiên lượng'!M178</f>
        <v>41.57</v>
      </c>
      <c r="G673" s="259">
        <v>0</v>
      </c>
      <c r="H673" s="259">
        <v>0</v>
      </c>
      <c r="I673" s="259">
        <v>0</v>
      </c>
      <c r="J673" s="279">
        <v>0</v>
      </c>
      <c r="K673" s="279">
        <v>0</v>
      </c>
      <c r="L673" s="279">
        <v>0</v>
      </c>
      <c r="M673" s="280">
        <v>0</v>
      </c>
      <c r="N673" s="280">
        <v>0</v>
      </c>
      <c r="O673" s="280">
        <v>0</v>
      </c>
      <c r="P673" s="280">
        <v>0</v>
      </c>
      <c r="Q673" s="280">
        <v>0</v>
      </c>
      <c r="R673" s="222">
        <v>0</v>
      </c>
    </row>
    <row r="674" spans="1:18">
      <c r="A674" s="240"/>
      <c r="B674" s="260">
        <v>0</v>
      </c>
      <c r="C674" s="261" t="s">
        <v>590</v>
      </c>
      <c r="D674" s="262" t="s">
        <v>262</v>
      </c>
      <c r="E674" s="260"/>
      <c r="F674" s="263">
        <v>0</v>
      </c>
      <c r="G674" s="264">
        <v>0</v>
      </c>
      <c r="H674" s="264"/>
      <c r="I674" s="264">
        <v>0</v>
      </c>
      <c r="J674" s="281">
        <v>0</v>
      </c>
      <c r="K674" s="281">
        <f>SUM(K675:K680)</f>
        <v>655227.09000000008</v>
      </c>
      <c r="L674" s="281">
        <v>0</v>
      </c>
      <c r="M674" s="282">
        <f>SUM(M675:M680)</f>
        <v>834808.59000000008</v>
      </c>
      <c r="N674" s="282">
        <v>0</v>
      </c>
      <c r="O674" s="282">
        <v>0</v>
      </c>
      <c r="P674" s="282">
        <v>0</v>
      </c>
      <c r="Q674" s="282">
        <f>SUM(Q675:Q680)</f>
        <v>981057.91544799274</v>
      </c>
      <c r="R674" s="287">
        <v>0</v>
      </c>
    </row>
    <row r="675" spans="1:18">
      <c r="A675" s="246"/>
      <c r="B675" s="265">
        <v>0</v>
      </c>
      <c r="C675" s="680" t="s">
        <v>671</v>
      </c>
      <c r="D675" s="266" t="str">
        <f>" - "&amp;'Giá VL'!E22</f>
        <v xml:space="preserve"> - Đá hộc</v>
      </c>
      <c r="E675" s="265" t="str">
        <f>'Giá VL'!F22</f>
        <v>m3</v>
      </c>
      <c r="F675" s="267">
        <v>0</v>
      </c>
      <c r="G675" s="268">
        <v>1.2</v>
      </c>
      <c r="H675" s="268">
        <f>'5.Tiên lượng'!V178</f>
        <v>1</v>
      </c>
      <c r="I675" s="268">
        <f>PRODUCT(F673,G675,H675)</f>
        <v>49.884</v>
      </c>
      <c r="J675" s="283">
        <f>'Giá VL'!G22</f>
        <v>130000</v>
      </c>
      <c r="K675" s="283">
        <f t="shared" ref="K675:K680" si="270">PRODUCT(G675,H675,J675)</f>
        <v>156000</v>
      </c>
      <c r="L675" s="283">
        <f>'Giá VL'!J22</f>
        <v>240000</v>
      </c>
      <c r="M675" s="284">
        <f t="shared" ref="M675:M680" si="271">PRODUCT(G675,H675,L675)</f>
        <v>288000</v>
      </c>
      <c r="N675" s="284">
        <v>0</v>
      </c>
      <c r="O675" s="284">
        <v>0</v>
      </c>
      <c r="P675" s="284">
        <f>'Giá VL'!V22</f>
        <v>306636.9934461856</v>
      </c>
      <c r="Q675" s="284">
        <f t="shared" ref="Q675:Q680" si="272">PRODUCT(G675,H675,P675)</f>
        <v>367964.39213542274</v>
      </c>
      <c r="R675" s="287">
        <v>5</v>
      </c>
    </row>
    <row r="676" spans="1:18">
      <c r="A676" s="246"/>
      <c r="B676" s="265">
        <v>0</v>
      </c>
      <c r="C676" s="680" t="s">
        <v>672</v>
      </c>
      <c r="D676" s="266" t="str">
        <f>" - "&amp;'Giá VL'!E21</f>
        <v xml:space="preserve"> - Đá dăm</v>
      </c>
      <c r="E676" s="265" t="str">
        <f>'Giá VL'!F21</f>
        <v>m3</v>
      </c>
      <c r="F676" s="267">
        <v>0</v>
      </c>
      <c r="G676" s="268">
        <v>5.7000000000000002E-2</v>
      </c>
      <c r="H676" s="268">
        <f>'5.Tiên lượng'!V178</f>
        <v>1</v>
      </c>
      <c r="I676" s="268">
        <f>PRODUCT(F673,G676,H676)</f>
        <v>2.3694900000000003</v>
      </c>
      <c r="J676" s="283">
        <f>'Giá VL'!G21</f>
        <v>150000</v>
      </c>
      <c r="K676" s="283">
        <f t="shared" si="270"/>
        <v>8550</v>
      </c>
      <c r="L676" s="283">
        <f>'Giá VL'!J21</f>
        <v>260000</v>
      </c>
      <c r="M676" s="284">
        <f t="shared" si="271"/>
        <v>14820</v>
      </c>
      <c r="N676" s="284">
        <v>0</v>
      </c>
      <c r="O676" s="284">
        <v>0</v>
      </c>
      <c r="P676" s="284">
        <f>'Giá VL'!V21</f>
        <v>330458.0547558713</v>
      </c>
      <c r="Q676" s="284">
        <f t="shared" si="272"/>
        <v>18836.109121084664</v>
      </c>
      <c r="R676" s="287">
        <v>5</v>
      </c>
    </row>
    <row r="677" spans="1:18">
      <c r="A677" s="246"/>
      <c r="B677" s="265">
        <v>0</v>
      </c>
      <c r="C677" s="680" t="s">
        <v>614</v>
      </c>
      <c r="D677" s="266" t="str">
        <f>" - "&amp;'Giá VL'!E45</f>
        <v xml:space="preserve"> - Xi măng PCB40</v>
      </c>
      <c r="E677" s="265" t="str">
        <f>'Giá VL'!F45</f>
        <v>kg</v>
      </c>
      <c r="F677" s="267">
        <v>0</v>
      </c>
      <c r="G677" s="268">
        <v>131.04</v>
      </c>
      <c r="H677" s="268">
        <f>'5.Tiên lượng'!V178</f>
        <v>1</v>
      </c>
      <c r="I677" s="268">
        <f>PRODUCT(F673,G677,H677)</f>
        <v>5447.3328000000001</v>
      </c>
      <c r="J677" s="283">
        <f>'Giá VL'!G45</f>
        <v>1350</v>
      </c>
      <c r="K677" s="283">
        <f t="shared" si="270"/>
        <v>176904</v>
      </c>
      <c r="L677" s="283">
        <f>'Giá VL'!J45</f>
        <v>1600</v>
      </c>
      <c r="M677" s="284">
        <f t="shared" si="271"/>
        <v>209664</v>
      </c>
      <c r="N677" s="284">
        <v>0</v>
      </c>
      <c r="O677" s="284">
        <v>0</v>
      </c>
      <c r="P677" s="284">
        <f>'Giá VL'!V45</f>
        <v>1730</v>
      </c>
      <c r="Q677" s="284">
        <f t="shared" si="272"/>
        <v>226699.19999999998</v>
      </c>
      <c r="R677" s="287">
        <v>5</v>
      </c>
    </row>
    <row r="678" spans="1:18">
      <c r="A678" s="246"/>
      <c r="B678" s="265">
        <v>0</v>
      </c>
      <c r="C678" s="680" t="s">
        <v>615</v>
      </c>
      <c r="D678" s="266" t="str">
        <f>" - "&amp;'Giá VL'!E17</f>
        <v xml:space="preserve"> - Cát vàng</v>
      </c>
      <c r="E678" s="265" t="str">
        <f>'Giá VL'!F17</f>
        <v>m3</v>
      </c>
      <c r="F678" s="267">
        <v>0</v>
      </c>
      <c r="G678" s="268">
        <v>0.48426000000000002</v>
      </c>
      <c r="H678" s="268">
        <f>'5.Tiên lượng'!V178</f>
        <v>1</v>
      </c>
      <c r="I678" s="268">
        <f>PRODUCT(F673,G678,H678)</f>
        <v>20.130688200000002</v>
      </c>
      <c r="J678" s="283">
        <f>'Giá VL'!G17</f>
        <v>580000</v>
      </c>
      <c r="K678" s="283">
        <f t="shared" si="270"/>
        <v>280870.8</v>
      </c>
      <c r="L678" s="283">
        <f>'Giá VL'!J17</f>
        <v>580000</v>
      </c>
      <c r="M678" s="284">
        <f t="shared" si="271"/>
        <v>280870.8</v>
      </c>
      <c r="N678" s="284">
        <v>0</v>
      </c>
      <c r="O678" s="284">
        <v>0</v>
      </c>
      <c r="P678" s="284">
        <f>'Giá VL'!V17</f>
        <v>659026.49526849983</v>
      </c>
      <c r="Q678" s="284">
        <f t="shared" si="272"/>
        <v>319140.17059872375</v>
      </c>
      <c r="R678" s="287">
        <v>5</v>
      </c>
    </row>
    <row r="679" spans="1:18">
      <c r="A679" s="246"/>
      <c r="B679" s="265">
        <v>0</v>
      </c>
      <c r="C679" s="680" t="s">
        <v>617</v>
      </c>
      <c r="D679" s="266" t="str">
        <f>" - "&amp;'Giá VL'!E33</f>
        <v xml:space="preserve"> - Nước</v>
      </c>
      <c r="E679" s="265" t="str">
        <f>'Giá VL'!F33</f>
        <v>lít</v>
      </c>
      <c r="F679" s="267">
        <v>0</v>
      </c>
      <c r="G679" s="268">
        <v>113.4</v>
      </c>
      <c r="H679" s="268">
        <f>'5.Tiên lượng'!V178</f>
        <v>1</v>
      </c>
      <c r="I679" s="268">
        <f>PRODUCT(F673,G679,H679)</f>
        <v>4714.0380000000005</v>
      </c>
      <c r="J679" s="283">
        <f>'Giá VL'!G33</f>
        <v>15</v>
      </c>
      <c r="K679" s="283">
        <f t="shared" si="270"/>
        <v>1701</v>
      </c>
      <c r="L679" s="283">
        <f>'Giá VL'!J33</f>
        <v>15</v>
      </c>
      <c r="M679" s="284">
        <f t="shared" si="271"/>
        <v>1701</v>
      </c>
      <c r="N679" s="284">
        <v>0</v>
      </c>
      <c r="O679" s="284">
        <v>0</v>
      </c>
      <c r="P679" s="284">
        <f>'Giá VL'!V33</f>
        <v>15</v>
      </c>
      <c r="Q679" s="284">
        <f t="shared" si="272"/>
        <v>1701</v>
      </c>
      <c r="R679" s="287">
        <v>5</v>
      </c>
    </row>
    <row r="680" spans="1:18">
      <c r="A680" s="246"/>
      <c r="B680" s="265">
        <v>0</v>
      </c>
      <c r="C680" s="680" t="s">
        <v>620</v>
      </c>
      <c r="D680" s="266" t="s">
        <v>621</v>
      </c>
      <c r="E680" s="265" t="s">
        <v>37</v>
      </c>
      <c r="F680" s="267">
        <v>0</v>
      </c>
      <c r="G680" s="268">
        <f>AVERAGE(R675:R679)</f>
        <v>5</v>
      </c>
      <c r="H680" s="268">
        <f>'5.Tiên lượng'!V178</f>
        <v>1</v>
      </c>
      <c r="I680" s="268">
        <f>PRODUCT(F673,G680,H680)</f>
        <v>207.85</v>
      </c>
      <c r="J680" s="283">
        <f>(G675*J675+G676*J676+G677*J677+G678*J678+G679*J679)/100</f>
        <v>6240.2580000000007</v>
      </c>
      <c r="K680" s="283">
        <f t="shared" si="270"/>
        <v>31201.290000000005</v>
      </c>
      <c r="L680" s="283">
        <f>(G675*L675+G676*L676+G677*L677+G678*L678+G679*L679)/100</f>
        <v>7950.5580000000009</v>
      </c>
      <c r="M680" s="284">
        <f t="shared" si="271"/>
        <v>39752.790000000008</v>
      </c>
      <c r="N680" s="284">
        <v>0</v>
      </c>
      <c r="O680" s="284">
        <v>0</v>
      </c>
      <c r="P680" s="284">
        <f>(G675*P675+G676*P676+G677*P677+G678*P678+G679*P679)/100</f>
        <v>9343.4087185523131</v>
      </c>
      <c r="Q680" s="284">
        <f t="shared" si="272"/>
        <v>46717.043592761562</v>
      </c>
      <c r="R680" s="287">
        <v>0</v>
      </c>
    </row>
    <row r="681" spans="1:18">
      <c r="A681" s="240"/>
      <c r="B681" s="260">
        <v>0</v>
      </c>
      <c r="C681" s="261" t="s">
        <v>590</v>
      </c>
      <c r="D681" s="262" t="s">
        <v>265</v>
      </c>
      <c r="E681" s="260"/>
      <c r="F681" s="263">
        <v>0</v>
      </c>
      <c r="G681" s="264">
        <v>0</v>
      </c>
      <c r="H681" s="264"/>
      <c r="I681" s="264">
        <v>0</v>
      </c>
      <c r="J681" s="281">
        <v>0</v>
      </c>
      <c r="K681" s="281">
        <f>SUM(K682:K682)</f>
        <v>736060</v>
      </c>
      <c r="L681" s="281">
        <v>0</v>
      </c>
      <c r="M681" s="282">
        <f>SUM(M682:M682)</f>
        <v>804600</v>
      </c>
      <c r="N681" s="282">
        <v>0</v>
      </c>
      <c r="O681" s="282">
        <v>0</v>
      </c>
      <c r="P681" s="282">
        <v>0</v>
      </c>
      <c r="Q681" s="282">
        <f>SUM(Q682:Q682)</f>
        <v>804600</v>
      </c>
      <c r="R681" s="287">
        <v>0</v>
      </c>
    </row>
    <row r="682" spans="1:18">
      <c r="A682" s="246"/>
      <c r="B682" s="265">
        <v>0</v>
      </c>
      <c r="C682" s="680" t="s">
        <v>622</v>
      </c>
      <c r="D682" s="266" t="str">
        <f>" - "&amp;'Giá NC'!E9</f>
        <v xml:space="preserve"> - Nhân công bậc 3,5/7 - Nhóm 2</v>
      </c>
      <c r="E682" s="265" t="str">
        <f>'Giá NC'!F9</f>
        <v>công</v>
      </c>
      <c r="F682" s="267">
        <v>0</v>
      </c>
      <c r="G682" s="268">
        <v>2.98</v>
      </c>
      <c r="H682" s="268">
        <f>'5.Tiên lượng'!W178</f>
        <v>1</v>
      </c>
      <c r="I682" s="268">
        <f>PRODUCT(F673,G682,H682)</f>
        <v>123.87860000000001</v>
      </c>
      <c r="J682" s="283">
        <f>'Giá NC'!G9</f>
        <v>247000</v>
      </c>
      <c r="K682" s="283">
        <f>PRODUCT(G682,H682,J682)</f>
        <v>736060</v>
      </c>
      <c r="L682" s="283">
        <f>'Giá NC'!H9</f>
        <v>270000</v>
      </c>
      <c r="M682" s="284">
        <f>PRODUCT(G682,H682,L682)</f>
        <v>804600</v>
      </c>
      <c r="N682" s="284">
        <v>0</v>
      </c>
      <c r="O682" s="284">
        <v>0</v>
      </c>
      <c r="P682" s="284">
        <f>'Giá NC'!K9</f>
        <v>270000</v>
      </c>
      <c r="Q682" s="284">
        <f>PRODUCT(G682,H682,P682)</f>
        <v>804600</v>
      </c>
      <c r="R682" s="287">
        <v>0</v>
      </c>
    </row>
    <row r="683" spans="1:18">
      <c r="A683" s="240"/>
      <c r="B683" s="260">
        <v>0</v>
      </c>
      <c r="C683" s="261" t="s">
        <v>590</v>
      </c>
      <c r="D683" s="262" t="s">
        <v>267</v>
      </c>
      <c r="E683" s="260"/>
      <c r="F683" s="263">
        <v>0</v>
      </c>
      <c r="G683" s="264">
        <v>0</v>
      </c>
      <c r="H683" s="264"/>
      <c r="I683" s="264">
        <v>0</v>
      </c>
      <c r="J683" s="281">
        <v>0</v>
      </c>
      <c r="K683" s="281">
        <f>SUM(K684:K684)</f>
        <v>14683.611630992962</v>
      </c>
      <c r="L683" s="281">
        <v>0</v>
      </c>
      <c r="M683" s="282">
        <f>SUM(M684:M684)</f>
        <v>14658.687</v>
      </c>
      <c r="N683" s="282">
        <v>0</v>
      </c>
      <c r="O683" s="282">
        <v>0</v>
      </c>
      <c r="P683" s="282">
        <v>0</v>
      </c>
      <c r="Q683" s="282">
        <f>SUM(Q684:Q684)</f>
        <v>15879.717681032944</v>
      </c>
      <c r="R683" s="287">
        <v>0</v>
      </c>
    </row>
    <row r="684" spans="1:18">
      <c r="A684" s="251"/>
      <c r="B684" s="269">
        <v>0</v>
      </c>
      <c r="C684" s="681" t="s">
        <v>657</v>
      </c>
      <c r="D684" s="270" t="str">
        <f>" - "&amp;'Giá Máy'!E28</f>
        <v xml:space="preserve"> - Máy trộn vữa 150l</v>
      </c>
      <c r="E684" s="269" t="str">
        <f>'Giá Máy'!F28</f>
        <v>ca</v>
      </c>
      <c r="F684" s="271">
        <v>0</v>
      </c>
      <c r="G684" s="272">
        <v>5.2999999999999999E-2</v>
      </c>
      <c r="H684" s="272">
        <f>'5.Tiên lượng'!X178</f>
        <v>1</v>
      </c>
      <c r="I684" s="272">
        <f>PRODUCT(F673,G684,H684)</f>
        <v>2.2032099999999999</v>
      </c>
      <c r="J684" s="285">
        <f>'Giá Máy'!G28</f>
        <v>277049.27605647099</v>
      </c>
      <c r="K684" s="285">
        <f>PRODUCT(G684,H684,J684)</f>
        <v>14683.611630992962</v>
      </c>
      <c r="L684" s="285">
        <f>'Giá Máy'!H28</f>
        <v>276579</v>
      </c>
      <c r="M684" s="286">
        <f>PRODUCT(G684,H684,L684)</f>
        <v>14658.687</v>
      </c>
      <c r="N684" s="286">
        <v>0</v>
      </c>
      <c r="O684" s="286">
        <v>0</v>
      </c>
      <c r="P684" s="286">
        <f>'Giá Máy'!O28</f>
        <v>299617.31473647064</v>
      </c>
      <c r="Q684" s="286">
        <f>PRODUCT(G684,H684,P684)</f>
        <v>15879.717681032944</v>
      </c>
      <c r="R684" s="288">
        <v>0</v>
      </c>
    </row>
    <row r="685" spans="1:18">
      <c r="A685" s="234"/>
      <c r="B685" s="256">
        <v>78</v>
      </c>
      <c r="C685" s="234" t="str">
        <f>'5.Tiên lượng'!C179</f>
        <v>AK.98110</v>
      </c>
      <c r="D685" s="257" t="str">
        <f>'5.Tiên lượng'!D179</f>
        <v>Đá dăm đệm móng, đá (2x4)cm, dày 5cm</v>
      </c>
      <c r="E685" s="256" t="str">
        <f>'5.Tiên lượng'!E179</f>
        <v>m3</v>
      </c>
      <c r="F685" s="258">
        <f>'5.Tiên lượng'!M179</f>
        <v>5.35</v>
      </c>
      <c r="G685" s="259">
        <v>0</v>
      </c>
      <c r="H685" s="259">
        <v>0</v>
      </c>
      <c r="I685" s="259">
        <v>0</v>
      </c>
      <c r="J685" s="279">
        <v>0</v>
      </c>
      <c r="K685" s="279">
        <v>0</v>
      </c>
      <c r="L685" s="279">
        <v>0</v>
      </c>
      <c r="M685" s="280">
        <v>0</v>
      </c>
      <c r="N685" s="280">
        <v>0</v>
      </c>
      <c r="O685" s="280">
        <v>0</v>
      </c>
      <c r="P685" s="280">
        <v>0</v>
      </c>
      <c r="Q685" s="280">
        <v>0</v>
      </c>
      <c r="R685" s="222">
        <v>0</v>
      </c>
    </row>
    <row r="686" spans="1:18">
      <c r="A686" s="240"/>
      <c r="B686" s="260">
        <v>0</v>
      </c>
      <c r="C686" s="261" t="s">
        <v>590</v>
      </c>
      <c r="D686" s="262" t="s">
        <v>262</v>
      </c>
      <c r="E686" s="260"/>
      <c r="F686" s="263">
        <v>0</v>
      </c>
      <c r="G686" s="264">
        <v>0</v>
      </c>
      <c r="H686" s="264"/>
      <c r="I686" s="264">
        <v>0</v>
      </c>
      <c r="J686" s="281">
        <v>0</v>
      </c>
      <c r="K686" s="281">
        <f>SUM(K687:K688)</f>
        <v>267000</v>
      </c>
      <c r="L686" s="281">
        <v>0</v>
      </c>
      <c r="M686" s="282">
        <f>SUM(M687:M688)</f>
        <v>387000</v>
      </c>
      <c r="N686" s="282">
        <v>0</v>
      </c>
      <c r="O686" s="282">
        <v>0</v>
      </c>
      <c r="P686" s="282">
        <v>0</v>
      </c>
      <c r="Q686" s="282">
        <f>SUM(Q687:Q688)</f>
        <v>495257.6142875955</v>
      </c>
      <c r="R686" s="287">
        <v>0</v>
      </c>
    </row>
    <row r="687" spans="1:18">
      <c r="A687" s="246"/>
      <c r="B687" s="265">
        <v>0</v>
      </c>
      <c r="C687" s="680" t="s">
        <v>653</v>
      </c>
      <c r="D687" s="266" t="str">
        <f>" - "&amp;'Giá VL'!E20</f>
        <v xml:space="preserve"> - Đá cấp phối dmax ≤ 4</v>
      </c>
      <c r="E687" s="265" t="str">
        <f>'Giá VL'!F20</f>
        <v>m3</v>
      </c>
      <c r="F687" s="267">
        <v>0</v>
      </c>
      <c r="G687" s="268">
        <v>1.2</v>
      </c>
      <c r="H687" s="268">
        <f>'5.Tiên lượng'!V179</f>
        <v>1</v>
      </c>
      <c r="I687" s="268">
        <f>PRODUCT(F685,G687,H687)</f>
        <v>6.419999999999999</v>
      </c>
      <c r="J687" s="283">
        <f>'Giá VL'!G20</f>
        <v>160000</v>
      </c>
      <c r="K687" s="283">
        <f t="shared" ref="K687:K688" si="273">PRODUCT(G687,H687,J687)</f>
        <v>192000</v>
      </c>
      <c r="L687" s="283">
        <f>'Giá VL'!J20</f>
        <v>260000</v>
      </c>
      <c r="M687" s="284">
        <f t="shared" ref="M687:M688" si="274">PRODUCT(G687,H687,L687)</f>
        <v>312000</v>
      </c>
      <c r="N687" s="284">
        <v>0</v>
      </c>
      <c r="O687" s="284">
        <v>0</v>
      </c>
      <c r="P687" s="284">
        <f>'Giá VL'!V20</f>
        <v>330458.0547558713</v>
      </c>
      <c r="Q687" s="284">
        <f t="shared" ref="Q687:Q688" si="275">PRODUCT(G687,H687,P687)</f>
        <v>396549.66570704553</v>
      </c>
      <c r="R687" s="287">
        <v>0</v>
      </c>
    </row>
    <row r="688" spans="1:18">
      <c r="A688" s="246"/>
      <c r="B688" s="265">
        <v>0</v>
      </c>
      <c r="C688" s="680" t="s">
        <v>654</v>
      </c>
      <c r="D688" s="266" t="str">
        <f>" - "&amp;'Giá VL'!E14</f>
        <v xml:space="preserve"> - Cát</v>
      </c>
      <c r="E688" s="265" t="str">
        <f>'Giá VL'!F14</f>
        <v>m3</v>
      </c>
      <c r="F688" s="267">
        <v>0</v>
      </c>
      <c r="G688" s="268">
        <v>0.3</v>
      </c>
      <c r="H688" s="268">
        <f>'5.Tiên lượng'!V179</f>
        <v>1</v>
      </c>
      <c r="I688" s="268">
        <f>PRODUCT(F685,G688,H688)</f>
        <v>1.6049999999999998</v>
      </c>
      <c r="J688" s="283">
        <f>'Giá VL'!G14</f>
        <v>250000</v>
      </c>
      <c r="K688" s="283">
        <f t="shared" si="273"/>
        <v>75000</v>
      </c>
      <c r="L688" s="283">
        <f>'Giá VL'!J14</f>
        <v>250000</v>
      </c>
      <c r="M688" s="284">
        <f t="shared" si="274"/>
        <v>75000</v>
      </c>
      <c r="N688" s="284">
        <v>0</v>
      </c>
      <c r="O688" s="284">
        <v>0</v>
      </c>
      <c r="P688" s="284">
        <f>'Giá VL'!V14</f>
        <v>329026.49526849983</v>
      </c>
      <c r="Q688" s="284">
        <f t="shared" si="275"/>
        <v>98707.948580549943</v>
      </c>
      <c r="R688" s="287">
        <v>0</v>
      </c>
    </row>
    <row r="689" spans="1:18">
      <c r="A689" s="240"/>
      <c r="B689" s="260">
        <v>0</v>
      </c>
      <c r="C689" s="261" t="s">
        <v>590</v>
      </c>
      <c r="D689" s="262" t="s">
        <v>265</v>
      </c>
      <c r="E689" s="260"/>
      <c r="F689" s="263">
        <v>0</v>
      </c>
      <c r="G689" s="264">
        <v>0</v>
      </c>
      <c r="H689" s="264"/>
      <c r="I689" s="264">
        <v>0</v>
      </c>
      <c r="J689" s="281">
        <v>0</v>
      </c>
      <c r="K689" s="281">
        <f>SUM(K690:K690)</f>
        <v>317460</v>
      </c>
      <c r="L689" s="281">
        <v>0</v>
      </c>
      <c r="M689" s="282">
        <f>SUM(M690:M690)</f>
        <v>347020.92799999996</v>
      </c>
      <c r="N689" s="282">
        <v>0</v>
      </c>
      <c r="O689" s="282">
        <v>0</v>
      </c>
      <c r="P689" s="282">
        <v>0</v>
      </c>
      <c r="Q689" s="282">
        <f>SUM(Q690:Q690)</f>
        <v>347020.92799999996</v>
      </c>
      <c r="R689" s="287">
        <v>0</v>
      </c>
    </row>
    <row r="690" spans="1:18">
      <c r="A690" s="251"/>
      <c r="B690" s="269">
        <v>0</v>
      </c>
      <c r="C690" s="681" t="s">
        <v>629</v>
      </c>
      <c r="D690" s="270" t="str">
        <f>" - "&amp;'Giá NC'!E10</f>
        <v xml:space="preserve"> - Nhân công bậc 4,0/7 - Nhóm 2</v>
      </c>
      <c r="E690" s="269" t="str">
        <f>'Giá NC'!F10</f>
        <v>công</v>
      </c>
      <c r="F690" s="271">
        <v>0</v>
      </c>
      <c r="G690" s="272">
        <v>1.48</v>
      </c>
      <c r="H690" s="272">
        <f>'5.Tiên lượng'!W179</f>
        <v>0.8</v>
      </c>
      <c r="I690" s="272">
        <f>PRODUCT(F685,G690,H690)</f>
        <v>6.3343999999999996</v>
      </c>
      <c r="J690" s="285">
        <f>'Giá NC'!G10</f>
        <v>268125</v>
      </c>
      <c r="K690" s="285">
        <f>PRODUCT(G690,H690,J690)</f>
        <v>317460</v>
      </c>
      <c r="L690" s="285">
        <f>'Giá NC'!H10</f>
        <v>293092</v>
      </c>
      <c r="M690" s="286">
        <f>PRODUCT(G690,H690,L690)</f>
        <v>347020.92799999996</v>
      </c>
      <c r="N690" s="286">
        <v>0</v>
      </c>
      <c r="O690" s="286">
        <v>0</v>
      </c>
      <c r="P690" s="286">
        <f>'Giá NC'!K10</f>
        <v>293092</v>
      </c>
      <c r="Q690" s="286">
        <f>PRODUCT(G690,H690,P690)</f>
        <v>347020.92799999996</v>
      </c>
      <c r="R690" s="288">
        <v>0</v>
      </c>
    </row>
    <row r="691" spans="1:18" ht="27.6">
      <c r="A691" s="234"/>
      <c r="B691" s="256">
        <v>79</v>
      </c>
      <c r="C691" s="234" t="str">
        <f>'5.Tiên lượng'!C180</f>
        <v>BB.11211VD</v>
      </c>
      <c r="D691" s="257" t="str">
        <f>'5.Tiên lượng'!D180</f>
        <v>Lắp đặt ống bê tông bằng cần cẩu, đoạn ống dài 1m - Đường kính 400mm</v>
      </c>
      <c r="E691" s="256" t="str">
        <f>'5.Tiên lượng'!E180</f>
        <v>1 đoạn ống</v>
      </c>
      <c r="F691" s="258">
        <f>'5.Tiên lượng'!M180</f>
        <v>3</v>
      </c>
      <c r="G691" s="259">
        <v>0</v>
      </c>
      <c r="H691" s="259">
        <v>0</v>
      </c>
      <c r="I691" s="259">
        <v>0</v>
      </c>
      <c r="J691" s="279">
        <v>0</v>
      </c>
      <c r="K691" s="279">
        <v>0</v>
      </c>
      <c r="L691" s="279">
        <v>0</v>
      </c>
      <c r="M691" s="280">
        <v>0</v>
      </c>
      <c r="N691" s="280">
        <v>0</v>
      </c>
      <c r="O691" s="280">
        <v>0</v>
      </c>
      <c r="P691" s="280">
        <v>0</v>
      </c>
      <c r="Q691" s="280">
        <v>0</v>
      </c>
      <c r="R691" s="222">
        <v>0</v>
      </c>
    </row>
    <row r="692" spans="1:18">
      <c r="A692" s="240"/>
      <c r="B692" s="260">
        <v>0</v>
      </c>
      <c r="C692" s="261" t="s">
        <v>590</v>
      </c>
      <c r="D692" s="262" t="s">
        <v>262</v>
      </c>
      <c r="E692" s="260"/>
      <c r="F692" s="263">
        <v>0</v>
      </c>
      <c r="G692" s="264">
        <v>0</v>
      </c>
      <c r="H692" s="264"/>
      <c r="I692" s="264">
        <v>0</v>
      </c>
      <c r="J692" s="281">
        <v>0</v>
      </c>
      <c r="K692" s="281">
        <f>SUM(K693:K694)</f>
        <v>391082.44349999999</v>
      </c>
      <c r="L692" s="281">
        <v>0</v>
      </c>
      <c r="M692" s="282">
        <f>SUM(M693:M694)</f>
        <v>391082.44349999999</v>
      </c>
      <c r="N692" s="282">
        <v>0</v>
      </c>
      <c r="O692" s="282">
        <v>0</v>
      </c>
      <c r="P692" s="282">
        <v>0</v>
      </c>
      <c r="Q692" s="282">
        <f>SUM(Q693:Q694)</f>
        <v>402214.4341169789</v>
      </c>
      <c r="R692" s="287">
        <v>0</v>
      </c>
    </row>
    <row r="693" spans="1:18">
      <c r="A693" s="246"/>
      <c r="B693" s="265">
        <v>0</v>
      </c>
      <c r="C693" s="680" t="s">
        <v>677</v>
      </c>
      <c r="D693" s="266" t="str">
        <f>" - "&amp;'Giá VL'!E9</f>
        <v xml:space="preserve"> - Ống bê tông D400mm, L=1m</v>
      </c>
      <c r="E693" s="265" t="str">
        <f>'Giá VL'!F9</f>
        <v>đoạn</v>
      </c>
      <c r="F693" s="267">
        <v>0</v>
      </c>
      <c r="G693" s="268">
        <v>1</v>
      </c>
      <c r="H693" s="268">
        <f>'5.Tiên lượng'!V180</f>
        <v>1</v>
      </c>
      <c r="I693" s="268">
        <f>PRODUCT(F691,G693,H693)</f>
        <v>3</v>
      </c>
      <c r="J693" s="283">
        <f>'Giá VL'!G9</f>
        <v>390887</v>
      </c>
      <c r="K693" s="283">
        <f t="shared" ref="K693:K694" si="276">PRODUCT(G693,H693,J693)</f>
        <v>390887</v>
      </c>
      <c r="L693" s="283">
        <f>'Giá VL'!J9</f>
        <v>390887</v>
      </c>
      <c r="M693" s="284">
        <f t="shared" ref="M693:M694" si="277">PRODUCT(G693,H693,L693)</f>
        <v>390887</v>
      </c>
      <c r="N693" s="284">
        <v>0</v>
      </c>
      <c r="O693" s="284">
        <v>0</v>
      </c>
      <c r="P693" s="284">
        <f>'Giá VL'!V9</f>
        <v>402013.42740327725</v>
      </c>
      <c r="Q693" s="284">
        <f t="shared" ref="Q693:Q694" si="278">PRODUCT(G693,H693,P693)</f>
        <v>402013.42740327725</v>
      </c>
      <c r="R693" s="287">
        <v>0.05</v>
      </c>
    </row>
    <row r="694" spans="1:18">
      <c r="A694" s="246"/>
      <c r="B694" s="265">
        <v>0</v>
      </c>
      <c r="C694" s="680" t="s">
        <v>620</v>
      </c>
      <c r="D694" s="266" t="s">
        <v>668</v>
      </c>
      <c r="E694" s="265" t="s">
        <v>37</v>
      </c>
      <c r="F694" s="267">
        <v>0</v>
      </c>
      <c r="G694" s="268">
        <f>AVERAGE(R693:R693)</f>
        <v>0.05</v>
      </c>
      <c r="H694" s="268">
        <f>'5.Tiên lượng'!V180</f>
        <v>1</v>
      </c>
      <c r="I694" s="268">
        <f>PRODUCT(F691,G694,H694)</f>
        <v>0.15000000000000002</v>
      </c>
      <c r="J694" s="283">
        <f>(G693*J693)/100</f>
        <v>3908.87</v>
      </c>
      <c r="K694" s="283">
        <f t="shared" si="276"/>
        <v>195.4435</v>
      </c>
      <c r="L694" s="283">
        <f>(G693*L693)/100</f>
        <v>3908.87</v>
      </c>
      <c r="M694" s="284">
        <f t="shared" si="277"/>
        <v>195.4435</v>
      </c>
      <c r="N694" s="284">
        <v>0</v>
      </c>
      <c r="O694" s="284">
        <v>0</v>
      </c>
      <c r="P694" s="284">
        <f>(G693*P693)/100</f>
        <v>4020.1342740327727</v>
      </c>
      <c r="Q694" s="284">
        <f t="shared" si="278"/>
        <v>201.00671370163866</v>
      </c>
      <c r="R694" s="287">
        <v>0</v>
      </c>
    </row>
    <row r="695" spans="1:18">
      <c r="A695" s="240"/>
      <c r="B695" s="260">
        <v>0</v>
      </c>
      <c r="C695" s="261" t="s">
        <v>590</v>
      </c>
      <c r="D695" s="262" t="s">
        <v>265</v>
      </c>
      <c r="E695" s="260"/>
      <c r="F695" s="263">
        <v>0</v>
      </c>
      <c r="G695" s="264">
        <v>0</v>
      </c>
      <c r="H695" s="264"/>
      <c r="I695" s="264">
        <v>0</v>
      </c>
      <c r="J695" s="281">
        <v>0</v>
      </c>
      <c r="K695" s="281">
        <f>SUM(K696:K696)</f>
        <v>64220</v>
      </c>
      <c r="L695" s="281">
        <v>0</v>
      </c>
      <c r="M695" s="282">
        <f>SUM(M696:M696)</f>
        <v>70200</v>
      </c>
      <c r="N695" s="282">
        <v>0</v>
      </c>
      <c r="O695" s="282">
        <v>0</v>
      </c>
      <c r="P695" s="282">
        <v>0</v>
      </c>
      <c r="Q695" s="282">
        <f>SUM(Q696:Q696)</f>
        <v>70200</v>
      </c>
      <c r="R695" s="287">
        <v>0</v>
      </c>
    </row>
    <row r="696" spans="1:18">
      <c r="A696" s="246"/>
      <c r="B696" s="265">
        <v>0</v>
      </c>
      <c r="C696" s="680" t="s">
        <v>622</v>
      </c>
      <c r="D696" s="266" t="str">
        <f>" - "&amp;'Giá NC'!E9</f>
        <v xml:space="preserve"> - Nhân công bậc 3,5/7 - Nhóm 2</v>
      </c>
      <c r="E696" s="265" t="str">
        <f>'Giá NC'!F9</f>
        <v>công</v>
      </c>
      <c r="F696" s="267">
        <v>0</v>
      </c>
      <c r="G696" s="268">
        <v>0.26</v>
      </c>
      <c r="H696" s="268">
        <f>'5.Tiên lượng'!W180</f>
        <v>1</v>
      </c>
      <c r="I696" s="268">
        <f>PRODUCT(F691,G696,H696)</f>
        <v>0.78</v>
      </c>
      <c r="J696" s="283">
        <f>'Giá NC'!G9</f>
        <v>247000</v>
      </c>
      <c r="K696" s="283">
        <f>PRODUCT(G696,H696,J696)</f>
        <v>64220</v>
      </c>
      <c r="L696" s="283">
        <f>'Giá NC'!H9</f>
        <v>270000</v>
      </c>
      <c r="M696" s="284">
        <f>PRODUCT(G696,H696,L696)</f>
        <v>70200</v>
      </c>
      <c r="N696" s="284">
        <v>0</v>
      </c>
      <c r="O696" s="284">
        <v>0</v>
      </c>
      <c r="P696" s="284">
        <f>'Giá NC'!K9</f>
        <v>270000</v>
      </c>
      <c r="Q696" s="284">
        <f>PRODUCT(G696,H696,P696)</f>
        <v>70200</v>
      </c>
      <c r="R696" s="287">
        <v>0</v>
      </c>
    </row>
    <row r="697" spans="1:18">
      <c r="A697" s="240"/>
      <c r="B697" s="260">
        <v>0</v>
      </c>
      <c r="C697" s="261" t="s">
        <v>590</v>
      </c>
      <c r="D697" s="262" t="s">
        <v>267</v>
      </c>
      <c r="E697" s="260"/>
      <c r="F697" s="263">
        <v>0</v>
      </c>
      <c r="G697" s="264">
        <v>0</v>
      </c>
      <c r="H697" s="264"/>
      <c r="I697" s="264">
        <v>0</v>
      </c>
      <c r="J697" s="281">
        <v>0</v>
      </c>
      <c r="K697" s="281">
        <f>SUM(K698:K699)</f>
        <v>59542.062964999859</v>
      </c>
      <c r="L697" s="281">
        <v>0</v>
      </c>
      <c r="M697" s="282">
        <f>SUM(M698:M699)</f>
        <v>63234.435599999997</v>
      </c>
      <c r="N697" s="282">
        <v>0</v>
      </c>
      <c r="O697" s="282">
        <v>0</v>
      </c>
      <c r="P697" s="282">
        <v>0</v>
      </c>
      <c r="Q697" s="282">
        <f>SUM(Q698:Q699)</f>
        <v>62618.819794999989</v>
      </c>
      <c r="R697" s="287">
        <v>0</v>
      </c>
    </row>
    <row r="698" spans="1:18">
      <c r="A698" s="246"/>
      <c r="B698" s="265">
        <v>0</v>
      </c>
      <c r="C698" s="680" t="s">
        <v>665</v>
      </c>
      <c r="D698" s="266" t="str">
        <f>" - "&amp;'Giá Máy'!E6</f>
        <v xml:space="preserve"> - Cần cẩu bánh hơi 6T</v>
      </c>
      <c r="E698" s="265" t="str">
        <f>'Giá Máy'!F6</f>
        <v>ca</v>
      </c>
      <c r="F698" s="267">
        <v>0</v>
      </c>
      <c r="G698" s="268">
        <v>3.6999999999999998E-2</v>
      </c>
      <c r="H698" s="268">
        <f>'5.Tiên lượng'!X180</f>
        <v>1</v>
      </c>
      <c r="I698" s="268">
        <f>PRODUCT(F691,G698,H698)</f>
        <v>0.11099999999999999</v>
      </c>
      <c r="J698" s="283">
        <f>'Giá Máy'!G6</f>
        <v>1532614.2333333299</v>
      </c>
      <c r="K698" s="283">
        <f t="shared" ref="K698:K699" si="279">PRODUCT(G698,H698,J698)</f>
        <v>56706.726633333201</v>
      </c>
      <c r="L698" s="283">
        <f>'Giá Máy'!H6</f>
        <v>1627656</v>
      </c>
      <c r="M698" s="284">
        <f t="shared" ref="M698:M699" si="280">PRODUCT(G698,H698,L698)</f>
        <v>60223.271999999997</v>
      </c>
      <c r="N698" s="284">
        <v>0</v>
      </c>
      <c r="O698" s="284">
        <v>0</v>
      </c>
      <c r="P698" s="284">
        <f>'Giá Máy'!O6</f>
        <v>1611810.0333333332</v>
      </c>
      <c r="Q698" s="284">
        <f t="shared" ref="Q698:Q699" si="281">PRODUCT(G698,H698,P698)</f>
        <v>59636.971233333323</v>
      </c>
      <c r="R698" s="287">
        <v>5</v>
      </c>
    </row>
    <row r="699" spans="1:18">
      <c r="A699" s="251"/>
      <c r="B699" s="269">
        <v>0</v>
      </c>
      <c r="C699" s="681" t="s">
        <v>611</v>
      </c>
      <c r="D699" s="270" t="s">
        <v>612</v>
      </c>
      <c r="E699" s="269" t="s">
        <v>37</v>
      </c>
      <c r="F699" s="271">
        <v>0</v>
      </c>
      <c r="G699" s="272">
        <f>AVERAGE(R698:R698)</f>
        <v>5</v>
      </c>
      <c r="H699" s="272">
        <f>'5.Tiên lượng'!X180</f>
        <v>1</v>
      </c>
      <c r="I699" s="272">
        <f>PRODUCT(F691,G699,H699)</f>
        <v>15</v>
      </c>
      <c r="J699" s="285">
        <f>(G698*J698)/100</f>
        <v>567.06726633333199</v>
      </c>
      <c r="K699" s="285">
        <f t="shared" si="279"/>
        <v>2835.33633166666</v>
      </c>
      <c r="L699" s="285">
        <f>(G698*L698)/100</f>
        <v>602.23271999999997</v>
      </c>
      <c r="M699" s="286">
        <f t="shared" si="280"/>
        <v>3011.1635999999999</v>
      </c>
      <c r="N699" s="286">
        <v>0</v>
      </c>
      <c r="O699" s="286">
        <v>0</v>
      </c>
      <c r="P699" s="286">
        <f>(G698*P698)/100</f>
        <v>596.36971233333327</v>
      </c>
      <c r="Q699" s="286">
        <f t="shared" si="281"/>
        <v>2981.8485616666662</v>
      </c>
      <c r="R699" s="288">
        <v>0</v>
      </c>
    </row>
    <row r="700" spans="1:18" ht="27.6">
      <c r="A700" s="234"/>
      <c r="B700" s="256">
        <v>80</v>
      </c>
      <c r="C700" s="234" t="str">
        <f>'5.Tiên lượng'!C181</f>
        <v>BB.11221VD</v>
      </c>
      <c r="D700" s="257" t="str">
        <f>'5.Tiên lượng'!D181</f>
        <v>Lắp đặt ống bê tông bằng cần cẩu, đoạn ống dài 2m - Đường kính 400mm</v>
      </c>
      <c r="E700" s="256" t="str">
        <f>'5.Tiên lượng'!E181</f>
        <v>1 đoạn ống</v>
      </c>
      <c r="F700" s="258">
        <f>'5.Tiên lượng'!M181</f>
        <v>15</v>
      </c>
      <c r="G700" s="259">
        <v>0</v>
      </c>
      <c r="H700" s="259">
        <v>0</v>
      </c>
      <c r="I700" s="259">
        <v>0</v>
      </c>
      <c r="J700" s="279">
        <v>0</v>
      </c>
      <c r="K700" s="279">
        <v>0</v>
      </c>
      <c r="L700" s="279">
        <v>0</v>
      </c>
      <c r="M700" s="280">
        <v>0</v>
      </c>
      <c r="N700" s="280">
        <v>0</v>
      </c>
      <c r="O700" s="280">
        <v>0</v>
      </c>
      <c r="P700" s="280">
        <v>0</v>
      </c>
      <c r="Q700" s="280">
        <v>0</v>
      </c>
      <c r="R700" s="222">
        <v>0</v>
      </c>
    </row>
    <row r="701" spans="1:18">
      <c r="A701" s="240"/>
      <c r="B701" s="260">
        <v>0</v>
      </c>
      <c r="C701" s="261" t="s">
        <v>590</v>
      </c>
      <c r="D701" s="262" t="s">
        <v>262</v>
      </c>
      <c r="E701" s="260"/>
      <c r="F701" s="263">
        <v>0</v>
      </c>
      <c r="G701" s="264">
        <v>0</v>
      </c>
      <c r="H701" s="264"/>
      <c r="I701" s="264">
        <v>0</v>
      </c>
      <c r="J701" s="281">
        <v>0</v>
      </c>
      <c r="K701" s="281">
        <f>SUM(K702:K703)</f>
        <v>782164.88699999999</v>
      </c>
      <c r="L701" s="281">
        <v>0</v>
      </c>
      <c r="M701" s="282">
        <f>SUM(M702:M703)</f>
        <v>782164.88699999999</v>
      </c>
      <c r="N701" s="282">
        <v>0</v>
      </c>
      <c r="O701" s="282">
        <v>0</v>
      </c>
      <c r="P701" s="282">
        <v>0</v>
      </c>
      <c r="Q701" s="282">
        <f>SUM(Q702:Q703)</f>
        <v>804428.86823395779</v>
      </c>
      <c r="R701" s="287">
        <v>0</v>
      </c>
    </row>
    <row r="702" spans="1:18">
      <c r="A702" s="246"/>
      <c r="B702" s="265">
        <v>0</v>
      </c>
      <c r="C702" s="680" t="s">
        <v>678</v>
      </c>
      <c r="D702" s="266" t="str">
        <f>" - "&amp;'Giá VL'!E11</f>
        <v xml:space="preserve"> - Ống bê tông D400mm, L=2m</v>
      </c>
      <c r="E702" s="265" t="str">
        <f>'Giá VL'!F11</f>
        <v>đoạn</v>
      </c>
      <c r="F702" s="267">
        <v>0</v>
      </c>
      <c r="G702" s="268">
        <v>1</v>
      </c>
      <c r="H702" s="268">
        <f>'5.Tiên lượng'!V181</f>
        <v>1</v>
      </c>
      <c r="I702" s="268">
        <f>PRODUCT(F700,G702,H702)</f>
        <v>15</v>
      </c>
      <c r="J702" s="283">
        <f>'Giá VL'!G11</f>
        <v>781774</v>
      </c>
      <c r="K702" s="283">
        <f t="shared" ref="K702:K703" si="282">PRODUCT(G702,H702,J702)</f>
        <v>781774</v>
      </c>
      <c r="L702" s="283">
        <f>'Giá VL'!J11</f>
        <v>781774</v>
      </c>
      <c r="M702" s="284">
        <f t="shared" ref="M702:M703" si="283">PRODUCT(G702,H702,L702)</f>
        <v>781774</v>
      </c>
      <c r="N702" s="284">
        <v>0</v>
      </c>
      <c r="O702" s="284">
        <v>0</v>
      </c>
      <c r="P702" s="284">
        <f>'Giá VL'!V11</f>
        <v>804026.8548065545</v>
      </c>
      <c r="Q702" s="284">
        <f t="shared" ref="Q702:Q703" si="284">PRODUCT(G702,H702,P702)</f>
        <v>804026.8548065545</v>
      </c>
      <c r="R702" s="287">
        <v>0.05</v>
      </c>
    </row>
    <row r="703" spans="1:18">
      <c r="A703" s="246"/>
      <c r="B703" s="265">
        <v>0</v>
      </c>
      <c r="C703" s="680" t="s">
        <v>620</v>
      </c>
      <c r="D703" s="266" t="s">
        <v>668</v>
      </c>
      <c r="E703" s="265" t="s">
        <v>37</v>
      </c>
      <c r="F703" s="267">
        <v>0</v>
      </c>
      <c r="G703" s="268">
        <f>AVERAGE(R702:R702)</f>
        <v>0.05</v>
      </c>
      <c r="H703" s="268">
        <f>'5.Tiên lượng'!V181</f>
        <v>1</v>
      </c>
      <c r="I703" s="268">
        <f>PRODUCT(F700,G703,H703)</f>
        <v>0.75</v>
      </c>
      <c r="J703" s="283">
        <f>(G702*J702)/100</f>
        <v>7817.74</v>
      </c>
      <c r="K703" s="283">
        <f t="shared" si="282"/>
        <v>390.887</v>
      </c>
      <c r="L703" s="283">
        <f>(G702*L702)/100</f>
        <v>7817.74</v>
      </c>
      <c r="M703" s="284">
        <f t="shared" si="283"/>
        <v>390.887</v>
      </c>
      <c r="N703" s="284">
        <v>0</v>
      </c>
      <c r="O703" s="284">
        <v>0</v>
      </c>
      <c r="P703" s="284">
        <f>(G702*P702)/100</f>
        <v>8040.2685480655455</v>
      </c>
      <c r="Q703" s="284">
        <f t="shared" si="284"/>
        <v>402.01342740327732</v>
      </c>
      <c r="R703" s="287">
        <v>0</v>
      </c>
    </row>
    <row r="704" spans="1:18">
      <c r="A704" s="240"/>
      <c r="B704" s="260">
        <v>0</v>
      </c>
      <c r="C704" s="261" t="s">
        <v>590</v>
      </c>
      <c r="D704" s="262" t="s">
        <v>265</v>
      </c>
      <c r="E704" s="260"/>
      <c r="F704" s="263">
        <v>0</v>
      </c>
      <c r="G704" s="264">
        <v>0</v>
      </c>
      <c r="H704" s="264"/>
      <c r="I704" s="264">
        <v>0</v>
      </c>
      <c r="J704" s="281">
        <v>0</v>
      </c>
      <c r="K704" s="281">
        <f>SUM(K705:K705)</f>
        <v>86450</v>
      </c>
      <c r="L704" s="281">
        <v>0</v>
      </c>
      <c r="M704" s="282">
        <f>SUM(M705:M705)</f>
        <v>94500</v>
      </c>
      <c r="N704" s="282">
        <v>0</v>
      </c>
      <c r="O704" s="282">
        <v>0</v>
      </c>
      <c r="P704" s="282">
        <v>0</v>
      </c>
      <c r="Q704" s="282">
        <f>SUM(Q705:Q705)</f>
        <v>94500</v>
      </c>
      <c r="R704" s="287">
        <v>0</v>
      </c>
    </row>
    <row r="705" spans="1:18">
      <c r="A705" s="246"/>
      <c r="B705" s="265">
        <v>0</v>
      </c>
      <c r="C705" s="680" t="s">
        <v>622</v>
      </c>
      <c r="D705" s="266" t="str">
        <f>" - "&amp;'Giá NC'!E9</f>
        <v xml:space="preserve"> - Nhân công bậc 3,5/7 - Nhóm 2</v>
      </c>
      <c r="E705" s="265" t="str">
        <f>'Giá NC'!F9</f>
        <v>công</v>
      </c>
      <c r="F705" s="267">
        <v>0</v>
      </c>
      <c r="G705" s="268">
        <v>0.35</v>
      </c>
      <c r="H705" s="268">
        <f>'5.Tiên lượng'!W181</f>
        <v>1</v>
      </c>
      <c r="I705" s="268">
        <f>PRODUCT(F700,G705,H705)</f>
        <v>5.25</v>
      </c>
      <c r="J705" s="283">
        <f>'Giá NC'!G9</f>
        <v>247000</v>
      </c>
      <c r="K705" s="283">
        <f>PRODUCT(G705,H705,J705)</f>
        <v>86450</v>
      </c>
      <c r="L705" s="283">
        <f>'Giá NC'!H9</f>
        <v>270000</v>
      </c>
      <c r="M705" s="284">
        <f>PRODUCT(G705,H705,L705)</f>
        <v>94500</v>
      </c>
      <c r="N705" s="284">
        <v>0</v>
      </c>
      <c r="O705" s="284">
        <v>0</v>
      </c>
      <c r="P705" s="284">
        <f>'Giá NC'!K9</f>
        <v>270000</v>
      </c>
      <c r="Q705" s="284">
        <f>PRODUCT(G705,H705,P705)</f>
        <v>94500</v>
      </c>
      <c r="R705" s="287">
        <v>0</v>
      </c>
    </row>
    <row r="706" spans="1:18">
      <c r="A706" s="240"/>
      <c r="B706" s="260">
        <v>0</v>
      </c>
      <c r="C706" s="261" t="s">
        <v>590</v>
      </c>
      <c r="D706" s="262" t="s">
        <v>267</v>
      </c>
      <c r="E706" s="260"/>
      <c r="F706" s="263">
        <v>0</v>
      </c>
      <c r="G706" s="264">
        <v>0</v>
      </c>
      <c r="H706" s="264"/>
      <c r="I706" s="264">
        <v>0</v>
      </c>
      <c r="J706" s="281">
        <v>0</v>
      </c>
      <c r="K706" s="281">
        <f>SUM(K707:K708)</f>
        <v>90117.716919999802</v>
      </c>
      <c r="L706" s="281">
        <v>0</v>
      </c>
      <c r="M706" s="282">
        <f>SUM(M707:M708)</f>
        <v>95706.1728</v>
      </c>
      <c r="N706" s="282">
        <v>0</v>
      </c>
      <c r="O706" s="282">
        <v>0</v>
      </c>
      <c r="P706" s="282">
        <v>0</v>
      </c>
      <c r="Q706" s="282">
        <f>SUM(Q707:Q708)</f>
        <v>94774.429959999994</v>
      </c>
      <c r="R706" s="287">
        <v>0</v>
      </c>
    </row>
    <row r="707" spans="1:18">
      <c r="A707" s="246"/>
      <c r="B707" s="265">
        <v>0</v>
      </c>
      <c r="C707" s="680" t="s">
        <v>665</v>
      </c>
      <c r="D707" s="266" t="str">
        <f>" - "&amp;'Giá Máy'!E6</f>
        <v xml:space="preserve"> - Cần cẩu bánh hơi 6T</v>
      </c>
      <c r="E707" s="265" t="str">
        <f>'Giá Máy'!F6</f>
        <v>ca</v>
      </c>
      <c r="F707" s="267">
        <v>0</v>
      </c>
      <c r="G707" s="268">
        <v>5.6000000000000001E-2</v>
      </c>
      <c r="H707" s="268">
        <f>'5.Tiên lượng'!X181</f>
        <v>1</v>
      </c>
      <c r="I707" s="268">
        <f>PRODUCT(F700,G707,H707)</f>
        <v>0.84</v>
      </c>
      <c r="J707" s="283">
        <f>'Giá Máy'!G6</f>
        <v>1532614.2333333299</v>
      </c>
      <c r="K707" s="283">
        <f t="shared" ref="K707:K708" si="285">PRODUCT(G707,H707,J707)</f>
        <v>85826.397066666483</v>
      </c>
      <c r="L707" s="283">
        <f>'Giá Máy'!H6</f>
        <v>1627656</v>
      </c>
      <c r="M707" s="284">
        <f t="shared" ref="M707:M708" si="286">PRODUCT(G707,H707,L707)</f>
        <v>91148.736000000004</v>
      </c>
      <c r="N707" s="284">
        <v>0</v>
      </c>
      <c r="O707" s="284">
        <v>0</v>
      </c>
      <c r="P707" s="284">
        <f>'Giá Máy'!O6</f>
        <v>1611810.0333333332</v>
      </c>
      <c r="Q707" s="284">
        <f t="shared" ref="Q707:Q708" si="287">PRODUCT(G707,H707,P707)</f>
        <v>90261.361866666659</v>
      </c>
      <c r="R707" s="287">
        <v>5</v>
      </c>
    </row>
    <row r="708" spans="1:18">
      <c r="A708" s="251"/>
      <c r="B708" s="269">
        <v>0</v>
      </c>
      <c r="C708" s="681" t="s">
        <v>611</v>
      </c>
      <c r="D708" s="270" t="s">
        <v>612</v>
      </c>
      <c r="E708" s="269" t="s">
        <v>37</v>
      </c>
      <c r="F708" s="271">
        <v>0</v>
      </c>
      <c r="G708" s="272">
        <f>AVERAGE(R707:R707)</f>
        <v>5</v>
      </c>
      <c r="H708" s="272">
        <f>'5.Tiên lượng'!X181</f>
        <v>1</v>
      </c>
      <c r="I708" s="272">
        <f>PRODUCT(F700,G708,H708)</f>
        <v>75</v>
      </c>
      <c r="J708" s="285">
        <f>(G707*J707)/100</f>
        <v>858.26397066666482</v>
      </c>
      <c r="K708" s="285">
        <f t="shared" si="285"/>
        <v>4291.3198533333243</v>
      </c>
      <c r="L708" s="285">
        <f>(G707*L707)/100</f>
        <v>911.48736000000008</v>
      </c>
      <c r="M708" s="286">
        <f t="shared" si="286"/>
        <v>4557.4368000000004</v>
      </c>
      <c r="N708" s="286">
        <v>0</v>
      </c>
      <c r="O708" s="286">
        <v>0</v>
      </c>
      <c r="P708" s="286">
        <f>(G707*P707)/100</f>
        <v>902.61361866666664</v>
      </c>
      <c r="Q708" s="286">
        <f t="shared" si="287"/>
        <v>4513.0680933333333</v>
      </c>
      <c r="R708" s="288">
        <v>0</v>
      </c>
    </row>
    <row r="709" spans="1:18" ht="27.6">
      <c r="A709" s="234"/>
      <c r="B709" s="256">
        <v>81</v>
      </c>
      <c r="C709" s="234" t="str">
        <f>'5.Tiên lượng'!C182</f>
        <v>BB.11211</v>
      </c>
      <c r="D709" s="257" t="str">
        <f>'5.Tiên lượng'!D182</f>
        <v>Lắp đặt ống bê tông bằng cần cẩu, đoạn ống dài 1m - Đường kính 600mm</v>
      </c>
      <c r="E709" s="256" t="str">
        <f>'5.Tiên lượng'!E182</f>
        <v>1 đoạn ống</v>
      </c>
      <c r="F709" s="258">
        <f>'5.Tiên lượng'!M182</f>
        <v>1</v>
      </c>
      <c r="G709" s="259">
        <v>0</v>
      </c>
      <c r="H709" s="259">
        <v>0</v>
      </c>
      <c r="I709" s="259">
        <v>0</v>
      </c>
      <c r="J709" s="279">
        <v>0</v>
      </c>
      <c r="K709" s="279">
        <v>0</v>
      </c>
      <c r="L709" s="279">
        <v>0</v>
      </c>
      <c r="M709" s="280">
        <v>0</v>
      </c>
      <c r="N709" s="280">
        <v>0</v>
      </c>
      <c r="O709" s="280">
        <v>0</v>
      </c>
      <c r="P709" s="280">
        <v>0</v>
      </c>
      <c r="Q709" s="280">
        <v>0</v>
      </c>
      <c r="R709" s="222">
        <v>0</v>
      </c>
    </row>
    <row r="710" spans="1:18">
      <c r="A710" s="240"/>
      <c r="B710" s="260">
        <v>0</v>
      </c>
      <c r="C710" s="261" t="s">
        <v>590</v>
      </c>
      <c r="D710" s="262" t="s">
        <v>262</v>
      </c>
      <c r="E710" s="260"/>
      <c r="F710" s="263">
        <v>0</v>
      </c>
      <c r="G710" s="264">
        <v>0</v>
      </c>
      <c r="H710" s="264"/>
      <c r="I710" s="264">
        <v>0</v>
      </c>
      <c r="J710" s="281">
        <v>0</v>
      </c>
      <c r="K710" s="281">
        <f>SUM(K711:K712)</f>
        <v>546511.11899999995</v>
      </c>
      <c r="L710" s="281">
        <v>0</v>
      </c>
      <c r="M710" s="282">
        <f>SUM(M711:M712)</f>
        <v>546511.11899999995</v>
      </c>
      <c r="N710" s="282">
        <v>0</v>
      </c>
      <c r="O710" s="282">
        <v>0</v>
      </c>
      <c r="P710" s="282">
        <v>0</v>
      </c>
      <c r="Q710" s="282">
        <f>SUM(Q711:Q712)</f>
        <v>566455.93552208727</v>
      </c>
      <c r="R710" s="287">
        <v>0</v>
      </c>
    </row>
    <row r="711" spans="1:18">
      <c r="A711" s="246"/>
      <c r="B711" s="265">
        <v>0</v>
      </c>
      <c r="C711" s="680" t="s">
        <v>677</v>
      </c>
      <c r="D711" s="266" t="str">
        <f>" - "&amp;'Giá VL'!E8</f>
        <v xml:space="preserve"> - Ống bê tông D ≤600mm, L=1m</v>
      </c>
      <c r="E711" s="265" t="str">
        <f>'Giá VL'!F8</f>
        <v>đoạn</v>
      </c>
      <c r="F711" s="267">
        <v>0</v>
      </c>
      <c r="G711" s="268">
        <v>1</v>
      </c>
      <c r="H711" s="268">
        <f>'5.Tiên lượng'!V182</f>
        <v>1</v>
      </c>
      <c r="I711" s="268">
        <f>PRODUCT(F709,G711,H711)</f>
        <v>1</v>
      </c>
      <c r="J711" s="283">
        <f>'Giá VL'!G8</f>
        <v>546238</v>
      </c>
      <c r="K711" s="283">
        <f t="shared" ref="K711:K712" si="288">PRODUCT(G711,H711,J711)</f>
        <v>546238</v>
      </c>
      <c r="L711" s="283">
        <f>'Giá VL'!J8</f>
        <v>546238</v>
      </c>
      <c r="M711" s="284">
        <f t="shared" ref="M711:M712" si="289">PRODUCT(G711,H711,L711)</f>
        <v>546238</v>
      </c>
      <c r="N711" s="284">
        <v>0</v>
      </c>
      <c r="O711" s="284">
        <v>0</v>
      </c>
      <c r="P711" s="284">
        <f>'Giá VL'!V8</f>
        <v>566172.84909753851</v>
      </c>
      <c r="Q711" s="284">
        <f t="shared" ref="Q711:Q712" si="290">PRODUCT(G711,H711,P711)</f>
        <v>566172.84909753851</v>
      </c>
      <c r="R711" s="287">
        <v>0.05</v>
      </c>
    </row>
    <row r="712" spans="1:18">
      <c r="A712" s="246"/>
      <c r="B712" s="265">
        <v>0</v>
      </c>
      <c r="C712" s="680" t="s">
        <v>620</v>
      </c>
      <c r="D712" s="266" t="s">
        <v>668</v>
      </c>
      <c r="E712" s="265" t="s">
        <v>37</v>
      </c>
      <c r="F712" s="267">
        <v>0</v>
      </c>
      <c r="G712" s="268">
        <f>AVERAGE(R711:R711)</f>
        <v>0.05</v>
      </c>
      <c r="H712" s="268">
        <f>'5.Tiên lượng'!V182</f>
        <v>1</v>
      </c>
      <c r="I712" s="268">
        <f>PRODUCT(F709,G712,H712)</f>
        <v>0.05</v>
      </c>
      <c r="J712" s="283">
        <f>(G711*J711)/100</f>
        <v>5462.38</v>
      </c>
      <c r="K712" s="283">
        <f t="shared" si="288"/>
        <v>273.11900000000003</v>
      </c>
      <c r="L712" s="283">
        <f>(G711*L711)/100</f>
        <v>5462.38</v>
      </c>
      <c r="M712" s="284">
        <f t="shared" si="289"/>
        <v>273.11900000000003</v>
      </c>
      <c r="N712" s="284">
        <v>0</v>
      </c>
      <c r="O712" s="284">
        <v>0</v>
      </c>
      <c r="P712" s="284">
        <f>(G711*P711)/100</f>
        <v>5661.7284909753853</v>
      </c>
      <c r="Q712" s="284">
        <f t="shared" si="290"/>
        <v>283.08642454876929</v>
      </c>
      <c r="R712" s="287">
        <v>0</v>
      </c>
    </row>
    <row r="713" spans="1:18">
      <c r="A713" s="240"/>
      <c r="B713" s="260">
        <v>0</v>
      </c>
      <c r="C713" s="261" t="s">
        <v>590</v>
      </c>
      <c r="D713" s="262" t="s">
        <v>265</v>
      </c>
      <c r="E713" s="260"/>
      <c r="F713" s="263">
        <v>0</v>
      </c>
      <c r="G713" s="264">
        <v>0</v>
      </c>
      <c r="H713" s="264"/>
      <c r="I713" s="264">
        <v>0</v>
      </c>
      <c r="J713" s="281">
        <v>0</v>
      </c>
      <c r="K713" s="281">
        <f>SUM(K714:K714)</f>
        <v>64220</v>
      </c>
      <c r="L713" s="281">
        <v>0</v>
      </c>
      <c r="M713" s="282">
        <f>SUM(M714:M714)</f>
        <v>70200</v>
      </c>
      <c r="N713" s="282">
        <v>0</v>
      </c>
      <c r="O713" s="282">
        <v>0</v>
      </c>
      <c r="P713" s="282">
        <v>0</v>
      </c>
      <c r="Q713" s="282">
        <f>SUM(Q714:Q714)</f>
        <v>70200</v>
      </c>
      <c r="R713" s="287">
        <v>0</v>
      </c>
    </row>
    <row r="714" spans="1:18">
      <c r="A714" s="246"/>
      <c r="B714" s="265">
        <v>0</v>
      </c>
      <c r="C714" s="680" t="s">
        <v>622</v>
      </c>
      <c r="D714" s="266" t="str">
        <f>" - "&amp;'Giá NC'!E9</f>
        <v xml:space="preserve"> - Nhân công bậc 3,5/7 - Nhóm 2</v>
      </c>
      <c r="E714" s="265" t="str">
        <f>'Giá NC'!F9</f>
        <v>công</v>
      </c>
      <c r="F714" s="267">
        <v>0</v>
      </c>
      <c r="G714" s="268">
        <v>0.26</v>
      </c>
      <c r="H714" s="268">
        <f>'5.Tiên lượng'!W182</f>
        <v>1</v>
      </c>
      <c r="I714" s="268">
        <f>PRODUCT(F709,G714,H714)</f>
        <v>0.26</v>
      </c>
      <c r="J714" s="283">
        <f>'Giá NC'!G9</f>
        <v>247000</v>
      </c>
      <c r="K714" s="283">
        <f>PRODUCT(G714,H714,J714)</f>
        <v>64220</v>
      </c>
      <c r="L714" s="283">
        <f>'Giá NC'!H9</f>
        <v>270000</v>
      </c>
      <c r="M714" s="284">
        <f>PRODUCT(G714,H714,L714)</f>
        <v>70200</v>
      </c>
      <c r="N714" s="284">
        <v>0</v>
      </c>
      <c r="O714" s="284">
        <v>0</v>
      </c>
      <c r="P714" s="284">
        <f>'Giá NC'!K9</f>
        <v>270000</v>
      </c>
      <c r="Q714" s="284">
        <f>PRODUCT(G714,H714,P714)</f>
        <v>70200</v>
      </c>
      <c r="R714" s="287">
        <v>0</v>
      </c>
    </row>
    <row r="715" spans="1:18">
      <c r="A715" s="240"/>
      <c r="B715" s="260">
        <v>0</v>
      </c>
      <c r="C715" s="261" t="s">
        <v>590</v>
      </c>
      <c r="D715" s="262" t="s">
        <v>267</v>
      </c>
      <c r="E715" s="260"/>
      <c r="F715" s="263">
        <v>0</v>
      </c>
      <c r="G715" s="264">
        <v>0</v>
      </c>
      <c r="H715" s="264"/>
      <c r="I715" s="264">
        <v>0</v>
      </c>
      <c r="J715" s="281">
        <v>0</v>
      </c>
      <c r="K715" s="281">
        <f>SUM(K716:K717)</f>
        <v>59542.062964999859</v>
      </c>
      <c r="L715" s="281">
        <v>0</v>
      </c>
      <c r="M715" s="282">
        <f>SUM(M716:M717)</f>
        <v>63234.435599999997</v>
      </c>
      <c r="N715" s="282">
        <v>0</v>
      </c>
      <c r="O715" s="282">
        <v>0</v>
      </c>
      <c r="P715" s="282">
        <v>0</v>
      </c>
      <c r="Q715" s="282">
        <f>SUM(Q716:Q717)</f>
        <v>62618.819794999989</v>
      </c>
      <c r="R715" s="287">
        <v>0</v>
      </c>
    </row>
    <row r="716" spans="1:18">
      <c r="A716" s="246"/>
      <c r="B716" s="265">
        <v>0</v>
      </c>
      <c r="C716" s="680" t="s">
        <v>665</v>
      </c>
      <c r="D716" s="266" t="str">
        <f>" - "&amp;'Giá Máy'!E6</f>
        <v xml:space="preserve"> - Cần cẩu bánh hơi 6T</v>
      </c>
      <c r="E716" s="265" t="str">
        <f>'Giá Máy'!F6</f>
        <v>ca</v>
      </c>
      <c r="F716" s="267">
        <v>0</v>
      </c>
      <c r="G716" s="268">
        <v>3.6999999999999998E-2</v>
      </c>
      <c r="H716" s="268">
        <f>'5.Tiên lượng'!X182</f>
        <v>1</v>
      </c>
      <c r="I716" s="268">
        <f>PRODUCT(F709,G716,H716)</f>
        <v>3.6999999999999998E-2</v>
      </c>
      <c r="J716" s="283">
        <f>'Giá Máy'!G6</f>
        <v>1532614.2333333299</v>
      </c>
      <c r="K716" s="283">
        <f t="shared" ref="K716:K717" si="291">PRODUCT(G716,H716,J716)</f>
        <v>56706.726633333201</v>
      </c>
      <c r="L716" s="283">
        <f>'Giá Máy'!H6</f>
        <v>1627656</v>
      </c>
      <c r="M716" s="284">
        <f t="shared" ref="M716:M717" si="292">PRODUCT(G716,H716,L716)</f>
        <v>60223.271999999997</v>
      </c>
      <c r="N716" s="284">
        <v>0</v>
      </c>
      <c r="O716" s="284">
        <v>0</v>
      </c>
      <c r="P716" s="284">
        <f>'Giá Máy'!O6</f>
        <v>1611810.0333333332</v>
      </c>
      <c r="Q716" s="284">
        <f t="shared" ref="Q716:Q717" si="293">PRODUCT(G716,H716,P716)</f>
        <v>59636.971233333323</v>
      </c>
      <c r="R716" s="287">
        <v>5</v>
      </c>
    </row>
    <row r="717" spans="1:18">
      <c r="A717" s="251"/>
      <c r="B717" s="269">
        <v>0</v>
      </c>
      <c r="C717" s="681" t="s">
        <v>611</v>
      </c>
      <c r="D717" s="270" t="s">
        <v>612</v>
      </c>
      <c r="E717" s="269" t="s">
        <v>37</v>
      </c>
      <c r="F717" s="271">
        <v>0</v>
      </c>
      <c r="G717" s="272">
        <f>AVERAGE(R716:R716)</f>
        <v>5</v>
      </c>
      <c r="H717" s="272">
        <f>'5.Tiên lượng'!X182</f>
        <v>1</v>
      </c>
      <c r="I717" s="272">
        <f>PRODUCT(F709,G717,H717)</f>
        <v>5</v>
      </c>
      <c r="J717" s="285">
        <f>(G716*J716)/100</f>
        <v>567.06726633333199</v>
      </c>
      <c r="K717" s="285">
        <f t="shared" si="291"/>
        <v>2835.33633166666</v>
      </c>
      <c r="L717" s="285">
        <f>(G716*L716)/100</f>
        <v>602.23271999999997</v>
      </c>
      <c r="M717" s="286">
        <f t="shared" si="292"/>
        <v>3011.1635999999999</v>
      </c>
      <c r="N717" s="286">
        <v>0</v>
      </c>
      <c r="O717" s="286">
        <v>0</v>
      </c>
      <c r="P717" s="286">
        <f>(G716*P716)/100</f>
        <v>596.36971233333327</v>
      </c>
      <c r="Q717" s="286">
        <f t="shared" si="293"/>
        <v>2981.8485616666662</v>
      </c>
      <c r="R717" s="288">
        <v>0</v>
      </c>
    </row>
    <row r="718" spans="1:18" ht="27.6">
      <c r="A718" s="234"/>
      <c r="B718" s="256">
        <v>82</v>
      </c>
      <c r="C718" s="234" t="str">
        <f>'5.Tiên lượng'!C183</f>
        <v>BB.11221</v>
      </c>
      <c r="D718" s="257" t="str">
        <f>'5.Tiên lượng'!D183</f>
        <v>Lắp đặt ống bê tông bằng cần cẩu, đoạn ống dài 2m - Đường kính 600mm</v>
      </c>
      <c r="E718" s="256" t="str">
        <f>'5.Tiên lượng'!E183</f>
        <v>1 đoạn ống</v>
      </c>
      <c r="F718" s="258">
        <f>'5.Tiên lượng'!M183</f>
        <v>1</v>
      </c>
      <c r="G718" s="259">
        <v>0</v>
      </c>
      <c r="H718" s="259">
        <v>0</v>
      </c>
      <c r="I718" s="259">
        <v>0</v>
      </c>
      <c r="J718" s="279">
        <v>0</v>
      </c>
      <c r="K718" s="279">
        <v>0</v>
      </c>
      <c r="L718" s="279">
        <v>0</v>
      </c>
      <c r="M718" s="280">
        <v>0</v>
      </c>
      <c r="N718" s="280">
        <v>0</v>
      </c>
      <c r="O718" s="280">
        <v>0</v>
      </c>
      <c r="P718" s="280">
        <v>0</v>
      </c>
      <c r="Q718" s="280">
        <v>0</v>
      </c>
      <c r="R718" s="222">
        <v>0</v>
      </c>
    </row>
    <row r="719" spans="1:18">
      <c r="A719" s="240"/>
      <c r="B719" s="260">
        <v>0</v>
      </c>
      <c r="C719" s="261" t="s">
        <v>590</v>
      </c>
      <c r="D719" s="262" t="s">
        <v>262</v>
      </c>
      <c r="E719" s="260"/>
      <c r="F719" s="263">
        <v>0</v>
      </c>
      <c r="G719" s="264">
        <v>0</v>
      </c>
      <c r="H719" s="264"/>
      <c r="I719" s="264">
        <v>0</v>
      </c>
      <c r="J719" s="281">
        <v>0</v>
      </c>
      <c r="K719" s="281">
        <f>SUM(K720:K721)</f>
        <v>1093022.2379999999</v>
      </c>
      <c r="L719" s="281">
        <v>0</v>
      </c>
      <c r="M719" s="282">
        <f>SUM(M720:M721)</f>
        <v>1093022.2379999999</v>
      </c>
      <c r="N719" s="282">
        <v>0</v>
      </c>
      <c r="O719" s="282">
        <v>0</v>
      </c>
      <c r="P719" s="282">
        <v>0</v>
      </c>
      <c r="Q719" s="282">
        <f>SUM(Q720:Q721)</f>
        <v>1130810.8293843376</v>
      </c>
      <c r="R719" s="287">
        <v>0</v>
      </c>
    </row>
    <row r="720" spans="1:18">
      <c r="A720" s="246"/>
      <c r="B720" s="265">
        <v>0</v>
      </c>
      <c r="C720" s="680" t="s">
        <v>678</v>
      </c>
      <c r="D720" s="266" t="str">
        <f>" - "&amp;'Giá VL'!E10</f>
        <v xml:space="preserve"> - Ống bê tông D ≤600mm, L=2m</v>
      </c>
      <c r="E720" s="265" t="str">
        <f>'Giá VL'!F10</f>
        <v>đoạn</v>
      </c>
      <c r="F720" s="267">
        <v>0</v>
      </c>
      <c r="G720" s="268">
        <v>1</v>
      </c>
      <c r="H720" s="268">
        <f>'5.Tiên lượng'!V183</f>
        <v>1</v>
      </c>
      <c r="I720" s="268">
        <f>PRODUCT(F718,G720,H720)</f>
        <v>1</v>
      </c>
      <c r="J720" s="283">
        <f>'Giá VL'!G10</f>
        <v>1092476</v>
      </c>
      <c r="K720" s="283">
        <f t="shared" ref="K720:K721" si="294">PRODUCT(G720,H720,J720)</f>
        <v>1092476</v>
      </c>
      <c r="L720" s="283">
        <f>'Giá VL'!J10</f>
        <v>1092476</v>
      </c>
      <c r="M720" s="284">
        <f t="shared" ref="M720:M721" si="295">PRODUCT(G720,H720,L720)</f>
        <v>1092476</v>
      </c>
      <c r="N720" s="284">
        <v>0</v>
      </c>
      <c r="O720" s="284">
        <v>0</v>
      </c>
      <c r="P720" s="284">
        <f>'Giá VL'!V10</f>
        <v>1130245.706531072</v>
      </c>
      <c r="Q720" s="284">
        <f t="shared" ref="Q720:Q721" si="296">PRODUCT(G720,H720,P720)</f>
        <v>1130245.706531072</v>
      </c>
      <c r="R720" s="287">
        <v>0.05</v>
      </c>
    </row>
    <row r="721" spans="1:18">
      <c r="A721" s="246"/>
      <c r="B721" s="265">
        <v>0</v>
      </c>
      <c r="C721" s="680" t="s">
        <v>620</v>
      </c>
      <c r="D721" s="266" t="s">
        <v>668</v>
      </c>
      <c r="E721" s="265" t="s">
        <v>37</v>
      </c>
      <c r="F721" s="267">
        <v>0</v>
      </c>
      <c r="G721" s="268">
        <f>AVERAGE(R720:R720)</f>
        <v>0.05</v>
      </c>
      <c r="H721" s="268">
        <f>'5.Tiên lượng'!V183</f>
        <v>1</v>
      </c>
      <c r="I721" s="268">
        <f>PRODUCT(F718,G721,H721)</f>
        <v>0.05</v>
      </c>
      <c r="J721" s="283">
        <f>(G720*J720)/100</f>
        <v>10924.76</v>
      </c>
      <c r="K721" s="283">
        <f t="shared" si="294"/>
        <v>546.23800000000006</v>
      </c>
      <c r="L721" s="283">
        <f>(G720*L720)/100</f>
        <v>10924.76</v>
      </c>
      <c r="M721" s="284">
        <f t="shared" si="295"/>
        <v>546.23800000000006</v>
      </c>
      <c r="N721" s="284">
        <v>0</v>
      </c>
      <c r="O721" s="284">
        <v>0</v>
      </c>
      <c r="P721" s="284">
        <f>(G720*P720)/100</f>
        <v>11302.45706531072</v>
      </c>
      <c r="Q721" s="284">
        <f t="shared" si="296"/>
        <v>565.12285326553604</v>
      </c>
      <c r="R721" s="287">
        <v>0</v>
      </c>
    </row>
    <row r="722" spans="1:18">
      <c r="A722" s="240"/>
      <c r="B722" s="260">
        <v>0</v>
      </c>
      <c r="C722" s="261" t="s">
        <v>590</v>
      </c>
      <c r="D722" s="262" t="s">
        <v>265</v>
      </c>
      <c r="E722" s="260"/>
      <c r="F722" s="263">
        <v>0</v>
      </c>
      <c r="G722" s="264">
        <v>0</v>
      </c>
      <c r="H722" s="264"/>
      <c r="I722" s="264">
        <v>0</v>
      </c>
      <c r="J722" s="281">
        <v>0</v>
      </c>
      <c r="K722" s="281">
        <f>SUM(K723:K723)</f>
        <v>86450</v>
      </c>
      <c r="L722" s="281">
        <v>0</v>
      </c>
      <c r="M722" s="282">
        <f>SUM(M723:M723)</f>
        <v>94500</v>
      </c>
      <c r="N722" s="282">
        <v>0</v>
      </c>
      <c r="O722" s="282">
        <v>0</v>
      </c>
      <c r="P722" s="282">
        <v>0</v>
      </c>
      <c r="Q722" s="282">
        <f>SUM(Q723:Q723)</f>
        <v>94500</v>
      </c>
      <c r="R722" s="287">
        <v>0</v>
      </c>
    </row>
    <row r="723" spans="1:18">
      <c r="A723" s="246"/>
      <c r="B723" s="265">
        <v>0</v>
      </c>
      <c r="C723" s="680" t="s">
        <v>622</v>
      </c>
      <c r="D723" s="266" t="str">
        <f>" - "&amp;'Giá NC'!E9</f>
        <v xml:space="preserve"> - Nhân công bậc 3,5/7 - Nhóm 2</v>
      </c>
      <c r="E723" s="265" t="str">
        <f>'Giá NC'!F9</f>
        <v>công</v>
      </c>
      <c r="F723" s="267">
        <v>0</v>
      </c>
      <c r="G723" s="268">
        <v>0.35</v>
      </c>
      <c r="H723" s="268">
        <f>'5.Tiên lượng'!W183</f>
        <v>1</v>
      </c>
      <c r="I723" s="268">
        <f>PRODUCT(F718,G723,H723)</f>
        <v>0.35</v>
      </c>
      <c r="J723" s="283">
        <f>'Giá NC'!G9</f>
        <v>247000</v>
      </c>
      <c r="K723" s="283">
        <f>PRODUCT(G723,H723,J723)</f>
        <v>86450</v>
      </c>
      <c r="L723" s="283">
        <f>'Giá NC'!H9</f>
        <v>270000</v>
      </c>
      <c r="M723" s="284">
        <f>PRODUCT(G723,H723,L723)</f>
        <v>94500</v>
      </c>
      <c r="N723" s="284">
        <v>0</v>
      </c>
      <c r="O723" s="284">
        <v>0</v>
      </c>
      <c r="P723" s="284">
        <f>'Giá NC'!K9</f>
        <v>270000</v>
      </c>
      <c r="Q723" s="284">
        <f>PRODUCT(G723,H723,P723)</f>
        <v>94500</v>
      </c>
      <c r="R723" s="287">
        <v>0</v>
      </c>
    </row>
    <row r="724" spans="1:18">
      <c r="A724" s="240"/>
      <c r="B724" s="260">
        <v>0</v>
      </c>
      <c r="C724" s="261" t="s">
        <v>590</v>
      </c>
      <c r="D724" s="262" t="s">
        <v>267</v>
      </c>
      <c r="E724" s="260"/>
      <c r="F724" s="263">
        <v>0</v>
      </c>
      <c r="G724" s="264">
        <v>0</v>
      </c>
      <c r="H724" s="264"/>
      <c r="I724" s="264">
        <v>0</v>
      </c>
      <c r="J724" s="281">
        <v>0</v>
      </c>
      <c r="K724" s="281">
        <f>SUM(K725:K726)</f>
        <v>90117.716919999802</v>
      </c>
      <c r="L724" s="281">
        <v>0</v>
      </c>
      <c r="M724" s="282">
        <f>SUM(M725:M726)</f>
        <v>95706.1728</v>
      </c>
      <c r="N724" s="282">
        <v>0</v>
      </c>
      <c r="O724" s="282">
        <v>0</v>
      </c>
      <c r="P724" s="282">
        <v>0</v>
      </c>
      <c r="Q724" s="282">
        <f>SUM(Q725:Q726)</f>
        <v>94774.429959999994</v>
      </c>
      <c r="R724" s="287">
        <v>0</v>
      </c>
    </row>
    <row r="725" spans="1:18">
      <c r="A725" s="246"/>
      <c r="B725" s="265">
        <v>0</v>
      </c>
      <c r="C725" s="680" t="s">
        <v>665</v>
      </c>
      <c r="D725" s="266" t="str">
        <f>" - "&amp;'Giá Máy'!E6</f>
        <v xml:space="preserve"> - Cần cẩu bánh hơi 6T</v>
      </c>
      <c r="E725" s="265" t="str">
        <f>'Giá Máy'!F6</f>
        <v>ca</v>
      </c>
      <c r="F725" s="267">
        <v>0</v>
      </c>
      <c r="G725" s="268">
        <v>5.6000000000000001E-2</v>
      </c>
      <c r="H725" s="268">
        <f>'5.Tiên lượng'!X183</f>
        <v>1</v>
      </c>
      <c r="I725" s="268">
        <f>PRODUCT(F718,G725,H725)</f>
        <v>5.6000000000000001E-2</v>
      </c>
      <c r="J725" s="283">
        <f>'Giá Máy'!G6</f>
        <v>1532614.2333333299</v>
      </c>
      <c r="K725" s="283">
        <f t="shared" ref="K725:K726" si="297">PRODUCT(G725,H725,J725)</f>
        <v>85826.397066666483</v>
      </c>
      <c r="L725" s="283">
        <f>'Giá Máy'!H6</f>
        <v>1627656</v>
      </c>
      <c r="M725" s="284">
        <f t="shared" ref="M725:M726" si="298">PRODUCT(G725,H725,L725)</f>
        <v>91148.736000000004</v>
      </c>
      <c r="N725" s="284">
        <v>0</v>
      </c>
      <c r="O725" s="284">
        <v>0</v>
      </c>
      <c r="P725" s="284">
        <f>'Giá Máy'!O6</f>
        <v>1611810.0333333332</v>
      </c>
      <c r="Q725" s="284">
        <f t="shared" ref="Q725:Q726" si="299">PRODUCT(G725,H725,P725)</f>
        <v>90261.361866666659</v>
      </c>
      <c r="R725" s="287">
        <v>5</v>
      </c>
    </row>
    <row r="726" spans="1:18">
      <c r="A726" s="251"/>
      <c r="B726" s="269">
        <v>0</v>
      </c>
      <c r="C726" s="681" t="s">
        <v>611</v>
      </c>
      <c r="D726" s="270" t="s">
        <v>612</v>
      </c>
      <c r="E726" s="269" t="s">
        <v>37</v>
      </c>
      <c r="F726" s="271">
        <v>0</v>
      </c>
      <c r="G726" s="272">
        <f>AVERAGE(R725:R725)</f>
        <v>5</v>
      </c>
      <c r="H726" s="272">
        <f>'5.Tiên lượng'!X183</f>
        <v>1</v>
      </c>
      <c r="I726" s="272">
        <f>PRODUCT(F718,G726,H726)</f>
        <v>5</v>
      </c>
      <c r="J726" s="285">
        <f>(G725*J725)/100</f>
        <v>858.26397066666482</v>
      </c>
      <c r="K726" s="285">
        <f t="shared" si="297"/>
        <v>4291.3198533333243</v>
      </c>
      <c r="L726" s="285">
        <f>(G725*L725)/100</f>
        <v>911.48736000000008</v>
      </c>
      <c r="M726" s="286">
        <f t="shared" si="298"/>
        <v>4557.4368000000004</v>
      </c>
      <c r="N726" s="286">
        <v>0</v>
      </c>
      <c r="O726" s="286">
        <v>0</v>
      </c>
      <c r="P726" s="286">
        <f>(G725*P725)/100</f>
        <v>902.61361866666664</v>
      </c>
      <c r="Q726" s="286">
        <f t="shared" si="299"/>
        <v>4513.0680933333333</v>
      </c>
      <c r="R726" s="288">
        <v>0</v>
      </c>
    </row>
    <row r="727" spans="1:18" ht="27.6">
      <c r="A727" s="234"/>
      <c r="B727" s="256">
        <v>83</v>
      </c>
      <c r="C727" s="234" t="str">
        <f>'5.Tiên lượng'!C184</f>
        <v>BB.11222VD</v>
      </c>
      <c r="D727" s="257" t="str">
        <f>'5.Tiên lượng'!D184</f>
        <v>Lắp đặt ống bê tông bằng cần cẩu, đoạn ống dài 2m - Đường kính 800mm</v>
      </c>
      <c r="E727" s="256" t="str">
        <f>'5.Tiên lượng'!E184</f>
        <v>1 đoạn ống</v>
      </c>
      <c r="F727" s="258">
        <f>'5.Tiên lượng'!M184</f>
        <v>1</v>
      </c>
      <c r="G727" s="259">
        <v>0</v>
      </c>
      <c r="H727" s="259">
        <v>0</v>
      </c>
      <c r="I727" s="259">
        <v>0</v>
      </c>
      <c r="J727" s="279">
        <v>0</v>
      </c>
      <c r="K727" s="279">
        <v>0</v>
      </c>
      <c r="L727" s="279">
        <v>0</v>
      </c>
      <c r="M727" s="280">
        <v>0</v>
      </c>
      <c r="N727" s="280">
        <v>0</v>
      </c>
      <c r="O727" s="280">
        <v>0</v>
      </c>
      <c r="P727" s="280">
        <v>0</v>
      </c>
      <c r="Q727" s="280">
        <v>0</v>
      </c>
      <c r="R727" s="222">
        <v>0</v>
      </c>
    </row>
    <row r="728" spans="1:18">
      <c r="A728" s="240"/>
      <c r="B728" s="260">
        <v>0</v>
      </c>
      <c r="C728" s="261" t="s">
        <v>590</v>
      </c>
      <c r="D728" s="262" t="s">
        <v>262</v>
      </c>
      <c r="E728" s="260"/>
      <c r="F728" s="263">
        <v>0</v>
      </c>
      <c r="G728" s="264">
        <v>0</v>
      </c>
      <c r="H728" s="264"/>
      <c r="I728" s="264">
        <v>0</v>
      </c>
      <c r="J728" s="281">
        <v>0</v>
      </c>
      <c r="K728" s="281">
        <f>SUM(K729:K730)</f>
        <v>1855133.1029999999</v>
      </c>
      <c r="L728" s="281">
        <v>0</v>
      </c>
      <c r="M728" s="282">
        <f>SUM(M729:M730)</f>
        <v>1855133.1029999999</v>
      </c>
      <c r="N728" s="282">
        <v>0</v>
      </c>
      <c r="O728" s="282">
        <v>0</v>
      </c>
      <c r="P728" s="282">
        <v>0</v>
      </c>
      <c r="Q728" s="282">
        <f>SUM(Q729:Q730)</f>
        <v>1942165.0296418353</v>
      </c>
      <c r="R728" s="287">
        <v>0</v>
      </c>
    </row>
    <row r="729" spans="1:18">
      <c r="A729" s="246"/>
      <c r="B729" s="265">
        <v>0</v>
      </c>
      <c r="C729" s="680" t="s">
        <v>679</v>
      </c>
      <c r="D729" s="266" t="str">
        <f>" - "&amp;'Giá VL'!E7</f>
        <v xml:space="preserve"> - Ống bê tông D800mm, L=2m</v>
      </c>
      <c r="E729" s="265" t="str">
        <f>'Giá VL'!F7</f>
        <v>đoạn</v>
      </c>
      <c r="F729" s="267">
        <v>0</v>
      </c>
      <c r="G729" s="268">
        <v>1</v>
      </c>
      <c r="H729" s="268">
        <f>'5.Tiên lượng'!V184</f>
        <v>1</v>
      </c>
      <c r="I729" s="268">
        <f>PRODUCT(F727,G729,H729)</f>
        <v>1</v>
      </c>
      <c r="J729" s="283">
        <f>'Giá VL'!G7</f>
        <v>1854206</v>
      </c>
      <c r="K729" s="283">
        <f t="shared" ref="K729:K730" si="300">PRODUCT(G729,H729,J729)</f>
        <v>1854206</v>
      </c>
      <c r="L729" s="283">
        <f>'Giá VL'!J7</f>
        <v>1854206</v>
      </c>
      <c r="M729" s="284">
        <f t="shared" ref="M729:M730" si="301">PRODUCT(G729,H729,L729)</f>
        <v>1854206</v>
      </c>
      <c r="N729" s="284">
        <v>0</v>
      </c>
      <c r="O729" s="284">
        <v>0</v>
      </c>
      <c r="P729" s="284">
        <f>'Giá VL'!V7</f>
        <v>1941194.4324256224</v>
      </c>
      <c r="Q729" s="284">
        <f t="shared" ref="Q729:Q730" si="302">PRODUCT(G729,H729,P729)</f>
        <v>1941194.4324256224</v>
      </c>
      <c r="R729" s="287">
        <v>0.05</v>
      </c>
    </row>
    <row r="730" spans="1:18">
      <c r="A730" s="246"/>
      <c r="B730" s="265">
        <v>0</v>
      </c>
      <c r="C730" s="680" t="s">
        <v>620</v>
      </c>
      <c r="D730" s="266" t="s">
        <v>668</v>
      </c>
      <c r="E730" s="265" t="s">
        <v>37</v>
      </c>
      <c r="F730" s="267">
        <v>0</v>
      </c>
      <c r="G730" s="268">
        <f>AVERAGE(R729:R729)</f>
        <v>0.05</v>
      </c>
      <c r="H730" s="268">
        <f>'5.Tiên lượng'!V184</f>
        <v>1</v>
      </c>
      <c r="I730" s="268">
        <f>PRODUCT(F727,G730,H730)</f>
        <v>0.05</v>
      </c>
      <c r="J730" s="283">
        <f>(G729*J729)/100</f>
        <v>18542.060000000001</v>
      </c>
      <c r="K730" s="283">
        <f t="shared" si="300"/>
        <v>927.10300000000007</v>
      </c>
      <c r="L730" s="283">
        <f>(G729*L729)/100</f>
        <v>18542.060000000001</v>
      </c>
      <c r="M730" s="284">
        <f t="shared" si="301"/>
        <v>927.10300000000007</v>
      </c>
      <c r="N730" s="284">
        <v>0</v>
      </c>
      <c r="O730" s="284">
        <v>0</v>
      </c>
      <c r="P730" s="284">
        <f>(G729*P729)/100</f>
        <v>19411.944324256223</v>
      </c>
      <c r="Q730" s="284">
        <f t="shared" si="302"/>
        <v>970.59721621281119</v>
      </c>
      <c r="R730" s="287">
        <v>0</v>
      </c>
    </row>
    <row r="731" spans="1:18">
      <c r="A731" s="240"/>
      <c r="B731" s="260">
        <v>0</v>
      </c>
      <c r="C731" s="261" t="s">
        <v>590</v>
      </c>
      <c r="D731" s="262" t="s">
        <v>265</v>
      </c>
      <c r="E731" s="260"/>
      <c r="F731" s="263">
        <v>0</v>
      </c>
      <c r="G731" s="264">
        <v>0</v>
      </c>
      <c r="H731" s="264"/>
      <c r="I731" s="264">
        <v>0</v>
      </c>
      <c r="J731" s="281">
        <v>0</v>
      </c>
      <c r="K731" s="281">
        <f>SUM(K732:K732)</f>
        <v>155610</v>
      </c>
      <c r="L731" s="281">
        <v>0</v>
      </c>
      <c r="M731" s="282">
        <f>SUM(M732:M732)</f>
        <v>170100</v>
      </c>
      <c r="N731" s="282">
        <v>0</v>
      </c>
      <c r="O731" s="282">
        <v>0</v>
      </c>
      <c r="P731" s="282">
        <v>0</v>
      </c>
      <c r="Q731" s="282">
        <f>SUM(Q732:Q732)</f>
        <v>170100</v>
      </c>
      <c r="R731" s="287">
        <v>0</v>
      </c>
    </row>
    <row r="732" spans="1:18">
      <c r="A732" s="246"/>
      <c r="B732" s="265">
        <v>0</v>
      </c>
      <c r="C732" s="680" t="s">
        <v>622</v>
      </c>
      <c r="D732" s="266" t="str">
        <f>" - "&amp;'Giá NC'!E9</f>
        <v xml:space="preserve"> - Nhân công bậc 3,5/7 - Nhóm 2</v>
      </c>
      <c r="E732" s="265" t="str">
        <f>'Giá NC'!F9</f>
        <v>công</v>
      </c>
      <c r="F732" s="267">
        <v>0</v>
      </c>
      <c r="G732" s="268">
        <v>0.63</v>
      </c>
      <c r="H732" s="268">
        <f>'5.Tiên lượng'!W184</f>
        <v>1</v>
      </c>
      <c r="I732" s="268">
        <f>PRODUCT(F727,G732,H732)</f>
        <v>0.63</v>
      </c>
      <c r="J732" s="283">
        <f>'Giá NC'!G9</f>
        <v>247000</v>
      </c>
      <c r="K732" s="283">
        <f>PRODUCT(G732,H732,J732)</f>
        <v>155610</v>
      </c>
      <c r="L732" s="283">
        <f>'Giá NC'!H9</f>
        <v>270000</v>
      </c>
      <c r="M732" s="284">
        <f>PRODUCT(G732,H732,L732)</f>
        <v>170100</v>
      </c>
      <c r="N732" s="284">
        <v>0</v>
      </c>
      <c r="O732" s="284">
        <v>0</v>
      </c>
      <c r="P732" s="284">
        <f>'Giá NC'!K9</f>
        <v>270000</v>
      </c>
      <c r="Q732" s="284">
        <f>PRODUCT(G732,H732,P732)</f>
        <v>170100</v>
      </c>
      <c r="R732" s="287">
        <v>0</v>
      </c>
    </row>
    <row r="733" spans="1:18">
      <c r="A733" s="240"/>
      <c r="B733" s="260">
        <v>0</v>
      </c>
      <c r="C733" s="261" t="s">
        <v>590</v>
      </c>
      <c r="D733" s="262" t="s">
        <v>267</v>
      </c>
      <c r="E733" s="260"/>
      <c r="F733" s="263">
        <v>0</v>
      </c>
      <c r="G733" s="264">
        <v>0</v>
      </c>
      <c r="H733" s="264"/>
      <c r="I733" s="264">
        <v>0</v>
      </c>
      <c r="J733" s="281">
        <v>0</v>
      </c>
      <c r="K733" s="281">
        <f>SUM(K734:K735)</f>
        <v>96554.696699999782</v>
      </c>
      <c r="L733" s="281">
        <v>0</v>
      </c>
      <c r="M733" s="282">
        <f>SUM(M734:M735)</f>
        <v>102542.32799999999</v>
      </c>
      <c r="N733" s="282">
        <v>0</v>
      </c>
      <c r="O733" s="282">
        <v>0</v>
      </c>
      <c r="P733" s="282">
        <v>0</v>
      </c>
      <c r="Q733" s="282">
        <f>SUM(Q734:Q735)</f>
        <v>101544.03209999998</v>
      </c>
      <c r="R733" s="287">
        <v>0</v>
      </c>
    </row>
    <row r="734" spans="1:18">
      <c r="A734" s="246"/>
      <c r="B734" s="265">
        <v>0</v>
      </c>
      <c r="C734" s="680" t="s">
        <v>665</v>
      </c>
      <c r="D734" s="266" t="str">
        <f>" - "&amp;'Giá Máy'!E6</f>
        <v xml:space="preserve"> - Cần cẩu bánh hơi 6T</v>
      </c>
      <c r="E734" s="265" t="str">
        <f>'Giá Máy'!F6</f>
        <v>ca</v>
      </c>
      <c r="F734" s="267">
        <v>0</v>
      </c>
      <c r="G734" s="268">
        <v>0.06</v>
      </c>
      <c r="H734" s="268">
        <f>'5.Tiên lượng'!X184</f>
        <v>1</v>
      </c>
      <c r="I734" s="268">
        <f>PRODUCT(F727,G734,H734)</f>
        <v>0.06</v>
      </c>
      <c r="J734" s="283">
        <f>'Giá Máy'!G6</f>
        <v>1532614.2333333299</v>
      </c>
      <c r="K734" s="283">
        <f t="shared" ref="K734:K735" si="303">PRODUCT(G734,H734,J734)</f>
        <v>91956.853999999788</v>
      </c>
      <c r="L734" s="283">
        <f>'Giá Máy'!H6</f>
        <v>1627656</v>
      </c>
      <c r="M734" s="284">
        <f t="shared" ref="M734:M735" si="304">PRODUCT(G734,H734,L734)</f>
        <v>97659.36</v>
      </c>
      <c r="N734" s="284">
        <v>0</v>
      </c>
      <c r="O734" s="284">
        <v>0</v>
      </c>
      <c r="P734" s="284">
        <f>'Giá Máy'!O6</f>
        <v>1611810.0333333332</v>
      </c>
      <c r="Q734" s="284">
        <f t="shared" ref="Q734:Q735" si="305">PRODUCT(G734,H734,P734)</f>
        <v>96708.601999999984</v>
      </c>
      <c r="R734" s="287">
        <v>5</v>
      </c>
    </row>
    <row r="735" spans="1:18">
      <c r="A735" s="251"/>
      <c r="B735" s="269">
        <v>0</v>
      </c>
      <c r="C735" s="681" t="s">
        <v>611</v>
      </c>
      <c r="D735" s="270" t="s">
        <v>612</v>
      </c>
      <c r="E735" s="269" t="s">
        <v>37</v>
      </c>
      <c r="F735" s="271">
        <v>0</v>
      </c>
      <c r="G735" s="272">
        <f>AVERAGE(R734:R734)</f>
        <v>5</v>
      </c>
      <c r="H735" s="272">
        <f>'5.Tiên lượng'!X184</f>
        <v>1</v>
      </c>
      <c r="I735" s="272">
        <f>PRODUCT(F727,G735,H735)</f>
        <v>5</v>
      </c>
      <c r="J735" s="285">
        <f>(G734*J734)/100</f>
        <v>919.56853999999794</v>
      </c>
      <c r="K735" s="285">
        <f t="shared" si="303"/>
        <v>4597.8426999999901</v>
      </c>
      <c r="L735" s="285">
        <f>(G734*L734)/100</f>
        <v>976.59360000000004</v>
      </c>
      <c r="M735" s="286">
        <f t="shared" si="304"/>
        <v>4882.9679999999998</v>
      </c>
      <c r="N735" s="286">
        <v>0</v>
      </c>
      <c r="O735" s="286">
        <v>0</v>
      </c>
      <c r="P735" s="286">
        <f>(G734*P734)/100</f>
        <v>967.08601999999985</v>
      </c>
      <c r="Q735" s="286">
        <f t="shared" si="305"/>
        <v>4835.4300999999996</v>
      </c>
      <c r="R735" s="288">
        <v>0</v>
      </c>
    </row>
    <row r="736" spans="1:18" ht="27.6">
      <c r="A736" s="234"/>
      <c r="B736" s="256">
        <v>84</v>
      </c>
      <c r="C736" s="234" t="str">
        <f>'5.Tiên lượng'!C185</f>
        <v>BB.13503</v>
      </c>
      <c r="D736" s="257" t="str">
        <f>'5.Tiên lượng'!D185</f>
        <v>Nối ống bê tông bằng phương pháp xảm - Đường kính 400mm</v>
      </c>
      <c r="E736" s="256" t="str">
        <f>'5.Tiên lượng'!E185</f>
        <v>mối nối</v>
      </c>
      <c r="F736" s="258">
        <f>'5.Tiên lượng'!M185</f>
        <v>13</v>
      </c>
      <c r="G736" s="259">
        <v>0</v>
      </c>
      <c r="H736" s="259">
        <v>0</v>
      </c>
      <c r="I736" s="259">
        <v>0</v>
      </c>
      <c r="J736" s="279">
        <v>0</v>
      </c>
      <c r="K736" s="279">
        <v>0</v>
      </c>
      <c r="L736" s="279">
        <v>0</v>
      </c>
      <c r="M736" s="280">
        <v>0</v>
      </c>
      <c r="N736" s="280">
        <v>0</v>
      </c>
      <c r="O736" s="280">
        <v>0</v>
      </c>
      <c r="P736" s="280">
        <v>0</v>
      </c>
      <c r="Q736" s="280">
        <v>0</v>
      </c>
      <c r="R736" s="222">
        <v>0</v>
      </c>
    </row>
    <row r="737" spans="1:18">
      <c r="A737" s="240"/>
      <c r="B737" s="260">
        <v>0</v>
      </c>
      <c r="C737" s="261" t="s">
        <v>590</v>
      </c>
      <c r="D737" s="262" t="s">
        <v>262</v>
      </c>
      <c r="E737" s="260"/>
      <c r="F737" s="263">
        <v>0</v>
      </c>
      <c r="G737" s="264">
        <v>0</v>
      </c>
      <c r="H737" s="264"/>
      <c r="I737" s="264">
        <v>0</v>
      </c>
      <c r="J737" s="281">
        <v>0</v>
      </c>
      <c r="K737" s="281">
        <f>SUM(K738:K740)</f>
        <v>7871.5519999999997</v>
      </c>
      <c r="L737" s="281">
        <v>0</v>
      </c>
      <c r="M737" s="282">
        <f>SUM(M738:M740)</f>
        <v>8695.8080000000009</v>
      </c>
      <c r="N737" s="282">
        <v>0</v>
      </c>
      <c r="O737" s="282">
        <v>0</v>
      </c>
      <c r="P737" s="282">
        <v>0</v>
      </c>
      <c r="Q737" s="282">
        <f>SUM(Q738:Q740)</f>
        <v>9629.2935134712206</v>
      </c>
      <c r="R737" s="287">
        <v>0</v>
      </c>
    </row>
    <row r="738" spans="1:18">
      <c r="A738" s="246"/>
      <c r="B738" s="265">
        <v>0</v>
      </c>
      <c r="C738" s="680" t="s">
        <v>615</v>
      </c>
      <c r="D738" s="266" t="str">
        <f>" - "&amp;'Giá VL'!E17</f>
        <v xml:space="preserve"> - Cát vàng</v>
      </c>
      <c r="E738" s="265" t="str">
        <f>'Giá VL'!F17</f>
        <v>m3</v>
      </c>
      <c r="F738" s="267">
        <v>0</v>
      </c>
      <c r="G738" s="268">
        <v>6.7904000000000003E-3</v>
      </c>
      <c r="H738" s="268">
        <f>'5.Tiên lượng'!V185</f>
        <v>1</v>
      </c>
      <c r="I738" s="268">
        <f>PRODUCT(F736,G738,H738)</f>
        <v>8.8275199999999998E-2</v>
      </c>
      <c r="J738" s="283">
        <f>'Giá VL'!G17</f>
        <v>580000</v>
      </c>
      <c r="K738" s="283">
        <f t="shared" ref="K738:K740" si="306">PRODUCT(G738,H738,J738)</f>
        <v>3938.4320000000002</v>
      </c>
      <c r="L738" s="283">
        <f>'Giá VL'!J17</f>
        <v>580000</v>
      </c>
      <c r="M738" s="284">
        <f t="shared" ref="M738:M740" si="307">PRODUCT(G738,H738,L738)</f>
        <v>3938.4320000000002</v>
      </c>
      <c r="N738" s="284">
        <v>0</v>
      </c>
      <c r="O738" s="284">
        <v>0</v>
      </c>
      <c r="P738" s="284">
        <f>'Giá VL'!V17</f>
        <v>659026.49526849983</v>
      </c>
      <c r="Q738" s="284">
        <f t="shared" ref="Q738:Q740" si="308">PRODUCT(G738,H738,P738)</f>
        <v>4475.0535134712218</v>
      </c>
      <c r="R738" s="287">
        <v>0</v>
      </c>
    </row>
    <row r="739" spans="1:18">
      <c r="A739" s="246"/>
      <c r="B739" s="265">
        <v>0</v>
      </c>
      <c r="C739" s="680" t="s">
        <v>617</v>
      </c>
      <c r="D739" s="266" t="str">
        <f>" - "&amp;'Giá VL'!E33</f>
        <v xml:space="preserve"> - Nước</v>
      </c>
      <c r="E739" s="265" t="str">
        <f>'Giá VL'!F33</f>
        <v>lít</v>
      </c>
      <c r="F739" s="267">
        <v>0</v>
      </c>
      <c r="G739" s="268">
        <v>1.7023999999999999</v>
      </c>
      <c r="H739" s="268">
        <f>'5.Tiên lượng'!V185</f>
        <v>1</v>
      </c>
      <c r="I739" s="268">
        <f>PRODUCT(F736,G739,H739)</f>
        <v>22.1312</v>
      </c>
      <c r="J739" s="283">
        <f>'Giá VL'!G33</f>
        <v>15</v>
      </c>
      <c r="K739" s="283">
        <f t="shared" si="306"/>
        <v>25.535999999999998</v>
      </c>
      <c r="L739" s="283">
        <f>'Giá VL'!J33</f>
        <v>15</v>
      </c>
      <c r="M739" s="284">
        <f t="shared" si="307"/>
        <v>25.535999999999998</v>
      </c>
      <c r="N739" s="284">
        <v>0</v>
      </c>
      <c r="O739" s="284">
        <v>0</v>
      </c>
      <c r="P739" s="284">
        <f>'Giá VL'!V33</f>
        <v>15</v>
      </c>
      <c r="Q739" s="284">
        <f t="shared" si="308"/>
        <v>25.535999999999998</v>
      </c>
      <c r="R739" s="287">
        <v>0</v>
      </c>
    </row>
    <row r="740" spans="1:18">
      <c r="A740" s="246"/>
      <c r="B740" s="265">
        <v>0</v>
      </c>
      <c r="C740" s="680" t="s">
        <v>670</v>
      </c>
      <c r="D740" s="266" t="str">
        <f>" - "&amp;'Giá VL'!E44</f>
        <v xml:space="preserve"> - Xi măng PCB30</v>
      </c>
      <c r="E740" s="265" t="str">
        <f>'Giá VL'!F44</f>
        <v>kg</v>
      </c>
      <c r="F740" s="267">
        <v>0</v>
      </c>
      <c r="G740" s="268">
        <v>3.0528</v>
      </c>
      <c r="H740" s="268">
        <f>'5.Tiên lượng'!V185</f>
        <v>1</v>
      </c>
      <c r="I740" s="268">
        <f>PRODUCT(F736,G740,H740)</f>
        <v>39.686399999999999</v>
      </c>
      <c r="J740" s="283">
        <f>'Giá VL'!G44</f>
        <v>1280</v>
      </c>
      <c r="K740" s="283">
        <f t="shared" si="306"/>
        <v>3907.5839999999998</v>
      </c>
      <c r="L740" s="283">
        <f>'Giá VL'!J44</f>
        <v>1550</v>
      </c>
      <c r="M740" s="284">
        <f t="shared" si="307"/>
        <v>4731.84</v>
      </c>
      <c r="N740" s="284">
        <v>0</v>
      </c>
      <c r="O740" s="284">
        <v>0</v>
      </c>
      <c r="P740" s="284">
        <f>'Giá VL'!V44</f>
        <v>1680</v>
      </c>
      <c r="Q740" s="284">
        <f t="shared" si="308"/>
        <v>5128.7039999999997</v>
      </c>
      <c r="R740" s="287">
        <v>0</v>
      </c>
    </row>
    <row r="741" spans="1:18">
      <c r="A741" s="240"/>
      <c r="B741" s="260">
        <v>0</v>
      </c>
      <c r="C741" s="261" t="s">
        <v>590</v>
      </c>
      <c r="D741" s="262" t="s">
        <v>265</v>
      </c>
      <c r="E741" s="260"/>
      <c r="F741" s="263">
        <v>0</v>
      </c>
      <c r="G741" s="264">
        <v>0</v>
      </c>
      <c r="H741" s="264"/>
      <c r="I741" s="264">
        <v>0</v>
      </c>
      <c r="J741" s="281">
        <v>0</v>
      </c>
      <c r="K741" s="281">
        <f>SUM(K742:K742)</f>
        <v>22230</v>
      </c>
      <c r="L741" s="281">
        <v>0</v>
      </c>
      <c r="M741" s="282">
        <f>SUM(M742:M742)</f>
        <v>24300</v>
      </c>
      <c r="N741" s="282">
        <v>0</v>
      </c>
      <c r="O741" s="282">
        <v>0</v>
      </c>
      <c r="P741" s="282">
        <v>0</v>
      </c>
      <c r="Q741" s="282">
        <f>SUM(Q742:Q742)</f>
        <v>24300</v>
      </c>
      <c r="R741" s="287">
        <v>0</v>
      </c>
    </row>
    <row r="742" spans="1:18">
      <c r="A742" s="251"/>
      <c r="B742" s="269">
        <v>0</v>
      </c>
      <c r="C742" s="681" t="s">
        <v>622</v>
      </c>
      <c r="D742" s="270" t="str">
        <f>" - "&amp;'Giá NC'!E9</f>
        <v xml:space="preserve"> - Nhân công bậc 3,5/7 - Nhóm 2</v>
      </c>
      <c r="E742" s="269" t="str">
        <f>'Giá NC'!F9</f>
        <v>công</v>
      </c>
      <c r="F742" s="271">
        <v>0</v>
      </c>
      <c r="G742" s="272">
        <v>0.09</v>
      </c>
      <c r="H742" s="272">
        <f>'5.Tiên lượng'!W185</f>
        <v>1</v>
      </c>
      <c r="I742" s="272">
        <f>PRODUCT(F736,G742,H742)</f>
        <v>1.17</v>
      </c>
      <c r="J742" s="285">
        <f>'Giá NC'!G9</f>
        <v>247000</v>
      </c>
      <c r="K742" s="285">
        <f>PRODUCT(G742,H742,J742)</f>
        <v>22230</v>
      </c>
      <c r="L742" s="285">
        <f>'Giá NC'!H9</f>
        <v>270000</v>
      </c>
      <c r="M742" s="286">
        <f>PRODUCT(G742,H742,L742)</f>
        <v>24300</v>
      </c>
      <c r="N742" s="286">
        <v>0</v>
      </c>
      <c r="O742" s="286">
        <v>0</v>
      </c>
      <c r="P742" s="286">
        <f>'Giá NC'!K9</f>
        <v>270000</v>
      </c>
      <c r="Q742" s="286">
        <f>PRODUCT(G742,H742,P742)</f>
        <v>24300</v>
      </c>
      <c r="R742" s="288">
        <v>0</v>
      </c>
    </row>
    <row r="743" spans="1:18" ht="27.6">
      <c r="A743" s="234"/>
      <c r="B743" s="256">
        <v>85</v>
      </c>
      <c r="C743" s="234" t="str">
        <f>'5.Tiên lượng'!C186</f>
        <v>BB.13505</v>
      </c>
      <c r="D743" s="257" t="str">
        <f>'5.Tiên lượng'!D186</f>
        <v>Nối ống bê tông bằng phương pháp xảm - Đường kính 600mm</v>
      </c>
      <c r="E743" s="256" t="str">
        <f>'5.Tiên lượng'!E186</f>
        <v>mối nối</v>
      </c>
      <c r="F743" s="258">
        <f>'5.Tiên lượng'!M186</f>
        <v>2</v>
      </c>
      <c r="G743" s="259">
        <v>0</v>
      </c>
      <c r="H743" s="259">
        <v>0</v>
      </c>
      <c r="I743" s="259">
        <v>0</v>
      </c>
      <c r="J743" s="279">
        <v>0</v>
      </c>
      <c r="K743" s="279">
        <v>0</v>
      </c>
      <c r="L743" s="279">
        <v>0</v>
      </c>
      <c r="M743" s="280">
        <v>0</v>
      </c>
      <c r="N743" s="280">
        <v>0</v>
      </c>
      <c r="O743" s="280">
        <v>0</v>
      </c>
      <c r="P743" s="280">
        <v>0</v>
      </c>
      <c r="Q743" s="280">
        <v>0</v>
      </c>
      <c r="R743" s="222">
        <v>0</v>
      </c>
    </row>
    <row r="744" spans="1:18">
      <c r="A744" s="240"/>
      <c r="B744" s="260">
        <v>0</v>
      </c>
      <c r="C744" s="261" t="s">
        <v>590</v>
      </c>
      <c r="D744" s="262" t="s">
        <v>262</v>
      </c>
      <c r="E744" s="260"/>
      <c r="F744" s="263">
        <v>0</v>
      </c>
      <c r="G744" s="264">
        <v>0</v>
      </c>
      <c r="H744" s="264"/>
      <c r="I744" s="264">
        <v>0</v>
      </c>
      <c r="J744" s="281">
        <v>0</v>
      </c>
      <c r="K744" s="281">
        <f>SUM(K745:K747)</f>
        <v>11807.328000000001</v>
      </c>
      <c r="L744" s="281">
        <v>0</v>
      </c>
      <c r="M744" s="282">
        <f>SUM(M745:M747)</f>
        <v>13043.712</v>
      </c>
      <c r="N744" s="282">
        <v>0</v>
      </c>
      <c r="O744" s="282">
        <v>0</v>
      </c>
      <c r="P744" s="282">
        <v>0</v>
      </c>
      <c r="Q744" s="282">
        <f>SUM(Q745:Q747)</f>
        <v>14443.940270206833</v>
      </c>
      <c r="R744" s="287">
        <v>0</v>
      </c>
    </row>
    <row r="745" spans="1:18">
      <c r="A745" s="246"/>
      <c r="B745" s="265">
        <v>0</v>
      </c>
      <c r="C745" s="680" t="s">
        <v>615</v>
      </c>
      <c r="D745" s="266" t="str">
        <f>" - "&amp;'Giá VL'!E17</f>
        <v xml:space="preserve"> - Cát vàng</v>
      </c>
      <c r="E745" s="265" t="str">
        <f>'Giá VL'!F17</f>
        <v>m3</v>
      </c>
      <c r="F745" s="267">
        <v>0</v>
      </c>
      <c r="G745" s="268">
        <v>1.01856E-2</v>
      </c>
      <c r="H745" s="268">
        <f>'5.Tiên lượng'!V186</f>
        <v>1</v>
      </c>
      <c r="I745" s="268">
        <f>PRODUCT(F743,G745,H745)</f>
        <v>2.0371199999999999E-2</v>
      </c>
      <c r="J745" s="283">
        <f>'Giá VL'!G17</f>
        <v>580000</v>
      </c>
      <c r="K745" s="283">
        <f t="shared" ref="K745:K747" si="309">PRODUCT(G745,H745,J745)</f>
        <v>5907.6480000000001</v>
      </c>
      <c r="L745" s="283">
        <f>'Giá VL'!J17</f>
        <v>580000</v>
      </c>
      <c r="M745" s="284">
        <f t="shared" ref="M745:M747" si="310">PRODUCT(G745,H745,L745)</f>
        <v>5907.6480000000001</v>
      </c>
      <c r="N745" s="284">
        <v>0</v>
      </c>
      <c r="O745" s="284">
        <v>0</v>
      </c>
      <c r="P745" s="284">
        <f>'Giá VL'!V17</f>
        <v>659026.49526849983</v>
      </c>
      <c r="Q745" s="284">
        <f t="shared" ref="Q745:Q747" si="311">PRODUCT(G745,H745,P745)</f>
        <v>6712.5802702068313</v>
      </c>
      <c r="R745" s="287">
        <v>0</v>
      </c>
    </row>
    <row r="746" spans="1:18">
      <c r="A746" s="246"/>
      <c r="B746" s="265">
        <v>0</v>
      </c>
      <c r="C746" s="680" t="s">
        <v>617</v>
      </c>
      <c r="D746" s="266" t="str">
        <f>" - "&amp;'Giá VL'!E33</f>
        <v xml:space="preserve"> - Nước</v>
      </c>
      <c r="E746" s="265" t="str">
        <f>'Giá VL'!F33</f>
        <v>lít</v>
      </c>
      <c r="F746" s="267">
        <v>0</v>
      </c>
      <c r="G746" s="268">
        <v>2.5535999999999999</v>
      </c>
      <c r="H746" s="268">
        <f>'5.Tiên lượng'!V186</f>
        <v>1</v>
      </c>
      <c r="I746" s="268">
        <f>PRODUCT(F743,G746,H746)</f>
        <v>5.1071999999999997</v>
      </c>
      <c r="J746" s="283">
        <f>'Giá VL'!G33</f>
        <v>15</v>
      </c>
      <c r="K746" s="283">
        <f t="shared" si="309"/>
        <v>38.303999999999995</v>
      </c>
      <c r="L746" s="283">
        <f>'Giá VL'!J33</f>
        <v>15</v>
      </c>
      <c r="M746" s="284">
        <f t="shared" si="310"/>
        <v>38.303999999999995</v>
      </c>
      <c r="N746" s="284">
        <v>0</v>
      </c>
      <c r="O746" s="284">
        <v>0</v>
      </c>
      <c r="P746" s="284">
        <f>'Giá VL'!V33</f>
        <v>15</v>
      </c>
      <c r="Q746" s="284">
        <f t="shared" si="311"/>
        <v>38.303999999999995</v>
      </c>
      <c r="R746" s="287">
        <v>0</v>
      </c>
    </row>
    <row r="747" spans="1:18">
      <c r="A747" s="246"/>
      <c r="B747" s="265">
        <v>0</v>
      </c>
      <c r="C747" s="680" t="s">
        <v>670</v>
      </c>
      <c r="D747" s="266" t="str">
        <f>" - "&amp;'Giá VL'!E44</f>
        <v xml:space="preserve"> - Xi măng PCB30</v>
      </c>
      <c r="E747" s="265" t="str">
        <f>'Giá VL'!F44</f>
        <v>kg</v>
      </c>
      <c r="F747" s="267">
        <v>0</v>
      </c>
      <c r="G747" s="268">
        <v>4.5792000000000002</v>
      </c>
      <c r="H747" s="268">
        <f>'5.Tiên lượng'!V186</f>
        <v>1</v>
      </c>
      <c r="I747" s="268">
        <f>PRODUCT(F743,G747,H747)</f>
        <v>9.1584000000000003</v>
      </c>
      <c r="J747" s="283">
        <f>'Giá VL'!G44</f>
        <v>1280</v>
      </c>
      <c r="K747" s="283">
        <f t="shared" si="309"/>
        <v>5861.3760000000002</v>
      </c>
      <c r="L747" s="283">
        <f>'Giá VL'!J44</f>
        <v>1550</v>
      </c>
      <c r="M747" s="284">
        <f t="shared" si="310"/>
        <v>7097.76</v>
      </c>
      <c r="N747" s="284">
        <v>0</v>
      </c>
      <c r="O747" s="284">
        <v>0</v>
      </c>
      <c r="P747" s="284">
        <f>'Giá VL'!V44</f>
        <v>1680</v>
      </c>
      <c r="Q747" s="284">
        <f t="shared" si="311"/>
        <v>7693.0560000000005</v>
      </c>
      <c r="R747" s="287">
        <v>0</v>
      </c>
    </row>
    <row r="748" spans="1:18">
      <c r="A748" s="240"/>
      <c r="B748" s="260">
        <v>0</v>
      </c>
      <c r="C748" s="261" t="s">
        <v>590</v>
      </c>
      <c r="D748" s="262" t="s">
        <v>265</v>
      </c>
      <c r="E748" s="260"/>
      <c r="F748" s="263">
        <v>0</v>
      </c>
      <c r="G748" s="264">
        <v>0</v>
      </c>
      <c r="H748" s="264"/>
      <c r="I748" s="264">
        <v>0</v>
      </c>
      <c r="J748" s="281">
        <v>0</v>
      </c>
      <c r="K748" s="281">
        <f>SUM(K749:K749)</f>
        <v>32110</v>
      </c>
      <c r="L748" s="281">
        <v>0</v>
      </c>
      <c r="M748" s="282">
        <f>SUM(M749:M749)</f>
        <v>35100</v>
      </c>
      <c r="N748" s="282">
        <v>0</v>
      </c>
      <c r="O748" s="282">
        <v>0</v>
      </c>
      <c r="P748" s="282">
        <v>0</v>
      </c>
      <c r="Q748" s="282">
        <f>SUM(Q749:Q749)</f>
        <v>35100</v>
      </c>
      <c r="R748" s="287">
        <v>0</v>
      </c>
    </row>
    <row r="749" spans="1:18">
      <c r="A749" s="251"/>
      <c r="B749" s="269">
        <v>0</v>
      </c>
      <c r="C749" s="681" t="s">
        <v>622</v>
      </c>
      <c r="D749" s="270" t="str">
        <f>" - "&amp;'Giá NC'!E9</f>
        <v xml:space="preserve"> - Nhân công bậc 3,5/7 - Nhóm 2</v>
      </c>
      <c r="E749" s="269" t="str">
        <f>'Giá NC'!F9</f>
        <v>công</v>
      </c>
      <c r="F749" s="271">
        <v>0</v>
      </c>
      <c r="G749" s="272">
        <v>0.13</v>
      </c>
      <c r="H749" s="272">
        <f>'5.Tiên lượng'!W186</f>
        <v>1</v>
      </c>
      <c r="I749" s="272">
        <f>PRODUCT(F743,G749,H749)</f>
        <v>0.26</v>
      </c>
      <c r="J749" s="285">
        <f>'Giá NC'!G9</f>
        <v>247000</v>
      </c>
      <c r="K749" s="285">
        <f>PRODUCT(G749,H749,J749)</f>
        <v>32110</v>
      </c>
      <c r="L749" s="285">
        <f>'Giá NC'!H9</f>
        <v>270000</v>
      </c>
      <c r="M749" s="286">
        <f>PRODUCT(G749,H749,L749)</f>
        <v>35100</v>
      </c>
      <c r="N749" s="286">
        <v>0</v>
      </c>
      <c r="O749" s="286">
        <v>0</v>
      </c>
      <c r="P749" s="286">
        <f>'Giá NC'!K9</f>
        <v>270000</v>
      </c>
      <c r="Q749" s="286">
        <f>PRODUCT(G749,H749,P749)</f>
        <v>35100</v>
      </c>
      <c r="R749" s="288">
        <v>0</v>
      </c>
    </row>
    <row r="750" spans="1:18" ht="27.6">
      <c r="A750" s="234"/>
      <c r="B750" s="256">
        <v>86</v>
      </c>
      <c r="C750" s="234" t="str">
        <f>'5.Tiên lượng'!C187</f>
        <v>BB.13507</v>
      </c>
      <c r="D750" s="257" t="str">
        <f>'5.Tiên lượng'!D187</f>
        <v>Nối ống bê tông bằng phương pháp xảm - Đường kính 800mm</v>
      </c>
      <c r="E750" s="256" t="str">
        <f>'5.Tiên lượng'!E187</f>
        <v>mối nối</v>
      </c>
      <c r="F750" s="258">
        <f>'5.Tiên lượng'!M187</f>
        <v>1</v>
      </c>
      <c r="G750" s="259">
        <v>0</v>
      </c>
      <c r="H750" s="259">
        <v>0</v>
      </c>
      <c r="I750" s="259">
        <v>0</v>
      </c>
      <c r="J750" s="279">
        <v>0</v>
      </c>
      <c r="K750" s="279">
        <v>0</v>
      </c>
      <c r="L750" s="279">
        <v>0</v>
      </c>
      <c r="M750" s="280">
        <v>0</v>
      </c>
      <c r="N750" s="280">
        <v>0</v>
      </c>
      <c r="O750" s="280">
        <v>0</v>
      </c>
      <c r="P750" s="280">
        <v>0</v>
      </c>
      <c r="Q750" s="280">
        <v>0</v>
      </c>
      <c r="R750" s="222">
        <v>0</v>
      </c>
    </row>
    <row r="751" spans="1:18">
      <c r="A751" s="240"/>
      <c r="B751" s="260">
        <v>0</v>
      </c>
      <c r="C751" s="261" t="s">
        <v>590</v>
      </c>
      <c r="D751" s="262" t="s">
        <v>262</v>
      </c>
      <c r="E751" s="260"/>
      <c r="F751" s="263">
        <v>0</v>
      </c>
      <c r="G751" s="264">
        <v>0</v>
      </c>
      <c r="H751" s="264"/>
      <c r="I751" s="264">
        <v>0</v>
      </c>
      <c r="J751" s="281">
        <v>0</v>
      </c>
      <c r="K751" s="281">
        <f>SUM(K752:K754)</f>
        <v>15620.110999999999</v>
      </c>
      <c r="L751" s="281">
        <v>0</v>
      </c>
      <c r="M751" s="282">
        <f>SUM(M752:M754)</f>
        <v>17255.743999999999</v>
      </c>
      <c r="N751" s="282">
        <v>0</v>
      </c>
      <c r="O751" s="282">
        <v>0</v>
      </c>
      <c r="P751" s="282">
        <v>0</v>
      </c>
      <c r="Q751" s="282">
        <f>SUM(Q752:Q754)</f>
        <v>19108.129315794456</v>
      </c>
      <c r="R751" s="287">
        <v>0</v>
      </c>
    </row>
    <row r="752" spans="1:18">
      <c r="A752" s="246"/>
      <c r="B752" s="265">
        <v>0</v>
      </c>
      <c r="C752" s="680" t="s">
        <v>615</v>
      </c>
      <c r="D752" s="266" t="str">
        <f>" - "&amp;'Giá VL'!E17</f>
        <v xml:space="preserve"> - Cát vàng</v>
      </c>
      <c r="E752" s="265" t="str">
        <f>'Giá VL'!F17</f>
        <v>m3</v>
      </c>
      <c r="F752" s="267">
        <v>0</v>
      </c>
      <c r="G752" s="268">
        <v>1.3474699999999999E-2</v>
      </c>
      <c r="H752" s="268">
        <f>'5.Tiên lượng'!V187</f>
        <v>1</v>
      </c>
      <c r="I752" s="268">
        <f>PRODUCT(F750,G752,H752)</f>
        <v>1.3474699999999999E-2</v>
      </c>
      <c r="J752" s="283">
        <f>'Giá VL'!G17</f>
        <v>580000</v>
      </c>
      <c r="K752" s="283">
        <f t="shared" ref="K752:K754" si="312">PRODUCT(G752,H752,J752)</f>
        <v>7815.3259999999991</v>
      </c>
      <c r="L752" s="283">
        <f>'Giá VL'!J17</f>
        <v>580000</v>
      </c>
      <c r="M752" s="284">
        <f t="shared" ref="M752:M754" si="313">PRODUCT(G752,H752,L752)</f>
        <v>7815.3259999999991</v>
      </c>
      <c r="N752" s="284">
        <v>0</v>
      </c>
      <c r="O752" s="284">
        <v>0</v>
      </c>
      <c r="P752" s="284">
        <f>'Giá VL'!V17</f>
        <v>659026.49526849983</v>
      </c>
      <c r="Q752" s="284">
        <f t="shared" ref="Q752:Q754" si="314">PRODUCT(G752,H752,P752)</f>
        <v>8880.184315794455</v>
      </c>
      <c r="R752" s="287">
        <v>0</v>
      </c>
    </row>
    <row r="753" spans="1:18">
      <c r="A753" s="246"/>
      <c r="B753" s="265">
        <v>0</v>
      </c>
      <c r="C753" s="680" t="s">
        <v>617</v>
      </c>
      <c r="D753" s="266" t="str">
        <f>" - "&amp;'Giá VL'!E33</f>
        <v xml:space="preserve"> - Nước</v>
      </c>
      <c r="E753" s="265" t="str">
        <f>'Giá VL'!F33</f>
        <v>lít</v>
      </c>
      <c r="F753" s="267">
        <v>0</v>
      </c>
      <c r="G753" s="268">
        <v>3.3782000000000001</v>
      </c>
      <c r="H753" s="268">
        <f>'5.Tiên lượng'!V187</f>
        <v>1</v>
      </c>
      <c r="I753" s="268">
        <f>PRODUCT(F750,G753,H753)</f>
        <v>3.3782000000000001</v>
      </c>
      <c r="J753" s="283">
        <f>'Giá VL'!G33</f>
        <v>15</v>
      </c>
      <c r="K753" s="283">
        <f t="shared" si="312"/>
        <v>50.673000000000002</v>
      </c>
      <c r="L753" s="283">
        <f>'Giá VL'!J33</f>
        <v>15</v>
      </c>
      <c r="M753" s="284">
        <f t="shared" si="313"/>
        <v>50.673000000000002</v>
      </c>
      <c r="N753" s="284">
        <v>0</v>
      </c>
      <c r="O753" s="284">
        <v>0</v>
      </c>
      <c r="P753" s="284">
        <f>'Giá VL'!V33</f>
        <v>15</v>
      </c>
      <c r="Q753" s="284">
        <f t="shared" si="314"/>
        <v>50.673000000000002</v>
      </c>
      <c r="R753" s="287">
        <v>0</v>
      </c>
    </row>
    <row r="754" spans="1:18">
      <c r="A754" s="246"/>
      <c r="B754" s="265">
        <v>0</v>
      </c>
      <c r="C754" s="680" t="s">
        <v>670</v>
      </c>
      <c r="D754" s="266" t="str">
        <f>" - "&amp;'Giá VL'!E44</f>
        <v xml:space="preserve"> - Xi măng PCB30</v>
      </c>
      <c r="E754" s="265" t="str">
        <f>'Giá VL'!F44</f>
        <v>kg</v>
      </c>
      <c r="F754" s="267">
        <v>0</v>
      </c>
      <c r="G754" s="268">
        <v>6.0579000000000001</v>
      </c>
      <c r="H754" s="268">
        <f>'5.Tiên lượng'!V187</f>
        <v>1</v>
      </c>
      <c r="I754" s="268">
        <f>PRODUCT(F750,G754,H754)</f>
        <v>6.0579000000000001</v>
      </c>
      <c r="J754" s="283">
        <f>'Giá VL'!G44</f>
        <v>1280</v>
      </c>
      <c r="K754" s="283">
        <f t="shared" si="312"/>
        <v>7754.1120000000001</v>
      </c>
      <c r="L754" s="283">
        <f>'Giá VL'!J44</f>
        <v>1550</v>
      </c>
      <c r="M754" s="284">
        <f t="shared" si="313"/>
        <v>9389.7450000000008</v>
      </c>
      <c r="N754" s="284">
        <v>0</v>
      </c>
      <c r="O754" s="284">
        <v>0</v>
      </c>
      <c r="P754" s="284">
        <f>'Giá VL'!V44</f>
        <v>1680</v>
      </c>
      <c r="Q754" s="284">
        <f t="shared" si="314"/>
        <v>10177.272000000001</v>
      </c>
      <c r="R754" s="287">
        <v>0</v>
      </c>
    </row>
    <row r="755" spans="1:18">
      <c r="A755" s="240"/>
      <c r="B755" s="260">
        <v>0</v>
      </c>
      <c r="C755" s="261" t="s">
        <v>590</v>
      </c>
      <c r="D755" s="262" t="s">
        <v>265</v>
      </c>
      <c r="E755" s="260"/>
      <c r="F755" s="263">
        <v>0</v>
      </c>
      <c r="G755" s="264">
        <v>0</v>
      </c>
      <c r="H755" s="264"/>
      <c r="I755" s="264">
        <v>0</v>
      </c>
      <c r="J755" s="281">
        <v>0</v>
      </c>
      <c r="K755" s="281">
        <f>SUM(K756:K756)</f>
        <v>44460</v>
      </c>
      <c r="L755" s="281">
        <v>0</v>
      </c>
      <c r="M755" s="282">
        <f>SUM(M756:M756)</f>
        <v>48600</v>
      </c>
      <c r="N755" s="282">
        <v>0</v>
      </c>
      <c r="O755" s="282">
        <v>0</v>
      </c>
      <c r="P755" s="282">
        <v>0</v>
      </c>
      <c r="Q755" s="282">
        <f>SUM(Q756:Q756)</f>
        <v>48600</v>
      </c>
      <c r="R755" s="287">
        <v>0</v>
      </c>
    </row>
    <row r="756" spans="1:18">
      <c r="A756" s="251"/>
      <c r="B756" s="269">
        <v>0</v>
      </c>
      <c r="C756" s="681" t="s">
        <v>622</v>
      </c>
      <c r="D756" s="270" t="str">
        <f>" - "&amp;'Giá NC'!E9</f>
        <v xml:space="preserve"> - Nhân công bậc 3,5/7 - Nhóm 2</v>
      </c>
      <c r="E756" s="269" t="str">
        <f>'Giá NC'!F9</f>
        <v>công</v>
      </c>
      <c r="F756" s="271">
        <v>0</v>
      </c>
      <c r="G756" s="272">
        <v>0.18</v>
      </c>
      <c r="H756" s="272">
        <f>'5.Tiên lượng'!W187</f>
        <v>1</v>
      </c>
      <c r="I756" s="272">
        <f>PRODUCT(F750,G756,H756)</f>
        <v>0.18</v>
      </c>
      <c r="J756" s="285">
        <f>'Giá NC'!G9</f>
        <v>247000</v>
      </c>
      <c r="K756" s="285">
        <f>PRODUCT(G756,H756,J756)</f>
        <v>44460</v>
      </c>
      <c r="L756" s="285">
        <f>'Giá NC'!H9</f>
        <v>270000</v>
      </c>
      <c r="M756" s="286">
        <f>PRODUCT(G756,H756,L756)</f>
        <v>48600</v>
      </c>
      <c r="N756" s="286">
        <v>0</v>
      </c>
      <c r="O756" s="286">
        <v>0</v>
      </c>
      <c r="P756" s="286">
        <f>'Giá NC'!K9</f>
        <v>270000</v>
      </c>
      <c r="Q756" s="286">
        <f>PRODUCT(G756,H756,P756)</f>
        <v>48600</v>
      </c>
      <c r="R756" s="288">
        <v>0</v>
      </c>
    </row>
    <row r="757" spans="1:18" ht="27.6">
      <c r="A757" s="234"/>
      <c r="B757" s="256">
        <v>87</v>
      </c>
      <c r="C757" s="234" t="str">
        <f>'5.Tiên lượng'!C188</f>
        <v>BB.33011</v>
      </c>
      <c r="D757" s="257" t="str">
        <f>'5.Tiên lượng'!D188</f>
        <v>Khối xây gia cố bằng đá hộc - Chiều dày ≤60cm, vữa XM M100, PCB40</v>
      </c>
      <c r="E757" s="256" t="str">
        <f>'5.Tiên lượng'!E188</f>
        <v>100m</v>
      </c>
      <c r="F757" s="258">
        <f>'5.Tiên lượng'!M188</f>
        <v>8.199999999999999E-2</v>
      </c>
      <c r="G757" s="259">
        <v>0</v>
      </c>
      <c r="H757" s="259">
        <v>0</v>
      </c>
      <c r="I757" s="259">
        <v>0</v>
      </c>
      <c r="J757" s="279">
        <v>0</v>
      </c>
      <c r="K757" s="279">
        <v>0</v>
      </c>
      <c r="L757" s="279">
        <v>0</v>
      </c>
      <c r="M757" s="280">
        <v>0</v>
      </c>
      <c r="N757" s="280">
        <v>0</v>
      </c>
      <c r="O757" s="280">
        <v>0</v>
      </c>
      <c r="P757" s="280">
        <v>0</v>
      </c>
      <c r="Q757" s="280">
        <v>0</v>
      </c>
      <c r="R757" s="222">
        <v>0</v>
      </c>
    </row>
    <row r="758" spans="1:18">
      <c r="A758" s="240"/>
      <c r="B758" s="260">
        <v>0</v>
      </c>
      <c r="C758" s="261" t="s">
        <v>590</v>
      </c>
      <c r="D758" s="262" t="s">
        <v>262</v>
      </c>
      <c r="E758" s="260"/>
      <c r="F758" s="263">
        <v>0</v>
      </c>
      <c r="G758" s="264">
        <v>0</v>
      </c>
      <c r="H758" s="264"/>
      <c r="I758" s="264">
        <v>0</v>
      </c>
      <c r="J758" s="281">
        <v>0</v>
      </c>
      <c r="K758" s="281">
        <f>SUM(K759:K761)</f>
        <v>42496661.741250001</v>
      </c>
      <c r="L758" s="281">
        <v>0</v>
      </c>
      <c r="M758" s="282">
        <f>SUM(M759:M761)</f>
        <v>42496661.741250001</v>
      </c>
      <c r="N758" s="282">
        <v>0</v>
      </c>
      <c r="O758" s="282">
        <v>0</v>
      </c>
      <c r="P758" s="282">
        <v>0</v>
      </c>
      <c r="Q758" s="282">
        <f>SUM(Q759:Q761)</f>
        <v>42496661.741250001</v>
      </c>
      <c r="R758" s="287">
        <v>0</v>
      </c>
    </row>
    <row r="759" spans="1:18">
      <c r="A759" s="246"/>
      <c r="B759" s="265">
        <v>0</v>
      </c>
      <c r="C759" s="680" t="s">
        <v>680</v>
      </c>
      <c r="D759" s="266" t="str">
        <f>" - "&amp;'Giá VL'!E35</f>
        <v xml:space="preserve"> - Ống thép tráng kẽm D200mm, L=8m</v>
      </c>
      <c r="E759" s="265" t="str">
        <f>'Giá VL'!F35</f>
        <v>m</v>
      </c>
      <c r="F759" s="267">
        <v>0</v>
      </c>
      <c r="G759" s="268">
        <v>100.5</v>
      </c>
      <c r="H759" s="268">
        <f>'5.Tiên lượng'!V188</f>
        <v>1</v>
      </c>
      <c r="I759" s="268">
        <f>PRODUCT(F757,G759,H759)</f>
        <v>8.2409999999999997</v>
      </c>
      <c r="J759" s="283">
        <f>'Giá VL'!G35</f>
        <v>391025</v>
      </c>
      <c r="K759" s="283">
        <f t="shared" ref="K759:K761" si="315">PRODUCT(G759,H759,J759)</f>
        <v>39298012.5</v>
      </c>
      <c r="L759" s="283">
        <f>'Giá VL'!J35</f>
        <v>391025</v>
      </c>
      <c r="M759" s="284">
        <f t="shared" ref="M759:M761" si="316">PRODUCT(G759,H759,L759)</f>
        <v>39298012.5</v>
      </c>
      <c r="N759" s="284">
        <v>0</v>
      </c>
      <c r="O759" s="284">
        <v>0</v>
      </c>
      <c r="P759" s="284">
        <f>'Giá VL'!V35</f>
        <v>391025</v>
      </c>
      <c r="Q759" s="284">
        <f t="shared" ref="Q759:Q761" si="317">PRODUCT(G759,H759,P759)</f>
        <v>39298012.5</v>
      </c>
      <c r="R759" s="287">
        <v>0.01</v>
      </c>
    </row>
    <row r="760" spans="1:18">
      <c r="A760" s="246"/>
      <c r="B760" s="265">
        <v>0</v>
      </c>
      <c r="C760" s="680" t="s">
        <v>681</v>
      </c>
      <c r="D760" s="266" t="str">
        <f>" - "&amp;'Giá VL'!E29</f>
        <v xml:space="preserve"> - Măng sông thép tráng kẽm D200mm</v>
      </c>
      <c r="E760" s="265" t="str">
        <f>'Giá VL'!F29</f>
        <v>cái</v>
      </c>
      <c r="F760" s="267">
        <v>0</v>
      </c>
      <c r="G760" s="268">
        <v>12</v>
      </c>
      <c r="H760" s="268">
        <f>'5.Tiên lượng'!V188</f>
        <v>1</v>
      </c>
      <c r="I760" s="268">
        <f>PRODUCT(F757,G760,H760)</f>
        <v>0.98399999999999987</v>
      </c>
      <c r="J760" s="283">
        <f>'Giá VL'!G29</f>
        <v>266200</v>
      </c>
      <c r="K760" s="283">
        <f t="shared" si="315"/>
        <v>3194400</v>
      </c>
      <c r="L760" s="283">
        <f>'Giá VL'!J29</f>
        <v>266200</v>
      </c>
      <c r="M760" s="284">
        <f t="shared" si="316"/>
        <v>3194400</v>
      </c>
      <c r="N760" s="284">
        <v>0</v>
      </c>
      <c r="O760" s="284">
        <v>0</v>
      </c>
      <c r="P760" s="284">
        <f>'Giá VL'!V29</f>
        <v>266200</v>
      </c>
      <c r="Q760" s="284">
        <f t="shared" si="317"/>
        <v>3194400</v>
      </c>
      <c r="R760" s="287">
        <v>0.01</v>
      </c>
    </row>
    <row r="761" spans="1:18">
      <c r="A761" s="246"/>
      <c r="B761" s="265">
        <v>0</v>
      </c>
      <c r="C761" s="680" t="s">
        <v>620</v>
      </c>
      <c r="D761" s="266" t="s">
        <v>668</v>
      </c>
      <c r="E761" s="265" t="s">
        <v>37</v>
      </c>
      <c r="F761" s="267">
        <v>0</v>
      </c>
      <c r="G761" s="268">
        <f>AVERAGE(R759:R760)</f>
        <v>0.01</v>
      </c>
      <c r="H761" s="268">
        <f>'5.Tiên lượng'!V188</f>
        <v>1</v>
      </c>
      <c r="I761" s="268">
        <f>PRODUCT(F757,G761,H761)</f>
        <v>8.1999999999999987E-4</v>
      </c>
      <c r="J761" s="283">
        <f>(G759*J759+G760*J760)/100</f>
        <v>424924.125</v>
      </c>
      <c r="K761" s="283">
        <f t="shared" si="315"/>
        <v>4249.24125</v>
      </c>
      <c r="L761" s="283">
        <f>(G759*L759+G760*L760)/100</f>
        <v>424924.125</v>
      </c>
      <c r="M761" s="284">
        <f t="shared" si="316"/>
        <v>4249.24125</v>
      </c>
      <c r="N761" s="284">
        <v>0</v>
      </c>
      <c r="O761" s="284">
        <v>0</v>
      </c>
      <c r="P761" s="284">
        <f>(G759*P759+G760*P760)/100</f>
        <v>424924.125</v>
      </c>
      <c r="Q761" s="284">
        <f t="shared" si="317"/>
        <v>4249.24125</v>
      </c>
      <c r="R761" s="287">
        <v>0</v>
      </c>
    </row>
    <row r="762" spans="1:18">
      <c r="A762" s="240"/>
      <c r="B762" s="260">
        <v>0</v>
      </c>
      <c r="C762" s="261" t="s">
        <v>590</v>
      </c>
      <c r="D762" s="262" t="s">
        <v>265</v>
      </c>
      <c r="E762" s="260"/>
      <c r="F762" s="263">
        <v>0</v>
      </c>
      <c r="G762" s="264">
        <v>0</v>
      </c>
      <c r="H762" s="264"/>
      <c r="I762" s="264">
        <v>0</v>
      </c>
      <c r="J762" s="281">
        <v>0</v>
      </c>
      <c r="K762" s="281">
        <f>SUM(K763:K763)</f>
        <v>8000330</v>
      </c>
      <c r="L762" s="281">
        <v>0</v>
      </c>
      <c r="M762" s="282">
        <f>SUM(M763:M763)</f>
        <v>8745300</v>
      </c>
      <c r="N762" s="282">
        <v>0</v>
      </c>
      <c r="O762" s="282">
        <v>0</v>
      </c>
      <c r="P762" s="282">
        <v>0</v>
      </c>
      <c r="Q762" s="282">
        <f>SUM(Q763:Q763)</f>
        <v>8745300</v>
      </c>
      <c r="R762" s="287">
        <v>0</v>
      </c>
    </row>
    <row r="763" spans="1:18">
      <c r="A763" s="251"/>
      <c r="B763" s="269">
        <v>0</v>
      </c>
      <c r="C763" s="681" t="s">
        <v>622</v>
      </c>
      <c r="D763" s="270" t="str">
        <f>" - "&amp;'Giá NC'!E9</f>
        <v xml:space="preserve"> - Nhân công bậc 3,5/7 - Nhóm 2</v>
      </c>
      <c r="E763" s="269" t="str">
        <f>'Giá NC'!F9</f>
        <v>công</v>
      </c>
      <c r="F763" s="271">
        <v>0</v>
      </c>
      <c r="G763" s="272">
        <v>32.39</v>
      </c>
      <c r="H763" s="272">
        <f>'5.Tiên lượng'!W188</f>
        <v>1</v>
      </c>
      <c r="I763" s="272">
        <f>PRODUCT(F757,G763,H763)</f>
        <v>2.6559799999999996</v>
      </c>
      <c r="J763" s="285">
        <f>'Giá NC'!G9</f>
        <v>247000</v>
      </c>
      <c r="K763" s="285">
        <f>PRODUCT(G763,H763,J763)</f>
        <v>8000330</v>
      </c>
      <c r="L763" s="285">
        <f>'Giá NC'!H9</f>
        <v>270000</v>
      </c>
      <c r="M763" s="286">
        <f>PRODUCT(G763,H763,L763)</f>
        <v>8745300</v>
      </c>
      <c r="N763" s="286">
        <v>0</v>
      </c>
      <c r="O763" s="286">
        <v>0</v>
      </c>
      <c r="P763" s="286">
        <f>'Giá NC'!K9</f>
        <v>270000</v>
      </c>
      <c r="Q763" s="286">
        <f>PRODUCT(G763,H763,P763)</f>
        <v>8745300</v>
      </c>
      <c r="R763" s="288">
        <v>0</v>
      </c>
    </row>
    <row r="764" spans="1:18">
      <c r="A764" s="234"/>
      <c r="B764" s="256">
        <v>88</v>
      </c>
      <c r="C764" s="234" t="str">
        <f>'5.Tiên lượng'!C190</f>
        <v>TT</v>
      </c>
      <c r="D764" s="257" t="str">
        <f>'5.Tiên lượng'!D190</f>
        <v>Tấm gỗ chắn nước</v>
      </c>
      <c r="E764" s="256" t="str">
        <f>'5.Tiên lượng'!E190</f>
        <v>m3</v>
      </c>
      <c r="F764" s="258">
        <f>'5.Tiên lượng'!M190</f>
        <v>0.01</v>
      </c>
      <c r="G764" s="259">
        <v>0</v>
      </c>
      <c r="H764" s="259">
        <v>0</v>
      </c>
      <c r="I764" s="259">
        <v>0</v>
      </c>
      <c r="J764" s="279">
        <v>0</v>
      </c>
      <c r="K764" s="279">
        <v>0</v>
      </c>
      <c r="L764" s="279">
        <v>0</v>
      </c>
      <c r="M764" s="280">
        <v>0</v>
      </c>
      <c r="N764" s="280">
        <v>0</v>
      </c>
      <c r="O764" s="280">
        <v>0</v>
      </c>
      <c r="P764" s="280">
        <v>0</v>
      </c>
      <c r="Q764" s="280">
        <v>0</v>
      </c>
      <c r="R764" s="222">
        <v>0</v>
      </c>
    </row>
    <row r="765" spans="1:18">
      <c r="A765" s="240"/>
      <c r="B765" s="260">
        <v>0</v>
      </c>
      <c r="C765" s="261" t="s">
        <v>590</v>
      </c>
      <c r="D765" s="262" t="s">
        <v>262</v>
      </c>
      <c r="E765" s="260"/>
      <c r="F765" s="263">
        <v>0</v>
      </c>
      <c r="G765" s="264">
        <v>0</v>
      </c>
      <c r="H765" s="264"/>
      <c r="I765" s="264">
        <v>0</v>
      </c>
      <c r="J765" s="281">
        <v>0</v>
      </c>
      <c r="K765" s="281">
        <f>SUM(K766:K767)</f>
        <v>2500000</v>
      </c>
      <c r="L765" s="281">
        <v>0</v>
      </c>
      <c r="M765" s="282">
        <f>SUM(M766:M767)</f>
        <v>2800000</v>
      </c>
      <c r="N765" s="282">
        <v>0</v>
      </c>
      <c r="O765" s="282">
        <v>0</v>
      </c>
      <c r="P765" s="282">
        <v>0</v>
      </c>
      <c r="Q765" s="282">
        <f>SUM(Q766:Q767)</f>
        <v>2844105.8536283039</v>
      </c>
      <c r="R765" s="287">
        <v>0</v>
      </c>
    </row>
    <row r="766" spans="1:18">
      <c r="A766" s="251"/>
      <c r="B766" s="269">
        <v>0</v>
      </c>
      <c r="C766" s="681" t="s">
        <v>682</v>
      </c>
      <c r="D766" s="270" t="str">
        <f>" - "&amp;'Giá VL'!E26</f>
        <v xml:space="preserve"> - Gỗ ván</v>
      </c>
      <c r="E766" s="269" t="str">
        <f>'Giá VL'!F26</f>
        <v>m3</v>
      </c>
      <c r="F766" s="271">
        <v>0</v>
      </c>
      <c r="G766" s="272">
        <v>1</v>
      </c>
      <c r="H766" s="272">
        <f>'5.Tiên lượng'!V190</f>
        <v>1</v>
      </c>
      <c r="I766" s="272">
        <f>PRODUCT(F764,G766,H766)</f>
        <v>0.01</v>
      </c>
      <c r="J766" s="285">
        <f>'Giá VL'!G26</f>
        <v>2500000</v>
      </c>
      <c r="K766" s="285">
        <f t="shared" ref="K766:K767" si="318">PRODUCT(G766,H766,J766)</f>
        <v>2500000</v>
      </c>
      <c r="L766" s="285">
        <f>'Giá VL'!J26</f>
        <v>2800000</v>
      </c>
      <c r="M766" s="286">
        <f t="shared" ref="M766:M767" si="319">PRODUCT(G766,H766,L766)</f>
        <v>2800000</v>
      </c>
      <c r="N766" s="286">
        <v>0</v>
      </c>
      <c r="O766" s="286">
        <v>0</v>
      </c>
      <c r="P766" s="286">
        <f>'Giá VL'!V26</f>
        <v>2844105.8536283039</v>
      </c>
      <c r="Q766" s="286">
        <f t="shared" ref="Q766:Q767" si="320">PRODUCT(G766,H766,P766)</f>
        <v>2844105.8536283039</v>
      </c>
      <c r="R766" s="288">
        <v>0</v>
      </c>
    </row>
    <row r="767" spans="1:18">
      <c r="A767" s="229"/>
      <c r="B767" s="289">
        <v>0</v>
      </c>
      <c r="C767" s="682" t="s">
        <v>339</v>
      </c>
      <c r="D767" s="290" t="s">
        <v>1084</v>
      </c>
      <c r="E767" s="289"/>
      <c r="F767" s="291">
        <v>0</v>
      </c>
      <c r="G767" s="292">
        <v>0</v>
      </c>
      <c r="H767" s="292">
        <f>'5.Tiên lượng'!V190</f>
        <v>1</v>
      </c>
      <c r="I767" s="292">
        <f>PRODUCT(F764,G767,H767)</f>
        <v>0</v>
      </c>
      <c r="J767" s="293">
        <v>0</v>
      </c>
      <c r="K767" s="294">
        <f t="shared" si="318"/>
        <v>0</v>
      </c>
      <c r="L767" s="294">
        <v>0</v>
      </c>
      <c r="M767" s="295">
        <f t="shared" si="319"/>
        <v>0</v>
      </c>
      <c r="N767" s="295">
        <v>0</v>
      </c>
      <c r="O767" s="295">
        <v>0</v>
      </c>
      <c r="P767" s="295">
        <v>0</v>
      </c>
      <c r="Q767" s="295">
        <f t="shared" si="320"/>
        <v>0</v>
      </c>
      <c r="R767" s="146">
        <v>0</v>
      </c>
    </row>
    <row r="768" spans="1:18" ht="27.6">
      <c r="A768" s="234"/>
      <c r="B768" s="256">
        <v>89</v>
      </c>
      <c r="C768" s="234" t="str">
        <f>'5.Tiên lượng'!C192</f>
        <v>AF.12151</v>
      </c>
      <c r="D768" s="257" t="str">
        <f>'5.Tiên lượng'!D192</f>
        <v>BTXM đầu cống - Chiều dày ≤45cm, chiều cao ≤6m, M150, đá 2x4, PCB40</v>
      </c>
      <c r="E768" s="256" t="str">
        <f>'5.Tiên lượng'!E192</f>
        <v>m3</v>
      </c>
      <c r="F768" s="258">
        <f>'5.Tiên lượng'!M192</f>
        <v>2.29</v>
      </c>
      <c r="G768" s="259">
        <v>0</v>
      </c>
      <c r="H768" s="259">
        <v>0</v>
      </c>
      <c r="I768" s="259">
        <v>0</v>
      </c>
      <c r="J768" s="279">
        <v>0</v>
      </c>
      <c r="K768" s="279">
        <v>0</v>
      </c>
      <c r="L768" s="279">
        <v>0</v>
      </c>
      <c r="M768" s="280">
        <v>0</v>
      </c>
      <c r="N768" s="280">
        <v>0</v>
      </c>
      <c r="O768" s="280">
        <v>0</v>
      </c>
      <c r="P768" s="280">
        <v>0</v>
      </c>
      <c r="Q768" s="280">
        <v>0</v>
      </c>
      <c r="R768" s="222">
        <v>0</v>
      </c>
    </row>
    <row r="769" spans="1:18">
      <c r="A769" s="240"/>
      <c r="B769" s="260">
        <v>0</v>
      </c>
      <c r="C769" s="261" t="s">
        <v>590</v>
      </c>
      <c r="D769" s="262" t="s">
        <v>262</v>
      </c>
      <c r="E769" s="260"/>
      <c r="F769" s="263">
        <v>0</v>
      </c>
      <c r="G769" s="264">
        <v>0</v>
      </c>
      <c r="H769" s="264"/>
      <c r="I769" s="264">
        <v>0</v>
      </c>
      <c r="J769" s="281">
        <v>0</v>
      </c>
      <c r="K769" s="281">
        <f>SUM(K770:K774)</f>
        <v>787007.8125</v>
      </c>
      <c r="L769" s="281">
        <v>0</v>
      </c>
      <c r="M769" s="282">
        <f>SUM(M770:M774)</f>
        <v>928373.25</v>
      </c>
      <c r="N769" s="282">
        <v>0</v>
      </c>
      <c r="O769" s="282">
        <v>0</v>
      </c>
      <c r="P769" s="282">
        <v>0</v>
      </c>
      <c r="Q769" s="282">
        <f>SUM(Q770:Q774)</f>
        <v>1071238.1347510607</v>
      </c>
      <c r="R769" s="287">
        <v>0</v>
      </c>
    </row>
    <row r="770" spans="1:18">
      <c r="A770" s="246"/>
      <c r="B770" s="265">
        <v>0</v>
      </c>
      <c r="C770" s="680" t="s">
        <v>614</v>
      </c>
      <c r="D770" s="266" t="str">
        <f>" - "&amp;'Giá VL'!E45</f>
        <v xml:space="preserve"> - Xi măng PCB40</v>
      </c>
      <c r="E770" s="265" t="str">
        <f>'Giá VL'!F45</f>
        <v>kg</v>
      </c>
      <c r="F770" s="267">
        <v>0</v>
      </c>
      <c r="G770" s="268">
        <v>210.125</v>
      </c>
      <c r="H770" s="268">
        <f>'5.Tiên lượng'!V192</f>
        <v>1</v>
      </c>
      <c r="I770" s="268">
        <f>PRODUCT(F768,G770,H770)</f>
        <v>481.18625000000003</v>
      </c>
      <c r="J770" s="283">
        <f>'Giá VL'!G45</f>
        <v>1350</v>
      </c>
      <c r="K770" s="283">
        <f t="shared" ref="K770:K774" si="321">PRODUCT(G770,H770,J770)</f>
        <v>283668.75</v>
      </c>
      <c r="L770" s="283">
        <f>'Giá VL'!J45</f>
        <v>1600</v>
      </c>
      <c r="M770" s="284">
        <f t="shared" ref="M770:M774" si="322">PRODUCT(G770,H770,L770)</f>
        <v>336200</v>
      </c>
      <c r="N770" s="284">
        <v>0</v>
      </c>
      <c r="O770" s="284">
        <v>0</v>
      </c>
      <c r="P770" s="284">
        <f>'Giá VL'!V45</f>
        <v>1730</v>
      </c>
      <c r="Q770" s="284">
        <f t="shared" ref="Q770:Q774" si="323">PRODUCT(G770,H770,P770)</f>
        <v>363516.25</v>
      </c>
      <c r="R770" s="287">
        <v>5</v>
      </c>
    </row>
    <row r="771" spans="1:18">
      <c r="A771" s="246"/>
      <c r="B771" s="265">
        <v>0</v>
      </c>
      <c r="C771" s="680" t="s">
        <v>615</v>
      </c>
      <c r="D771" s="266" t="str">
        <f>" - "&amp;'Giá VL'!E17</f>
        <v xml:space="preserve"> - Cát vàng</v>
      </c>
      <c r="E771" s="265" t="str">
        <f>'Giá VL'!F17</f>
        <v>m3</v>
      </c>
      <c r="F771" s="267">
        <v>0</v>
      </c>
      <c r="G771" s="268">
        <v>0.56272500000000003</v>
      </c>
      <c r="H771" s="268">
        <f>'5.Tiên lượng'!V192</f>
        <v>1</v>
      </c>
      <c r="I771" s="268">
        <f>PRODUCT(F768,G771,H771)</f>
        <v>1.28864025</v>
      </c>
      <c r="J771" s="283">
        <f>'Giá VL'!G17</f>
        <v>580000</v>
      </c>
      <c r="K771" s="283">
        <f t="shared" si="321"/>
        <v>326380.5</v>
      </c>
      <c r="L771" s="283">
        <f>'Giá VL'!J17</f>
        <v>580000</v>
      </c>
      <c r="M771" s="284">
        <f t="shared" si="322"/>
        <v>326380.5</v>
      </c>
      <c r="N771" s="284">
        <v>0</v>
      </c>
      <c r="O771" s="284">
        <v>0</v>
      </c>
      <c r="P771" s="284">
        <f>'Giá VL'!V17</f>
        <v>659026.49526849983</v>
      </c>
      <c r="Q771" s="284">
        <f t="shared" si="323"/>
        <v>370850.68454996659</v>
      </c>
      <c r="R771" s="287">
        <v>5</v>
      </c>
    </row>
    <row r="772" spans="1:18">
      <c r="A772" s="246"/>
      <c r="B772" s="265">
        <v>0</v>
      </c>
      <c r="C772" s="680" t="s">
        <v>616</v>
      </c>
      <c r="D772" s="266" t="str">
        <f>" - "&amp;'Giá VL'!E19</f>
        <v xml:space="preserve"> - Đá 2x4</v>
      </c>
      <c r="E772" s="265" t="str">
        <f>'Giá VL'!F19</f>
        <v>m3</v>
      </c>
      <c r="F772" s="267">
        <v>0</v>
      </c>
      <c r="G772" s="268">
        <v>0.91225000000000001</v>
      </c>
      <c r="H772" s="268">
        <f>'5.Tiên lượng'!V192</f>
        <v>1</v>
      </c>
      <c r="I772" s="268">
        <f>PRODUCT(F768,G772,H772)</f>
        <v>2.0890525000000002</v>
      </c>
      <c r="J772" s="283">
        <f>'Giá VL'!G19</f>
        <v>150000</v>
      </c>
      <c r="K772" s="283">
        <f t="shared" si="321"/>
        <v>136837.5</v>
      </c>
      <c r="L772" s="283">
        <f>'Giá VL'!J19</f>
        <v>240000</v>
      </c>
      <c r="M772" s="284">
        <f t="shared" si="322"/>
        <v>218940</v>
      </c>
      <c r="N772" s="284">
        <v>0</v>
      </c>
      <c r="O772" s="284">
        <v>0</v>
      </c>
      <c r="P772" s="284">
        <f>'Giá VL'!V19</f>
        <v>310458.0547558713</v>
      </c>
      <c r="Q772" s="284">
        <f t="shared" si="323"/>
        <v>283215.36045104358</v>
      </c>
      <c r="R772" s="287">
        <v>5</v>
      </c>
    </row>
    <row r="773" spans="1:18">
      <c r="A773" s="246"/>
      <c r="B773" s="265">
        <v>0</v>
      </c>
      <c r="C773" s="680" t="s">
        <v>617</v>
      </c>
      <c r="D773" s="266" t="str">
        <f>" - "&amp;'Giá VL'!E33</f>
        <v xml:space="preserve"> - Nước</v>
      </c>
      <c r="E773" s="265" t="str">
        <f>'Giá VL'!F33</f>
        <v>lít</v>
      </c>
      <c r="F773" s="267">
        <v>0</v>
      </c>
      <c r="G773" s="268">
        <v>176.3</v>
      </c>
      <c r="H773" s="268">
        <f>'5.Tiên lượng'!V192</f>
        <v>1</v>
      </c>
      <c r="I773" s="268">
        <f>PRODUCT(F768,G773,H773)</f>
        <v>403.72700000000003</v>
      </c>
      <c r="J773" s="283">
        <f>'Giá VL'!G33</f>
        <v>15</v>
      </c>
      <c r="K773" s="283">
        <f t="shared" si="321"/>
        <v>2644.5</v>
      </c>
      <c r="L773" s="283">
        <f>'Giá VL'!J33</f>
        <v>15</v>
      </c>
      <c r="M773" s="284">
        <f t="shared" si="322"/>
        <v>2644.5</v>
      </c>
      <c r="N773" s="284">
        <v>0</v>
      </c>
      <c r="O773" s="284">
        <v>0</v>
      </c>
      <c r="P773" s="284">
        <f>'Giá VL'!V33</f>
        <v>15</v>
      </c>
      <c r="Q773" s="284">
        <f t="shared" si="323"/>
        <v>2644.5</v>
      </c>
      <c r="R773" s="287">
        <v>5</v>
      </c>
    </row>
    <row r="774" spans="1:18">
      <c r="A774" s="246"/>
      <c r="B774" s="265">
        <v>0</v>
      </c>
      <c r="C774" s="680" t="s">
        <v>620</v>
      </c>
      <c r="D774" s="266" t="s">
        <v>621</v>
      </c>
      <c r="E774" s="265" t="s">
        <v>37</v>
      </c>
      <c r="F774" s="267">
        <v>0</v>
      </c>
      <c r="G774" s="268">
        <f>AVERAGE(R770:R773)</f>
        <v>5</v>
      </c>
      <c r="H774" s="268">
        <f>'5.Tiên lượng'!V192</f>
        <v>1</v>
      </c>
      <c r="I774" s="268">
        <f>PRODUCT(F768,G774,H774)</f>
        <v>11.45</v>
      </c>
      <c r="J774" s="283">
        <f>(G770*J770+G771*J771+G772*J772+G773*J773)/100</f>
        <v>7495.3125</v>
      </c>
      <c r="K774" s="283">
        <f t="shared" si="321"/>
        <v>37476.5625</v>
      </c>
      <c r="L774" s="283">
        <f>(G770*L770+G771*L771+G772*L772+G773*L773)/100</f>
        <v>8841.65</v>
      </c>
      <c r="M774" s="284">
        <f t="shared" si="322"/>
        <v>44208.25</v>
      </c>
      <c r="N774" s="284">
        <v>0</v>
      </c>
      <c r="O774" s="284">
        <v>0</v>
      </c>
      <c r="P774" s="284">
        <f>(G770*P770+G771*P771+G772*P772+G773*P773)/100</f>
        <v>10202.267950010102</v>
      </c>
      <c r="Q774" s="284">
        <f t="shared" si="323"/>
        <v>51011.339750050509</v>
      </c>
      <c r="R774" s="287">
        <v>0</v>
      </c>
    </row>
    <row r="775" spans="1:18">
      <c r="A775" s="240"/>
      <c r="B775" s="260">
        <v>0</v>
      </c>
      <c r="C775" s="261" t="s">
        <v>590</v>
      </c>
      <c r="D775" s="262" t="s">
        <v>265</v>
      </c>
      <c r="E775" s="260"/>
      <c r="F775" s="263">
        <v>0</v>
      </c>
      <c r="G775" s="264">
        <v>0</v>
      </c>
      <c r="H775" s="264"/>
      <c r="I775" s="264">
        <v>0</v>
      </c>
      <c r="J775" s="281">
        <v>0</v>
      </c>
      <c r="K775" s="281">
        <f>SUM(K776:K776)</f>
        <v>615030</v>
      </c>
      <c r="L775" s="281">
        <v>0</v>
      </c>
      <c r="M775" s="282">
        <f>SUM(M776:M776)</f>
        <v>672300</v>
      </c>
      <c r="N775" s="282">
        <v>0</v>
      </c>
      <c r="O775" s="282">
        <v>0</v>
      </c>
      <c r="P775" s="282">
        <v>0</v>
      </c>
      <c r="Q775" s="282">
        <f>SUM(Q776:Q776)</f>
        <v>672300</v>
      </c>
      <c r="R775" s="287">
        <v>0</v>
      </c>
    </row>
    <row r="776" spans="1:18">
      <c r="A776" s="246"/>
      <c r="B776" s="265">
        <v>0</v>
      </c>
      <c r="C776" s="680" t="s">
        <v>622</v>
      </c>
      <c r="D776" s="266" t="str">
        <f>" - "&amp;'Giá NC'!E9</f>
        <v xml:space="preserve"> - Nhân công bậc 3,5/7 - Nhóm 2</v>
      </c>
      <c r="E776" s="265" t="str">
        <f>'Giá NC'!F9</f>
        <v>công</v>
      </c>
      <c r="F776" s="267">
        <v>0</v>
      </c>
      <c r="G776" s="268">
        <v>2.4900000000000002</v>
      </c>
      <c r="H776" s="268">
        <f>'5.Tiên lượng'!W192</f>
        <v>1</v>
      </c>
      <c r="I776" s="268">
        <f>PRODUCT(F768,G776,H776)</f>
        <v>5.7021000000000006</v>
      </c>
      <c r="J776" s="283">
        <f>'Giá NC'!G9</f>
        <v>247000</v>
      </c>
      <c r="K776" s="283">
        <f>PRODUCT(G776,H776,J776)</f>
        <v>615030</v>
      </c>
      <c r="L776" s="283">
        <f>'Giá NC'!H9</f>
        <v>270000</v>
      </c>
      <c r="M776" s="284">
        <f>PRODUCT(G776,H776,L776)</f>
        <v>672300</v>
      </c>
      <c r="N776" s="284">
        <v>0</v>
      </c>
      <c r="O776" s="284">
        <v>0</v>
      </c>
      <c r="P776" s="284">
        <f>'Giá NC'!K9</f>
        <v>270000</v>
      </c>
      <c r="Q776" s="284">
        <f>PRODUCT(G776,H776,P776)</f>
        <v>672300</v>
      </c>
      <c r="R776" s="287">
        <v>0</v>
      </c>
    </row>
    <row r="777" spans="1:18">
      <c r="A777" s="240"/>
      <c r="B777" s="260">
        <v>0</v>
      </c>
      <c r="C777" s="261" t="s">
        <v>590</v>
      </c>
      <c r="D777" s="262" t="s">
        <v>267</v>
      </c>
      <c r="E777" s="260"/>
      <c r="F777" s="263">
        <v>0</v>
      </c>
      <c r="G777" s="264">
        <v>0</v>
      </c>
      <c r="H777" s="264"/>
      <c r="I777" s="264">
        <v>0</v>
      </c>
      <c r="J777" s="281">
        <v>0</v>
      </c>
      <c r="K777" s="281">
        <f>SUM(K778:K779)</f>
        <v>75402.985237299989</v>
      </c>
      <c r="L777" s="281">
        <v>0</v>
      </c>
      <c r="M777" s="282">
        <f>SUM(M778:M779)</f>
        <v>75267.58</v>
      </c>
      <c r="N777" s="282">
        <v>0</v>
      </c>
      <c r="O777" s="282">
        <v>0</v>
      </c>
      <c r="P777" s="282">
        <v>0</v>
      </c>
      <c r="Q777" s="282">
        <f>SUM(Q778:Q779)</f>
        <v>81629.343256975</v>
      </c>
      <c r="R777" s="287">
        <v>0</v>
      </c>
    </row>
    <row r="778" spans="1:18">
      <c r="A778" s="246"/>
      <c r="B778" s="265">
        <v>0</v>
      </c>
      <c r="C778" s="680" t="s">
        <v>623</v>
      </c>
      <c r="D778" s="266" t="str">
        <f>" - "&amp;'Giá Máy'!E27</f>
        <v xml:space="preserve"> - Máy trộn bê tông 250 lít</v>
      </c>
      <c r="E778" s="265" t="str">
        <f>'Giá Máy'!F27</f>
        <v>ca</v>
      </c>
      <c r="F778" s="267">
        <v>0</v>
      </c>
      <c r="G778" s="268">
        <v>9.5000000000000001E-2</v>
      </c>
      <c r="H778" s="268">
        <f>'5.Tiên lượng'!X192</f>
        <v>1</v>
      </c>
      <c r="I778" s="268">
        <f>PRODUCT(F768,G778,H778)</f>
        <v>0.21754999999999999</v>
      </c>
      <c r="J778" s="283">
        <f>'Giá Máy'!G27</f>
        <v>303162.31046000001</v>
      </c>
      <c r="K778" s="283">
        <f t="shared" ref="K778:K779" si="324">PRODUCT(G778,H778,J778)</f>
        <v>28800.419493699999</v>
      </c>
      <c r="L778" s="283">
        <f>'Giá Máy'!H27</f>
        <v>302516</v>
      </c>
      <c r="M778" s="284">
        <f t="shared" ref="M778:M779" si="325">PRODUCT(G778,H778,L778)</f>
        <v>28739.02</v>
      </c>
      <c r="N778" s="284">
        <v>0</v>
      </c>
      <c r="O778" s="284">
        <v>0</v>
      </c>
      <c r="P778" s="284">
        <f>'Giá Máy'!O27</f>
        <v>326305.98864499998</v>
      </c>
      <c r="Q778" s="284">
        <f t="shared" ref="Q778:Q779" si="326">PRODUCT(G778,H778,P778)</f>
        <v>30999.068921274997</v>
      </c>
      <c r="R778" s="287">
        <v>0</v>
      </c>
    </row>
    <row r="779" spans="1:18">
      <c r="A779" s="251"/>
      <c r="B779" s="269">
        <v>0</v>
      </c>
      <c r="C779" s="681" t="s">
        <v>625</v>
      </c>
      <c r="D779" s="270" t="str">
        <f>" - "&amp;'Giá Máy'!E12</f>
        <v xml:space="preserve"> - Máy đầm dùi 1,5kW</v>
      </c>
      <c r="E779" s="269" t="str">
        <f>'Giá Máy'!F12</f>
        <v>ca</v>
      </c>
      <c r="F779" s="271">
        <v>0</v>
      </c>
      <c r="G779" s="272">
        <v>0.18</v>
      </c>
      <c r="H779" s="272">
        <f>'5.Tiên lượng'!X192</f>
        <v>1</v>
      </c>
      <c r="I779" s="272">
        <f>PRODUCT(F768,G779,H779)</f>
        <v>0.41220000000000001</v>
      </c>
      <c r="J779" s="285">
        <f>'Giá Máy'!G12</f>
        <v>258903.14301999999</v>
      </c>
      <c r="K779" s="285">
        <f t="shared" si="324"/>
        <v>46602.565743599996</v>
      </c>
      <c r="L779" s="285">
        <f>'Giá Máy'!H12</f>
        <v>258492</v>
      </c>
      <c r="M779" s="286">
        <f t="shared" si="325"/>
        <v>46528.56</v>
      </c>
      <c r="N779" s="286">
        <v>0</v>
      </c>
      <c r="O779" s="286">
        <v>0</v>
      </c>
      <c r="P779" s="286">
        <f>'Giá Máy'!O12</f>
        <v>281279.30186500004</v>
      </c>
      <c r="Q779" s="286">
        <f t="shared" si="326"/>
        <v>50630.274335700007</v>
      </c>
      <c r="R779" s="288">
        <v>0</v>
      </c>
    </row>
    <row r="780" spans="1:18" ht="27.6">
      <c r="A780" s="234"/>
      <c r="B780" s="256">
        <v>90</v>
      </c>
      <c r="C780" s="234" t="str">
        <f>'5.Tiên lượng'!C193</f>
        <v>AF.12152</v>
      </c>
      <c r="D780" s="257" t="str">
        <f>'5.Tiên lượng'!D193</f>
        <v>BTXM thân cống - Chiều dày ≤45cm, chiều cao ≤6m, M200, đá 2x4, PCB40</v>
      </c>
      <c r="E780" s="256" t="str">
        <f>'5.Tiên lượng'!E193</f>
        <v>m3</v>
      </c>
      <c r="F780" s="258">
        <f>'5.Tiên lượng'!M193</f>
        <v>1.0900000000000001</v>
      </c>
      <c r="G780" s="259">
        <v>0</v>
      </c>
      <c r="H780" s="259">
        <v>0</v>
      </c>
      <c r="I780" s="259">
        <v>0</v>
      </c>
      <c r="J780" s="279">
        <v>0</v>
      </c>
      <c r="K780" s="279">
        <v>0</v>
      </c>
      <c r="L780" s="279">
        <v>0</v>
      </c>
      <c r="M780" s="280">
        <v>0</v>
      </c>
      <c r="N780" s="280">
        <v>0</v>
      </c>
      <c r="O780" s="280">
        <v>0</v>
      </c>
      <c r="P780" s="280">
        <v>0</v>
      </c>
      <c r="Q780" s="280">
        <v>0</v>
      </c>
      <c r="R780" s="222">
        <v>0</v>
      </c>
    </row>
    <row r="781" spans="1:18">
      <c r="A781" s="240"/>
      <c r="B781" s="260">
        <v>0</v>
      </c>
      <c r="C781" s="261" t="s">
        <v>590</v>
      </c>
      <c r="D781" s="262" t="s">
        <v>262</v>
      </c>
      <c r="E781" s="260"/>
      <c r="F781" s="263">
        <v>0</v>
      </c>
      <c r="G781" s="264">
        <v>0</v>
      </c>
      <c r="H781" s="264"/>
      <c r="I781" s="264">
        <v>0</v>
      </c>
      <c r="J781" s="281">
        <v>0</v>
      </c>
      <c r="K781" s="281">
        <f>SUM(K782:K786)</f>
        <v>835810.36875000002</v>
      </c>
      <c r="L781" s="281">
        <v>0</v>
      </c>
      <c r="M781" s="282">
        <f>SUM(M782:M786)</f>
        <v>986313.16874999995</v>
      </c>
      <c r="N781" s="282">
        <v>0</v>
      </c>
      <c r="O781" s="282">
        <v>0</v>
      </c>
      <c r="P781" s="282">
        <v>0</v>
      </c>
      <c r="Q781" s="282">
        <f>SUM(Q782:Q786)</f>
        <v>1132807.5438712321</v>
      </c>
      <c r="R781" s="287">
        <v>0</v>
      </c>
    </row>
    <row r="782" spans="1:18">
      <c r="A782" s="246"/>
      <c r="B782" s="265">
        <v>0</v>
      </c>
      <c r="C782" s="680" t="s">
        <v>614</v>
      </c>
      <c r="D782" s="266" t="str">
        <f>" - "&amp;'Giá VL'!E45</f>
        <v xml:space="preserve"> - Xi măng PCB40</v>
      </c>
      <c r="E782" s="265" t="str">
        <f>'Giá VL'!F45</f>
        <v>kg</v>
      </c>
      <c r="F782" s="267">
        <v>0</v>
      </c>
      <c r="G782" s="268">
        <v>250.1</v>
      </c>
      <c r="H782" s="268">
        <f>'5.Tiên lượng'!V193</f>
        <v>1</v>
      </c>
      <c r="I782" s="268">
        <f>PRODUCT(F780,G782,H782)</f>
        <v>272.60900000000004</v>
      </c>
      <c r="J782" s="283">
        <f>'Giá VL'!G45</f>
        <v>1350</v>
      </c>
      <c r="K782" s="283">
        <f t="shared" ref="K782:K786" si="327">PRODUCT(G782,H782,J782)</f>
        <v>337635</v>
      </c>
      <c r="L782" s="283">
        <f>'Giá VL'!J45</f>
        <v>1600</v>
      </c>
      <c r="M782" s="284">
        <f t="shared" ref="M782:M786" si="328">PRODUCT(G782,H782,L782)</f>
        <v>400160</v>
      </c>
      <c r="N782" s="284">
        <v>0</v>
      </c>
      <c r="O782" s="284">
        <v>0</v>
      </c>
      <c r="P782" s="284">
        <f>'Giá VL'!V45</f>
        <v>1730</v>
      </c>
      <c r="Q782" s="284">
        <f t="shared" ref="Q782:Q786" si="329">PRODUCT(G782,H782,P782)</f>
        <v>432673</v>
      </c>
      <c r="R782" s="287">
        <v>5</v>
      </c>
    </row>
    <row r="783" spans="1:18">
      <c r="A783" s="246"/>
      <c r="B783" s="265">
        <v>0</v>
      </c>
      <c r="C783" s="680" t="s">
        <v>615</v>
      </c>
      <c r="D783" s="266" t="str">
        <f>" - "&amp;'Giá VL'!E17</f>
        <v xml:space="preserve"> - Cát vàng</v>
      </c>
      <c r="E783" s="265" t="str">
        <f>'Giá VL'!F17</f>
        <v>m3</v>
      </c>
      <c r="F783" s="267">
        <v>0</v>
      </c>
      <c r="G783" s="268">
        <v>0.55349999999999999</v>
      </c>
      <c r="H783" s="268">
        <f>'5.Tiên lượng'!V193</f>
        <v>1</v>
      </c>
      <c r="I783" s="268">
        <f>PRODUCT(F780,G783,H783)</f>
        <v>0.60331500000000005</v>
      </c>
      <c r="J783" s="283">
        <f>'Giá VL'!G17</f>
        <v>580000</v>
      </c>
      <c r="K783" s="283">
        <f t="shared" si="327"/>
        <v>321030</v>
      </c>
      <c r="L783" s="283">
        <f>'Giá VL'!J17</f>
        <v>580000</v>
      </c>
      <c r="M783" s="284">
        <f t="shared" si="328"/>
        <v>321030</v>
      </c>
      <c r="N783" s="284">
        <v>0</v>
      </c>
      <c r="O783" s="284">
        <v>0</v>
      </c>
      <c r="P783" s="284">
        <f>'Giá VL'!V17</f>
        <v>659026.49526849983</v>
      </c>
      <c r="Q783" s="284">
        <f t="shared" si="329"/>
        <v>364771.16513111466</v>
      </c>
      <c r="R783" s="287">
        <v>5</v>
      </c>
    </row>
    <row r="784" spans="1:18">
      <c r="A784" s="246"/>
      <c r="B784" s="265">
        <v>0</v>
      </c>
      <c r="C784" s="680" t="s">
        <v>616</v>
      </c>
      <c r="D784" s="266" t="str">
        <f>" - "&amp;'Giá VL'!E19</f>
        <v xml:space="preserve"> - Đá 2x4</v>
      </c>
      <c r="E784" s="265" t="str">
        <f>'Giá VL'!F19</f>
        <v>m3</v>
      </c>
      <c r="F784" s="267">
        <v>0</v>
      </c>
      <c r="G784" s="268">
        <v>0.89790000000000003</v>
      </c>
      <c r="H784" s="268">
        <f>'5.Tiên lượng'!V193</f>
        <v>1</v>
      </c>
      <c r="I784" s="268">
        <f>PRODUCT(F780,G784,H784)</f>
        <v>0.97871100000000011</v>
      </c>
      <c r="J784" s="283">
        <f>'Giá VL'!G19</f>
        <v>150000</v>
      </c>
      <c r="K784" s="283">
        <f t="shared" si="327"/>
        <v>134685</v>
      </c>
      <c r="L784" s="283">
        <f>'Giá VL'!J19</f>
        <v>240000</v>
      </c>
      <c r="M784" s="284">
        <f t="shared" si="328"/>
        <v>215496</v>
      </c>
      <c r="N784" s="284">
        <v>0</v>
      </c>
      <c r="O784" s="284">
        <v>0</v>
      </c>
      <c r="P784" s="284">
        <f>'Giá VL'!V19</f>
        <v>310458.0547558713</v>
      </c>
      <c r="Q784" s="284">
        <f t="shared" si="329"/>
        <v>278760.28736529686</v>
      </c>
      <c r="R784" s="287">
        <v>5</v>
      </c>
    </row>
    <row r="785" spans="1:18">
      <c r="A785" s="246"/>
      <c r="B785" s="265">
        <v>0</v>
      </c>
      <c r="C785" s="680" t="s">
        <v>617</v>
      </c>
      <c r="D785" s="266" t="str">
        <f>" - "&amp;'Giá VL'!E33</f>
        <v xml:space="preserve"> - Nước</v>
      </c>
      <c r="E785" s="265" t="str">
        <f>'Giá VL'!F33</f>
        <v>lít</v>
      </c>
      <c r="F785" s="267">
        <v>0</v>
      </c>
      <c r="G785" s="268">
        <v>177.32499999999999</v>
      </c>
      <c r="H785" s="268">
        <f>'5.Tiên lượng'!V193</f>
        <v>1</v>
      </c>
      <c r="I785" s="268">
        <f>PRODUCT(F780,G785,H785)</f>
        <v>193.28425000000001</v>
      </c>
      <c r="J785" s="283">
        <f>'Giá VL'!G33</f>
        <v>15</v>
      </c>
      <c r="K785" s="283">
        <f t="shared" si="327"/>
        <v>2659.875</v>
      </c>
      <c r="L785" s="283">
        <f>'Giá VL'!J33</f>
        <v>15</v>
      </c>
      <c r="M785" s="284">
        <f t="shared" si="328"/>
        <v>2659.875</v>
      </c>
      <c r="N785" s="284">
        <v>0</v>
      </c>
      <c r="O785" s="284">
        <v>0</v>
      </c>
      <c r="P785" s="284">
        <f>'Giá VL'!V33</f>
        <v>15</v>
      </c>
      <c r="Q785" s="284">
        <f t="shared" si="329"/>
        <v>2659.875</v>
      </c>
      <c r="R785" s="287">
        <v>5</v>
      </c>
    </row>
    <row r="786" spans="1:18">
      <c r="A786" s="246"/>
      <c r="B786" s="265">
        <v>0</v>
      </c>
      <c r="C786" s="680" t="s">
        <v>620</v>
      </c>
      <c r="D786" s="266" t="s">
        <v>621</v>
      </c>
      <c r="E786" s="265" t="s">
        <v>37</v>
      </c>
      <c r="F786" s="267">
        <v>0</v>
      </c>
      <c r="G786" s="268">
        <f>AVERAGE(R782:R785)</f>
        <v>5</v>
      </c>
      <c r="H786" s="268">
        <f>'5.Tiên lượng'!V193</f>
        <v>1</v>
      </c>
      <c r="I786" s="268">
        <f>PRODUCT(F780,G786,H786)</f>
        <v>5.45</v>
      </c>
      <c r="J786" s="283">
        <f>(G782*J782+G783*J783+G784*J784+G785*J785)/100</f>
        <v>7960.0987500000001</v>
      </c>
      <c r="K786" s="283">
        <f t="shared" si="327"/>
        <v>39800.493750000001</v>
      </c>
      <c r="L786" s="283">
        <f>(G782*L782+G783*L783+G784*L784+G785*L785)/100</f>
        <v>9393.4587499999998</v>
      </c>
      <c r="M786" s="284">
        <f t="shared" si="328"/>
        <v>46967.293749999997</v>
      </c>
      <c r="N786" s="284">
        <v>0</v>
      </c>
      <c r="O786" s="284">
        <v>0</v>
      </c>
      <c r="P786" s="284">
        <f>(G782*P782+G783*P783+G784*P784+G785*P785)/100</f>
        <v>10788.643274964115</v>
      </c>
      <c r="Q786" s="284">
        <f t="shared" si="329"/>
        <v>53943.216374820578</v>
      </c>
      <c r="R786" s="287">
        <v>0</v>
      </c>
    </row>
    <row r="787" spans="1:18">
      <c r="A787" s="240"/>
      <c r="B787" s="260">
        <v>0</v>
      </c>
      <c r="C787" s="261" t="s">
        <v>590</v>
      </c>
      <c r="D787" s="262" t="s">
        <v>265</v>
      </c>
      <c r="E787" s="260"/>
      <c r="F787" s="263">
        <v>0</v>
      </c>
      <c r="G787" s="264">
        <v>0</v>
      </c>
      <c r="H787" s="264"/>
      <c r="I787" s="264">
        <v>0</v>
      </c>
      <c r="J787" s="281">
        <v>0</v>
      </c>
      <c r="K787" s="281">
        <f>SUM(K788:K788)</f>
        <v>615030</v>
      </c>
      <c r="L787" s="281">
        <v>0</v>
      </c>
      <c r="M787" s="282">
        <f>SUM(M788:M788)</f>
        <v>672300</v>
      </c>
      <c r="N787" s="282">
        <v>0</v>
      </c>
      <c r="O787" s="282">
        <v>0</v>
      </c>
      <c r="P787" s="282">
        <v>0</v>
      </c>
      <c r="Q787" s="282">
        <f>SUM(Q788:Q788)</f>
        <v>672300</v>
      </c>
      <c r="R787" s="287">
        <v>0</v>
      </c>
    </row>
    <row r="788" spans="1:18">
      <c r="A788" s="246"/>
      <c r="B788" s="265">
        <v>0</v>
      </c>
      <c r="C788" s="680" t="s">
        <v>622</v>
      </c>
      <c r="D788" s="266" t="str">
        <f>" - "&amp;'Giá NC'!E9</f>
        <v xml:space="preserve"> - Nhân công bậc 3,5/7 - Nhóm 2</v>
      </c>
      <c r="E788" s="265" t="str">
        <f>'Giá NC'!F9</f>
        <v>công</v>
      </c>
      <c r="F788" s="267">
        <v>0</v>
      </c>
      <c r="G788" s="268">
        <v>2.4900000000000002</v>
      </c>
      <c r="H788" s="268">
        <f>'5.Tiên lượng'!W193</f>
        <v>1</v>
      </c>
      <c r="I788" s="268">
        <f>PRODUCT(F780,G788,H788)</f>
        <v>2.7141000000000006</v>
      </c>
      <c r="J788" s="283">
        <f>'Giá NC'!G9</f>
        <v>247000</v>
      </c>
      <c r="K788" s="283">
        <f>PRODUCT(G788,H788,J788)</f>
        <v>615030</v>
      </c>
      <c r="L788" s="283">
        <f>'Giá NC'!H9</f>
        <v>270000</v>
      </c>
      <c r="M788" s="284">
        <f>PRODUCT(G788,H788,L788)</f>
        <v>672300</v>
      </c>
      <c r="N788" s="284">
        <v>0</v>
      </c>
      <c r="O788" s="284">
        <v>0</v>
      </c>
      <c r="P788" s="284">
        <f>'Giá NC'!K9</f>
        <v>270000</v>
      </c>
      <c r="Q788" s="284">
        <f>PRODUCT(G788,H788,P788)</f>
        <v>672300</v>
      </c>
      <c r="R788" s="287">
        <v>0</v>
      </c>
    </row>
    <row r="789" spans="1:18">
      <c r="A789" s="240"/>
      <c r="B789" s="260">
        <v>0</v>
      </c>
      <c r="C789" s="261" t="s">
        <v>590</v>
      </c>
      <c r="D789" s="262" t="s">
        <v>267</v>
      </c>
      <c r="E789" s="260"/>
      <c r="F789" s="263">
        <v>0</v>
      </c>
      <c r="G789" s="264">
        <v>0</v>
      </c>
      <c r="H789" s="264"/>
      <c r="I789" s="264">
        <v>0</v>
      </c>
      <c r="J789" s="281">
        <v>0</v>
      </c>
      <c r="K789" s="281">
        <f>SUM(K790:K791)</f>
        <v>75402.985237299989</v>
      </c>
      <c r="L789" s="281">
        <v>0</v>
      </c>
      <c r="M789" s="282">
        <f>SUM(M790:M791)</f>
        <v>75267.58</v>
      </c>
      <c r="N789" s="282">
        <v>0</v>
      </c>
      <c r="O789" s="282">
        <v>0</v>
      </c>
      <c r="P789" s="282">
        <v>0</v>
      </c>
      <c r="Q789" s="282">
        <f>SUM(Q790:Q791)</f>
        <v>81629.343256975</v>
      </c>
      <c r="R789" s="287">
        <v>0</v>
      </c>
    </row>
    <row r="790" spans="1:18">
      <c r="A790" s="246"/>
      <c r="B790" s="265">
        <v>0</v>
      </c>
      <c r="C790" s="680" t="s">
        <v>623</v>
      </c>
      <c r="D790" s="266" t="str">
        <f>" - "&amp;'Giá Máy'!E27</f>
        <v xml:space="preserve"> - Máy trộn bê tông 250 lít</v>
      </c>
      <c r="E790" s="265" t="str">
        <f>'Giá Máy'!F27</f>
        <v>ca</v>
      </c>
      <c r="F790" s="267">
        <v>0</v>
      </c>
      <c r="G790" s="268">
        <v>9.5000000000000001E-2</v>
      </c>
      <c r="H790" s="268">
        <f>'5.Tiên lượng'!X193</f>
        <v>1</v>
      </c>
      <c r="I790" s="268">
        <f>PRODUCT(F780,G790,H790)</f>
        <v>0.10355</v>
      </c>
      <c r="J790" s="283">
        <f>'Giá Máy'!G27</f>
        <v>303162.31046000001</v>
      </c>
      <c r="K790" s="283">
        <f t="shared" ref="K790:K791" si="330">PRODUCT(G790,H790,J790)</f>
        <v>28800.419493699999</v>
      </c>
      <c r="L790" s="283">
        <f>'Giá Máy'!H27</f>
        <v>302516</v>
      </c>
      <c r="M790" s="284">
        <f t="shared" ref="M790:M791" si="331">PRODUCT(G790,H790,L790)</f>
        <v>28739.02</v>
      </c>
      <c r="N790" s="284">
        <v>0</v>
      </c>
      <c r="O790" s="284">
        <v>0</v>
      </c>
      <c r="P790" s="284">
        <f>'Giá Máy'!O27</f>
        <v>326305.98864499998</v>
      </c>
      <c r="Q790" s="284">
        <f t="shared" ref="Q790:Q791" si="332">PRODUCT(G790,H790,P790)</f>
        <v>30999.068921274997</v>
      </c>
      <c r="R790" s="287">
        <v>0</v>
      </c>
    </row>
    <row r="791" spans="1:18">
      <c r="A791" s="251"/>
      <c r="B791" s="269">
        <v>0</v>
      </c>
      <c r="C791" s="681" t="s">
        <v>625</v>
      </c>
      <c r="D791" s="270" t="str">
        <f>" - "&amp;'Giá Máy'!E12</f>
        <v xml:space="preserve"> - Máy đầm dùi 1,5kW</v>
      </c>
      <c r="E791" s="269" t="str">
        <f>'Giá Máy'!F12</f>
        <v>ca</v>
      </c>
      <c r="F791" s="271">
        <v>0</v>
      </c>
      <c r="G791" s="272">
        <v>0.18</v>
      </c>
      <c r="H791" s="272">
        <f>'5.Tiên lượng'!X193</f>
        <v>1</v>
      </c>
      <c r="I791" s="272">
        <f>PRODUCT(F780,G791,H791)</f>
        <v>0.19620000000000001</v>
      </c>
      <c r="J791" s="285">
        <f>'Giá Máy'!G12</f>
        <v>258903.14301999999</v>
      </c>
      <c r="K791" s="285">
        <f t="shared" si="330"/>
        <v>46602.565743599996</v>
      </c>
      <c r="L791" s="285">
        <f>'Giá Máy'!H12</f>
        <v>258492</v>
      </c>
      <c r="M791" s="286">
        <f t="shared" si="331"/>
        <v>46528.56</v>
      </c>
      <c r="N791" s="286">
        <v>0</v>
      </c>
      <c r="O791" s="286">
        <v>0</v>
      </c>
      <c r="P791" s="286">
        <f>'Giá Máy'!O12</f>
        <v>281279.30186500004</v>
      </c>
      <c r="Q791" s="286">
        <f t="shared" si="332"/>
        <v>50630.274335700007</v>
      </c>
      <c r="R791" s="288">
        <v>0</v>
      </c>
    </row>
    <row r="792" spans="1:18">
      <c r="A792" s="234"/>
      <c r="B792" s="256">
        <v>91</v>
      </c>
      <c r="C792" s="234" t="str">
        <f>'5.Tiên lượng'!C194</f>
        <v>AF.11231</v>
      </c>
      <c r="D792" s="257" t="str">
        <f>'5.Tiên lượng'!D194</f>
        <v>BTXM móng cống, M150, đá 2x4, PCB40</v>
      </c>
      <c r="E792" s="256" t="str">
        <f>'5.Tiên lượng'!E194</f>
        <v>m3</v>
      </c>
      <c r="F792" s="258">
        <f>'5.Tiên lượng'!M194</f>
        <v>4.38</v>
      </c>
      <c r="G792" s="259">
        <v>0</v>
      </c>
      <c r="H792" s="259">
        <v>0</v>
      </c>
      <c r="I792" s="259">
        <v>0</v>
      </c>
      <c r="J792" s="279">
        <v>0</v>
      </c>
      <c r="K792" s="279">
        <v>0</v>
      </c>
      <c r="L792" s="279">
        <v>0</v>
      </c>
      <c r="M792" s="280">
        <v>0</v>
      </c>
      <c r="N792" s="280">
        <v>0</v>
      </c>
      <c r="O792" s="280">
        <v>0</v>
      </c>
      <c r="P792" s="280">
        <v>0</v>
      </c>
      <c r="Q792" s="280">
        <v>0</v>
      </c>
      <c r="R792" s="222">
        <v>0</v>
      </c>
    </row>
    <row r="793" spans="1:18">
      <c r="A793" s="240"/>
      <c r="B793" s="260">
        <v>0</v>
      </c>
      <c r="C793" s="261" t="s">
        <v>590</v>
      </c>
      <c r="D793" s="262" t="s">
        <v>262</v>
      </c>
      <c r="E793" s="260"/>
      <c r="F793" s="263">
        <v>0</v>
      </c>
      <c r="G793" s="264">
        <v>0</v>
      </c>
      <c r="H793" s="264"/>
      <c r="I793" s="264">
        <v>0</v>
      </c>
      <c r="J793" s="281">
        <v>0</v>
      </c>
      <c r="K793" s="281">
        <f>SUM(K794:K798)</f>
        <v>757026.5625</v>
      </c>
      <c r="L793" s="281">
        <v>0</v>
      </c>
      <c r="M793" s="282">
        <f>SUM(M794:M798)</f>
        <v>893006.65</v>
      </c>
      <c r="N793" s="282">
        <v>0</v>
      </c>
      <c r="O793" s="282">
        <v>0</v>
      </c>
      <c r="P793" s="282">
        <v>0</v>
      </c>
      <c r="Q793" s="282">
        <f>SUM(Q794:Q798)</f>
        <v>1030429.0629510203</v>
      </c>
      <c r="R793" s="287">
        <v>0</v>
      </c>
    </row>
    <row r="794" spans="1:18">
      <c r="A794" s="246"/>
      <c r="B794" s="265">
        <v>0</v>
      </c>
      <c r="C794" s="680" t="s">
        <v>614</v>
      </c>
      <c r="D794" s="266" t="str">
        <f>" - "&amp;'Giá VL'!E45</f>
        <v xml:space="preserve"> - Xi măng PCB40</v>
      </c>
      <c r="E794" s="265" t="str">
        <f>'Giá VL'!F45</f>
        <v>kg</v>
      </c>
      <c r="F794" s="267">
        <v>0</v>
      </c>
      <c r="G794" s="268">
        <v>210.125</v>
      </c>
      <c r="H794" s="268">
        <f>'5.Tiên lượng'!V194</f>
        <v>1</v>
      </c>
      <c r="I794" s="268">
        <f>PRODUCT(F792,G794,H794)</f>
        <v>920.34749999999997</v>
      </c>
      <c r="J794" s="283">
        <f>'Giá VL'!G45</f>
        <v>1350</v>
      </c>
      <c r="K794" s="283">
        <f t="shared" ref="K794:K798" si="333">PRODUCT(G794,H794,J794)</f>
        <v>283668.75</v>
      </c>
      <c r="L794" s="283">
        <f>'Giá VL'!J45</f>
        <v>1600</v>
      </c>
      <c r="M794" s="284">
        <f t="shared" ref="M794:M798" si="334">PRODUCT(G794,H794,L794)</f>
        <v>336200</v>
      </c>
      <c r="N794" s="284">
        <v>0</v>
      </c>
      <c r="O794" s="284">
        <v>0</v>
      </c>
      <c r="P794" s="284">
        <f>'Giá VL'!V45</f>
        <v>1730</v>
      </c>
      <c r="Q794" s="284">
        <f t="shared" ref="Q794:Q798" si="335">PRODUCT(G794,H794,P794)</f>
        <v>363516.25</v>
      </c>
      <c r="R794" s="287">
        <v>1</v>
      </c>
    </row>
    <row r="795" spans="1:18">
      <c r="A795" s="246"/>
      <c r="B795" s="265">
        <v>0</v>
      </c>
      <c r="C795" s="680" t="s">
        <v>615</v>
      </c>
      <c r="D795" s="266" t="str">
        <f>" - "&amp;'Giá VL'!E17</f>
        <v xml:space="preserve"> - Cát vàng</v>
      </c>
      <c r="E795" s="265" t="str">
        <f>'Giá VL'!F17</f>
        <v>m3</v>
      </c>
      <c r="F795" s="267">
        <v>0</v>
      </c>
      <c r="G795" s="268">
        <v>0.56272500000000003</v>
      </c>
      <c r="H795" s="268">
        <f>'5.Tiên lượng'!V194</f>
        <v>1</v>
      </c>
      <c r="I795" s="268">
        <f>PRODUCT(F792,G795,H795)</f>
        <v>2.4647355000000002</v>
      </c>
      <c r="J795" s="283">
        <f>'Giá VL'!G17</f>
        <v>580000</v>
      </c>
      <c r="K795" s="283">
        <f t="shared" si="333"/>
        <v>326380.5</v>
      </c>
      <c r="L795" s="283">
        <f>'Giá VL'!J17</f>
        <v>580000</v>
      </c>
      <c r="M795" s="284">
        <f t="shared" si="334"/>
        <v>326380.5</v>
      </c>
      <c r="N795" s="284">
        <v>0</v>
      </c>
      <c r="O795" s="284">
        <v>0</v>
      </c>
      <c r="P795" s="284">
        <f>'Giá VL'!V17</f>
        <v>659026.49526849983</v>
      </c>
      <c r="Q795" s="284">
        <f t="shared" si="335"/>
        <v>370850.68454996659</v>
      </c>
      <c r="R795" s="287">
        <v>1</v>
      </c>
    </row>
    <row r="796" spans="1:18">
      <c r="A796" s="246"/>
      <c r="B796" s="265">
        <v>0</v>
      </c>
      <c r="C796" s="680" t="s">
        <v>616</v>
      </c>
      <c r="D796" s="266" t="str">
        <f>" - "&amp;'Giá VL'!E19</f>
        <v xml:space="preserve"> - Đá 2x4</v>
      </c>
      <c r="E796" s="265" t="str">
        <f>'Giá VL'!F19</f>
        <v>m3</v>
      </c>
      <c r="F796" s="267">
        <v>0</v>
      </c>
      <c r="G796" s="268">
        <v>0.91225000000000001</v>
      </c>
      <c r="H796" s="268">
        <f>'5.Tiên lượng'!V194</f>
        <v>1</v>
      </c>
      <c r="I796" s="268">
        <f>PRODUCT(F792,G796,H796)</f>
        <v>3.9956549999999997</v>
      </c>
      <c r="J796" s="283">
        <f>'Giá VL'!G19</f>
        <v>150000</v>
      </c>
      <c r="K796" s="283">
        <f t="shared" si="333"/>
        <v>136837.5</v>
      </c>
      <c r="L796" s="283">
        <f>'Giá VL'!J19</f>
        <v>240000</v>
      </c>
      <c r="M796" s="284">
        <f t="shared" si="334"/>
        <v>218940</v>
      </c>
      <c r="N796" s="284">
        <v>0</v>
      </c>
      <c r="O796" s="284">
        <v>0</v>
      </c>
      <c r="P796" s="284">
        <f>'Giá VL'!V19</f>
        <v>310458.0547558713</v>
      </c>
      <c r="Q796" s="284">
        <f t="shared" si="335"/>
        <v>283215.36045104358</v>
      </c>
      <c r="R796" s="287">
        <v>1</v>
      </c>
    </row>
    <row r="797" spans="1:18">
      <c r="A797" s="246"/>
      <c r="B797" s="265">
        <v>0</v>
      </c>
      <c r="C797" s="680" t="s">
        <v>617</v>
      </c>
      <c r="D797" s="266" t="str">
        <f>" - "&amp;'Giá VL'!E33</f>
        <v xml:space="preserve"> - Nước</v>
      </c>
      <c r="E797" s="265" t="str">
        <f>'Giá VL'!F33</f>
        <v>lít</v>
      </c>
      <c r="F797" s="267">
        <v>0</v>
      </c>
      <c r="G797" s="268">
        <v>176.3</v>
      </c>
      <c r="H797" s="268">
        <f>'5.Tiên lượng'!V194</f>
        <v>1</v>
      </c>
      <c r="I797" s="268">
        <f>PRODUCT(F792,G797,H797)</f>
        <v>772.19400000000007</v>
      </c>
      <c r="J797" s="283">
        <f>'Giá VL'!G33</f>
        <v>15</v>
      </c>
      <c r="K797" s="283">
        <f t="shared" si="333"/>
        <v>2644.5</v>
      </c>
      <c r="L797" s="283">
        <f>'Giá VL'!J33</f>
        <v>15</v>
      </c>
      <c r="M797" s="284">
        <f t="shared" si="334"/>
        <v>2644.5</v>
      </c>
      <c r="N797" s="284">
        <v>0</v>
      </c>
      <c r="O797" s="284">
        <v>0</v>
      </c>
      <c r="P797" s="284">
        <f>'Giá VL'!V33</f>
        <v>15</v>
      </c>
      <c r="Q797" s="284">
        <f t="shared" si="335"/>
        <v>2644.5</v>
      </c>
      <c r="R797" s="287">
        <v>1</v>
      </c>
    </row>
    <row r="798" spans="1:18">
      <c r="A798" s="246"/>
      <c r="B798" s="265">
        <v>0</v>
      </c>
      <c r="C798" s="680" t="s">
        <v>620</v>
      </c>
      <c r="D798" s="266" t="s">
        <v>621</v>
      </c>
      <c r="E798" s="265" t="s">
        <v>37</v>
      </c>
      <c r="F798" s="267">
        <v>0</v>
      </c>
      <c r="G798" s="268">
        <f>AVERAGE(R794:R797)</f>
        <v>1</v>
      </c>
      <c r="H798" s="268">
        <f>'5.Tiên lượng'!V194</f>
        <v>1</v>
      </c>
      <c r="I798" s="268">
        <f>PRODUCT(F792,G798,H798)</f>
        <v>4.38</v>
      </c>
      <c r="J798" s="283">
        <f>(G794*J794+G795*J795+G796*J796+G797*J797)/100</f>
        <v>7495.3125</v>
      </c>
      <c r="K798" s="283">
        <f t="shared" si="333"/>
        <v>7495.3125</v>
      </c>
      <c r="L798" s="283">
        <f>(G794*L794+G795*L795+G796*L796+G797*L797)/100</f>
        <v>8841.65</v>
      </c>
      <c r="M798" s="284">
        <f t="shared" si="334"/>
        <v>8841.65</v>
      </c>
      <c r="N798" s="284">
        <v>0</v>
      </c>
      <c r="O798" s="284">
        <v>0</v>
      </c>
      <c r="P798" s="284">
        <f>(G794*P794+G795*P795+G796*P796+G797*P797)/100</f>
        <v>10202.267950010102</v>
      </c>
      <c r="Q798" s="284">
        <f t="shared" si="335"/>
        <v>10202.267950010102</v>
      </c>
      <c r="R798" s="287">
        <v>0</v>
      </c>
    </row>
    <row r="799" spans="1:18">
      <c r="A799" s="240"/>
      <c r="B799" s="260">
        <v>0</v>
      </c>
      <c r="C799" s="261" t="s">
        <v>590</v>
      </c>
      <c r="D799" s="262" t="s">
        <v>265</v>
      </c>
      <c r="E799" s="260"/>
      <c r="F799" s="263">
        <v>0</v>
      </c>
      <c r="G799" s="264">
        <v>0</v>
      </c>
      <c r="H799" s="264"/>
      <c r="I799" s="264">
        <v>0</v>
      </c>
      <c r="J799" s="281">
        <v>0</v>
      </c>
      <c r="K799" s="281">
        <f>SUM(K800:K800)</f>
        <v>277826.25</v>
      </c>
      <c r="L799" s="281">
        <v>0</v>
      </c>
      <c r="M799" s="282">
        <f>SUM(M800:M800)</f>
        <v>303696.83999999997</v>
      </c>
      <c r="N799" s="282">
        <v>0</v>
      </c>
      <c r="O799" s="282">
        <v>0</v>
      </c>
      <c r="P799" s="282">
        <v>0</v>
      </c>
      <c r="Q799" s="282">
        <f>SUM(Q800:Q800)</f>
        <v>303696.83999999997</v>
      </c>
      <c r="R799" s="287">
        <v>0</v>
      </c>
    </row>
    <row r="800" spans="1:18">
      <c r="A800" s="246"/>
      <c r="B800" s="265">
        <v>0</v>
      </c>
      <c r="C800" s="680" t="s">
        <v>605</v>
      </c>
      <c r="D800" s="266" t="str">
        <f>" - "&amp;'Giá NC'!E8</f>
        <v xml:space="preserve"> - Nhân công bậc 3,0/7 - Nhóm 2</v>
      </c>
      <c r="E800" s="265" t="str">
        <f>'Giá NC'!F8</f>
        <v>công</v>
      </c>
      <c r="F800" s="267">
        <v>0</v>
      </c>
      <c r="G800" s="268">
        <v>1.23</v>
      </c>
      <c r="H800" s="268">
        <f>'5.Tiên lượng'!W194</f>
        <v>1</v>
      </c>
      <c r="I800" s="268">
        <f>PRODUCT(F792,G800,H800)</f>
        <v>5.3873999999999995</v>
      </c>
      <c r="J800" s="283">
        <f>'Giá NC'!G8</f>
        <v>225875</v>
      </c>
      <c r="K800" s="283">
        <f>PRODUCT(G800,H800,J800)</f>
        <v>277826.25</v>
      </c>
      <c r="L800" s="283">
        <f>'Giá NC'!H8</f>
        <v>246908</v>
      </c>
      <c r="M800" s="284">
        <f>PRODUCT(G800,H800,L800)</f>
        <v>303696.83999999997</v>
      </c>
      <c r="N800" s="284">
        <v>0</v>
      </c>
      <c r="O800" s="284">
        <v>0</v>
      </c>
      <c r="P800" s="284">
        <f>'Giá NC'!K8</f>
        <v>246908</v>
      </c>
      <c r="Q800" s="284">
        <f>PRODUCT(G800,H800,P800)</f>
        <v>303696.83999999997</v>
      </c>
      <c r="R800" s="287">
        <v>0</v>
      </c>
    </row>
    <row r="801" spans="1:18">
      <c r="A801" s="240"/>
      <c r="B801" s="260">
        <v>0</v>
      </c>
      <c r="C801" s="261" t="s">
        <v>590</v>
      </c>
      <c r="D801" s="262" t="s">
        <v>267</v>
      </c>
      <c r="E801" s="260"/>
      <c r="F801" s="263">
        <v>0</v>
      </c>
      <c r="G801" s="264">
        <v>0</v>
      </c>
      <c r="H801" s="264"/>
      <c r="I801" s="264">
        <v>0</v>
      </c>
      <c r="J801" s="281">
        <v>0</v>
      </c>
      <c r="K801" s="281">
        <f>SUM(K802:K803)</f>
        <v>51842.799222479996</v>
      </c>
      <c r="L801" s="281">
        <v>0</v>
      </c>
      <c r="M801" s="282">
        <f>SUM(M802:M803)</f>
        <v>51744.808000000005</v>
      </c>
      <c r="N801" s="282">
        <v>0</v>
      </c>
      <c r="O801" s="282">
        <v>0</v>
      </c>
      <c r="P801" s="282">
        <v>0</v>
      </c>
      <c r="Q801" s="282">
        <f>SUM(Q802:Q803)</f>
        <v>56032.926787260003</v>
      </c>
      <c r="R801" s="287">
        <v>0</v>
      </c>
    </row>
    <row r="802" spans="1:18">
      <c r="A802" s="246"/>
      <c r="B802" s="265">
        <v>0</v>
      </c>
      <c r="C802" s="680" t="s">
        <v>623</v>
      </c>
      <c r="D802" s="266" t="str">
        <f>" - "&amp;'Giá Máy'!E27</f>
        <v xml:space="preserve"> - Máy trộn bê tông 250 lít</v>
      </c>
      <c r="E802" s="265" t="str">
        <f>'Giá Máy'!F27</f>
        <v>ca</v>
      </c>
      <c r="F802" s="267">
        <v>0</v>
      </c>
      <c r="G802" s="268">
        <v>9.5000000000000001E-2</v>
      </c>
      <c r="H802" s="268">
        <f>'5.Tiên lượng'!X194</f>
        <v>1</v>
      </c>
      <c r="I802" s="268">
        <f>PRODUCT(F792,G802,H802)</f>
        <v>0.41609999999999997</v>
      </c>
      <c r="J802" s="283">
        <f>'Giá Máy'!G27</f>
        <v>303162.31046000001</v>
      </c>
      <c r="K802" s="283">
        <f t="shared" ref="K802:K803" si="336">PRODUCT(G802,H802,J802)</f>
        <v>28800.419493699999</v>
      </c>
      <c r="L802" s="283">
        <f>'Giá Máy'!H27</f>
        <v>302516</v>
      </c>
      <c r="M802" s="284">
        <f t="shared" ref="M802:M803" si="337">PRODUCT(G802,H802,L802)</f>
        <v>28739.02</v>
      </c>
      <c r="N802" s="284">
        <v>0</v>
      </c>
      <c r="O802" s="284">
        <v>0</v>
      </c>
      <c r="P802" s="284">
        <f>'Giá Máy'!O27</f>
        <v>326305.98864499998</v>
      </c>
      <c r="Q802" s="284">
        <f t="shared" ref="Q802:Q803" si="338">PRODUCT(G802,H802,P802)</f>
        <v>30999.068921274997</v>
      </c>
      <c r="R802" s="287">
        <v>0</v>
      </c>
    </row>
    <row r="803" spans="1:18">
      <c r="A803" s="251"/>
      <c r="B803" s="269">
        <v>0</v>
      </c>
      <c r="C803" s="681" t="s">
        <v>625</v>
      </c>
      <c r="D803" s="270" t="str">
        <f>" - "&amp;'Giá Máy'!E12</f>
        <v xml:space="preserve"> - Máy đầm dùi 1,5kW</v>
      </c>
      <c r="E803" s="269" t="str">
        <f>'Giá Máy'!F12</f>
        <v>ca</v>
      </c>
      <c r="F803" s="271">
        <v>0</v>
      </c>
      <c r="G803" s="272">
        <v>8.8999999999999996E-2</v>
      </c>
      <c r="H803" s="272">
        <f>'5.Tiên lượng'!X194</f>
        <v>1</v>
      </c>
      <c r="I803" s="272">
        <f>PRODUCT(F792,G803,H803)</f>
        <v>0.38981999999999994</v>
      </c>
      <c r="J803" s="285">
        <f>'Giá Máy'!G12</f>
        <v>258903.14301999999</v>
      </c>
      <c r="K803" s="285">
        <f t="shared" si="336"/>
        <v>23042.379728779997</v>
      </c>
      <c r="L803" s="285">
        <f>'Giá Máy'!H12</f>
        <v>258492</v>
      </c>
      <c r="M803" s="286">
        <f t="shared" si="337"/>
        <v>23005.788</v>
      </c>
      <c r="N803" s="286">
        <v>0</v>
      </c>
      <c r="O803" s="286">
        <v>0</v>
      </c>
      <c r="P803" s="286">
        <f>'Giá Máy'!O12</f>
        <v>281279.30186500004</v>
      </c>
      <c r="Q803" s="286">
        <f t="shared" si="338"/>
        <v>25033.857865985003</v>
      </c>
      <c r="R803" s="288">
        <v>0</v>
      </c>
    </row>
    <row r="804" spans="1:18" ht="41.4">
      <c r="A804" s="234"/>
      <c r="B804" s="256">
        <v>92</v>
      </c>
      <c r="C804" s="234" t="str">
        <f>'5.Tiên lượng'!C195</f>
        <v>AG.11413</v>
      </c>
      <c r="D804" s="257" t="str">
        <f>'5.Tiên lượng'!D195</f>
        <v>BTCT tấm bản mặt, M250, đá 1x2, PCB40 - Đổ bê tông đúc sẵn bằng thủ công (vữa bê tông sản xuất bằng máy trộn)</v>
      </c>
      <c r="E804" s="256" t="str">
        <f>'5.Tiên lượng'!E195</f>
        <v>m3</v>
      </c>
      <c r="F804" s="258">
        <f>'5.Tiên lượng'!M195</f>
        <v>1.23</v>
      </c>
      <c r="G804" s="259">
        <v>0</v>
      </c>
      <c r="H804" s="259">
        <v>0</v>
      </c>
      <c r="I804" s="259">
        <v>0</v>
      </c>
      <c r="J804" s="279">
        <v>0</v>
      </c>
      <c r="K804" s="279">
        <v>0</v>
      </c>
      <c r="L804" s="279">
        <v>0</v>
      </c>
      <c r="M804" s="280">
        <v>0</v>
      </c>
      <c r="N804" s="280">
        <v>0</v>
      </c>
      <c r="O804" s="280">
        <v>0</v>
      </c>
      <c r="P804" s="280">
        <v>0</v>
      </c>
      <c r="Q804" s="280">
        <v>0</v>
      </c>
      <c r="R804" s="222">
        <v>0</v>
      </c>
    </row>
    <row r="805" spans="1:18">
      <c r="A805" s="240"/>
      <c r="B805" s="260">
        <v>0</v>
      </c>
      <c r="C805" s="261" t="s">
        <v>590</v>
      </c>
      <c r="D805" s="262" t="s">
        <v>262</v>
      </c>
      <c r="E805" s="260"/>
      <c r="F805" s="263">
        <v>0</v>
      </c>
      <c r="G805" s="264">
        <v>0</v>
      </c>
      <c r="H805" s="264"/>
      <c r="I805" s="264">
        <v>0</v>
      </c>
      <c r="J805" s="281">
        <v>0</v>
      </c>
      <c r="K805" s="281">
        <f>SUM(K806:K810)</f>
        <v>863916.81862500007</v>
      </c>
      <c r="L805" s="281">
        <v>0</v>
      </c>
      <c r="M805" s="282">
        <f>SUM(M806:M810)</f>
        <v>1027893.8748750001</v>
      </c>
      <c r="N805" s="282">
        <v>0</v>
      </c>
      <c r="O805" s="282">
        <v>0</v>
      </c>
      <c r="P805" s="282">
        <v>0</v>
      </c>
      <c r="Q805" s="282">
        <f>SUM(Q806:Q810)</f>
        <v>1171098.5194719234</v>
      </c>
      <c r="R805" s="287">
        <v>0</v>
      </c>
    </row>
    <row r="806" spans="1:18">
      <c r="A806" s="246"/>
      <c r="B806" s="265">
        <v>0</v>
      </c>
      <c r="C806" s="680" t="s">
        <v>614</v>
      </c>
      <c r="D806" s="266" t="str">
        <f>" - "&amp;'Giá VL'!E45</f>
        <v xml:space="preserve"> - Xi măng PCB40</v>
      </c>
      <c r="E806" s="265" t="str">
        <f>'Giá VL'!F45</f>
        <v>kg</v>
      </c>
      <c r="F806" s="267">
        <v>0</v>
      </c>
      <c r="G806" s="268">
        <v>305.51499999999999</v>
      </c>
      <c r="H806" s="268">
        <f>'5.Tiên lượng'!V195</f>
        <v>1</v>
      </c>
      <c r="I806" s="268">
        <f>PRODUCT(F804,G806,H806)</f>
        <v>375.78344999999996</v>
      </c>
      <c r="J806" s="283">
        <f>'Giá VL'!G45</f>
        <v>1350</v>
      </c>
      <c r="K806" s="283">
        <f t="shared" ref="K806:K810" si="339">PRODUCT(G806,H806,J806)</f>
        <v>412445.25</v>
      </c>
      <c r="L806" s="283">
        <f>'Giá VL'!J45</f>
        <v>1600</v>
      </c>
      <c r="M806" s="284">
        <f t="shared" ref="M806:M810" si="340">PRODUCT(G806,H806,L806)</f>
        <v>488824</v>
      </c>
      <c r="N806" s="284">
        <v>0</v>
      </c>
      <c r="O806" s="284">
        <v>0</v>
      </c>
      <c r="P806" s="284">
        <f>'Giá VL'!V45</f>
        <v>1730</v>
      </c>
      <c r="Q806" s="284">
        <f t="shared" ref="Q806:Q810" si="341">PRODUCT(G806,H806,P806)</f>
        <v>528540.94999999995</v>
      </c>
      <c r="R806" s="287">
        <v>0.5</v>
      </c>
    </row>
    <row r="807" spans="1:18">
      <c r="A807" s="246"/>
      <c r="B807" s="265">
        <v>0</v>
      </c>
      <c r="C807" s="680" t="s">
        <v>615</v>
      </c>
      <c r="D807" s="266" t="str">
        <f>" - "&amp;'Giá VL'!E17</f>
        <v xml:space="preserve"> - Cát vàng</v>
      </c>
      <c r="E807" s="265" t="str">
        <f>'Giá VL'!F17</f>
        <v>m3</v>
      </c>
      <c r="F807" s="267">
        <v>0</v>
      </c>
      <c r="G807" s="268">
        <v>0.52678499999999995</v>
      </c>
      <c r="H807" s="268">
        <f>'5.Tiên lượng'!V195</f>
        <v>1</v>
      </c>
      <c r="I807" s="268">
        <f>PRODUCT(F804,G807,H807)</f>
        <v>0.64794554999999998</v>
      </c>
      <c r="J807" s="283">
        <f>'Giá VL'!G17</f>
        <v>580000</v>
      </c>
      <c r="K807" s="283">
        <f t="shared" si="339"/>
        <v>305535.3</v>
      </c>
      <c r="L807" s="283">
        <f>'Giá VL'!J17</f>
        <v>580000</v>
      </c>
      <c r="M807" s="284">
        <f t="shared" si="340"/>
        <v>305535.3</v>
      </c>
      <c r="N807" s="284">
        <v>0</v>
      </c>
      <c r="O807" s="284">
        <v>0</v>
      </c>
      <c r="P807" s="284">
        <f>'Giá VL'!V17</f>
        <v>659026.49526849983</v>
      </c>
      <c r="Q807" s="284">
        <f t="shared" si="341"/>
        <v>347165.27231001662</v>
      </c>
      <c r="R807" s="287">
        <v>0.5</v>
      </c>
    </row>
    <row r="808" spans="1:18">
      <c r="A808" s="246"/>
      <c r="B808" s="265">
        <v>0</v>
      </c>
      <c r="C808" s="680" t="s">
        <v>659</v>
      </c>
      <c r="D808" s="266" t="str">
        <f>" - "&amp;'Giá VL'!E18</f>
        <v xml:space="preserve"> - Đá 1x2</v>
      </c>
      <c r="E808" s="265" t="str">
        <f>'Giá VL'!F18</f>
        <v>m3</v>
      </c>
      <c r="F808" s="267">
        <v>0</v>
      </c>
      <c r="G808" s="268">
        <v>0.86782499999999996</v>
      </c>
      <c r="H808" s="268">
        <f>'5.Tiên lượng'!V195</f>
        <v>1</v>
      </c>
      <c r="I808" s="268">
        <f>PRODUCT(F804,G808,H808)</f>
        <v>1.06742475</v>
      </c>
      <c r="J808" s="283">
        <f>'Giá VL'!G18</f>
        <v>160000</v>
      </c>
      <c r="K808" s="283">
        <f t="shared" si="339"/>
        <v>138852</v>
      </c>
      <c r="L808" s="283">
        <f>'Giá VL'!J18</f>
        <v>260000</v>
      </c>
      <c r="M808" s="284">
        <f t="shared" si="340"/>
        <v>225634.5</v>
      </c>
      <c r="N808" s="284">
        <v>0</v>
      </c>
      <c r="O808" s="284">
        <v>0</v>
      </c>
      <c r="P808" s="284">
        <f>'Giá VL'!V18</f>
        <v>330458.0547558713</v>
      </c>
      <c r="Q808" s="284">
        <f t="shared" si="341"/>
        <v>286779.76136851398</v>
      </c>
      <c r="R808" s="287">
        <v>0.5</v>
      </c>
    </row>
    <row r="809" spans="1:18">
      <c r="A809" s="246"/>
      <c r="B809" s="265">
        <v>0</v>
      </c>
      <c r="C809" s="680" t="s">
        <v>617</v>
      </c>
      <c r="D809" s="266" t="str">
        <f>" - "&amp;'Giá VL'!E33</f>
        <v xml:space="preserve"> - Nước</v>
      </c>
      <c r="E809" s="265" t="str">
        <f>'Giá VL'!F33</f>
        <v>lít</v>
      </c>
      <c r="F809" s="267">
        <v>0</v>
      </c>
      <c r="G809" s="268">
        <v>185.745</v>
      </c>
      <c r="H809" s="268">
        <f>'5.Tiên lượng'!V195</f>
        <v>1</v>
      </c>
      <c r="I809" s="268">
        <f>PRODUCT(F804,G809,H809)</f>
        <v>228.46635000000001</v>
      </c>
      <c r="J809" s="283">
        <f>'Giá VL'!G33</f>
        <v>15</v>
      </c>
      <c r="K809" s="283">
        <f t="shared" si="339"/>
        <v>2786.1750000000002</v>
      </c>
      <c r="L809" s="283">
        <f>'Giá VL'!J33</f>
        <v>15</v>
      </c>
      <c r="M809" s="284">
        <f t="shared" si="340"/>
        <v>2786.1750000000002</v>
      </c>
      <c r="N809" s="284">
        <v>0</v>
      </c>
      <c r="O809" s="284">
        <v>0</v>
      </c>
      <c r="P809" s="284">
        <f>'Giá VL'!V33</f>
        <v>15</v>
      </c>
      <c r="Q809" s="284">
        <f t="shared" si="341"/>
        <v>2786.1750000000002</v>
      </c>
      <c r="R809" s="287">
        <v>0.5</v>
      </c>
    </row>
    <row r="810" spans="1:18">
      <c r="A810" s="246"/>
      <c r="B810" s="265">
        <v>0</v>
      </c>
      <c r="C810" s="680" t="s">
        <v>620</v>
      </c>
      <c r="D810" s="266" t="s">
        <v>621</v>
      </c>
      <c r="E810" s="265" t="s">
        <v>37</v>
      </c>
      <c r="F810" s="267">
        <v>0</v>
      </c>
      <c r="G810" s="268">
        <f>AVERAGE(R806:R809)</f>
        <v>0.5</v>
      </c>
      <c r="H810" s="268">
        <f>'5.Tiên lượng'!V195</f>
        <v>1</v>
      </c>
      <c r="I810" s="268">
        <f>PRODUCT(F804,G810,H810)</f>
        <v>0.61499999999999999</v>
      </c>
      <c r="J810" s="283">
        <f>(G806*J806+G807*J807+G808*J808+G809*J809)/100</f>
        <v>8596.1872500000009</v>
      </c>
      <c r="K810" s="283">
        <f t="shared" si="339"/>
        <v>4298.0936250000004</v>
      </c>
      <c r="L810" s="283">
        <f>(G806*L806+G807*L807+G808*L808+G809*L809)/100</f>
        <v>10227.79975</v>
      </c>
      <c r="M810" s="284">
        <f t="shared" si="340"/>
        <v>5113.8998750000001</v>
      </c>
      <c r="N810" s="284">
        <v>0</v>
      </c>
      <c r="O810" s="284">
        <v>0</v>
      </c>
      <c r="P810" s="284">
        <f>(G806*P806+G807*P807+G808*P808+G809*P809)/100</f>
        <v>11652.721586785306</v>
      </c>
      <c r="Q810" s="284">
        <f t="shared" si="341"/>
        <v>5826.3607933926532</v>
      </c>
      <c r="R810" s="287">
        <v>0</v>
      </c>
    </row>
    <row r="811" spans="1:18">
      <c r="A811" s="240"/>
      <c r="B811" s="260">
        <v>0</v>
      </c>
      <c r="C811" s="261" t="s">
        <v>590</v>
      </c>
      <c r="D811" s="262" t="s">
        <v>265</v>
      </c>
      <c r="E811" s="260"/>
      <c r="F811" s="263">
        <v>0</v>
      </c>
      <c r="G811" s="264">
        <v>0</v>
      </c>
      <c r="H811" s="264"/>
      <c r="I811" s="264">
        <v>0</v>
      </c>
      <c r="J811" s="281">
        <v>0</v>
      </c>
      <c r="K811" s="281">
        <f>SUM(K812:K812)</f>
        <v>435938.75</v>
      </c>
      <c r="L811" s="281">
        <v>0</v>
      </c>
      <c r="M811" s="282">
        <f>SUM(M812:M812)</f>
        <v>476532.44</v>
      </c>
      <c r="N811" s="282">
        <v>0</v>
      </c>
      <c r="O811" s="282">
        <v>0</v>
      </c>
      <c r="P811" s="282">
        <v>0</v>
      </c>
      <c r="Q811" s="282">
        <f>SUM(Q812:Q812)</f>
        <v>476532.44</v>
      </c>
      <c r="R811" s="287">
        <v>0</v>
      </c>
    </row>
    <row r="812" spans="1:18">
      <c r="A812" s="246"/>
      <c r="B812" s="265">
        <v>0</v>
      </c>
      <c r="C812" s="680" t="s">
        <v>605</v>
      </c>
      <c r="D812" s="266" t="str">
        <f>" - "&amp;'Giá NC'!E8</f>
        <v xml:space="preserve"> - Nhân công bậc 3,0/7 - Nhóm 2</v>
      </c>
      <c r="E812" s="265" t="str">
        <f>'Giá NC'!F8</f>
        <v>công</v>
      </c>
      <c r="F812" s="267">
        <v>0</v>
      </c>
      <c r="G812" s="268">
        <v>1.93</v>
      </c>
      <c r="H812" s="268">
        <f>'5.Tiên lượng'!W195</f>
        <v>1</v>
      </c>
      <c r="I812" s="268">
        <f>PRODUCT(F804,G812,H812)</f>
        <v>2.3738999999999999</v>
      </c>
      <c r="J812" s="283">
        <f>'Giá NC'!G8</f>
        <v>225875</v>
      </c>
      <c r="K812" s="283">
        <f>PRODUCT(G812,H812,J812)</f>
        <v>435938.75</v>
      </c>
      <c r="L812" s="283">
        <f>'Giá NC'!H8</f>
        <v>246908</v>
      </c>
      <c r="M812" s="284">
        <f>PRODUCT(G812,H812,L812)</f>
        <v>476532.44</v>
      </c>
      <c r="N812" s="284">
        <v>0</v>
      </c>
      <c r="O812" s="284">
        <v>0</v>
      </c>
      <c r="P812" s="284">
        <f>'Giá NC'!K8</f>
        <v>246908</v>
      </c>
      <c r="Q812" s="284">
        <f>PRODUCT(G812,H812,P812)</f>
        <v>476532.44</v>
      </c>
      <c r="R812" s="287">
        <v>0</v>
      </c>
    </row>
    <row r="813" spans="1:18">
      <c r="A813" s="240"/>
      <c r="B813" s="260">
        <v>0</v>
      </c>
      <c r="C813" s="261" t="s">
        <v>590</v>
      </c>
      <c r="D813" s="262" t="s">
        <v>267</v>
      </c>
      <c r="E813" s="260"/>
      <c r="F813" s="263">
        <v>0</v>
      </c>
      <c r="G813" s="264">
        <v>0</v>
      </c>
      <c r="H813" s="264"/>
      <c r="I813" s="264">
        <v>0</v>
      </c>
      <c r="J813" s="281">
        <v>0</v>
      </c>
      <c r="K813" s="281">
        <f>SUM(K814:K814)</f>
        <v>28800.419493699999</v>
      </c>
      <c r="L813" s="281">
        <v>0</v>
      </c>
      <c r="M813" s="282">
        <f>SUM(M814:M814)</f>
        <v>28739.02</v>
      </c>
      <c r="N813" s="282">
        <v>0</v>
      </c>
      <c r="O813" s="282">
        <v>0</v>
      </c>
      <c r="P813" s="282">
        <v>0</v>
      </c>
      <c r="Q813" s="282">
        <f>SUM(Q814:Q814)</f>
        <v>30999.068921274997</v>
      </c>
      <c r="R813" s="287">
        <v>0</v>
      </c>
    </row>
    <row r="814" spans="1:18">
      <c r="A814" s="251"/>
      <c r="B814" s="269">
        <v>0</v>
      </c>
      <c r="C814" s="681" t="s">
        <v>623</v>
      </c>
      <c r="D814" s="270" t="str">
        <f>" - "&amp;'Giá Máy'!E27</f>
        <v xml:space="preserve"> - Máy trộn bê tông 250 lít</v>
      </c>
      <c r="E814" s="269" t="str">
        <f>'Giá Máy'!F27</f>
        <v>ca</v>
      </c>
      <c r="F814" s="271">
        <v>0</v>
      </c>
      <c r="G814" s="272">
        <v>9.5000000000000001E-2</v>
      </c>
      <c r="H814" s="272">
        <f>'5.Tiên lượng'!X195</f>
        <v>1</v>
      </c>
      <c r="I814" s="272">
        <f>PRODUCT(F804,G814,H814)</f>
        <v>0.11685</v>
      </c>
      <c r="J814" s="285">
        <f>'Giá Máy'!G27</f>
        <v>303162.31046000001</v>
      </c>
      <c r="K814" s="285">
        <f>PRODUCT(G814,H814,J814)</f>
        <v>28800.419493699999</v>
      </c>
      <c r="L814" s="285">
        <f>'Giá Máy'!H27</f>
        <v>302516</v>
      </c>
      <c r="M814" s="286">
        <f>PRODUCT(G814,H814,L814)</f>
        <v>28739.02</v>
      </c>
      <c r="N814" s="286">
        <v>0</v>
      </c>
      <c r="O814" s="286">
        <v>0</v>
      </c>
      <c r="P814" s="286">
        <f>'Giá Máy'!O27</f>
        <v>326305.98864499998</v>
      </c>
      <c r="Q814" s="286">
        <f>PRODUCT(G814,H814,P814)</f>
        <v>30999.068921274997</v>
      </c>
      <c r="R814" s="288">
        <v>0</v>
      </c>
    </row>
    <row r="815" spans="1:18">
      <c r="A815" s="234"/>
      <c r="B815" s="256">
        <v>93</v>
      </c>
      <c r="C815" s="234" t="str">
        <f>'5.Tiên lượng'!C196</f>
        <v>AG.41610</v>
      </c>
      <c r="D815" s="257" t="str">
        <f>'5.Tiên lượng'!D196</f>
        <v>Lắp đặt tấm bản mặt bằng cần cẩu</v>
      </c>
      <c r="E815" s="256" t="str">
        <f>'5.Tiên lượng'!E196</f>
        <v>1cấu kiện</v>
      </c>
      <c r="F815" s="258">
        <f>'5.Tiên lượng'!M196</f>
        <v>8</v>
      </c>
      <c r="G815" s="259">
        <v>0</v>
      </c>
      <c r="H815" s="259">
        <v>0</v>
      </c>
      <c r="I815" s="259">
        <v>0</v>
      </c>
      <c r="J815" s="279">
        <v>0</v>
      </c>
      <c r="K815" s="279">
        <v>0</v>
      </c>
      <c r="L815" s="279">
        <v>0</v>
      </c>
      <c r="M815" s="280">
        <v>0</v>
      </c>
      <c r="N815" s="280">
        <v>0</v>
      </c>
      <c r="O815" s="280">
        <v>0</v>
      </c>
      <c r="P815" s="280">
        <v>0</v>
      </c>
      <c r="Q815" s="280">
        <v>0</v>
      </c>
      <c r="R815" s="222">
        <v>0</v>
      </c>
    </row>
    <row r="816" spans="1:18">
      <c r="A816" s="240"/>
      <c r="B816" s="260">
        <v>0</v>
      </c>
      <c r="C816" s="261" t="s">
        <v>590</v>
      </c>
      <c r="D816" s="262" t="s">
        <v>265</v>
      </c>
      <c r="E816" s="260"/>
      <c r="F816" s="263">
        <v>0</v>
      </c>
      <c r="G816" s="264">
        <v>0</v>
      </c>
      <c r="H816" s="264"/>
      <c r="I816" s="264">
        <v>0</v>
      </c>
      <c r="J816" s="281">
        <v>0</v>
      </c>
      <c r="K816" s="281">
        <f>SUM(K817:K817)</f>
        <v>13552.5</v>
      </c>
      <c r="L816" s="281">
        <v>0</v>
      </c>
      <c r="M816" s="282">
        <f>SUM(M817:M817)</f>
        <v>14814.48</v>
      </c>
      <c r="N816" s="282">
        <v>0</v>
      </c>
      <c r="O816" s="282">
        <v>0</v>
      </c>
      <c r="P816" s="282">
        <v>0</v>
      </c>
      <c r="Q816" s="282">
        <f>SUM(Q817:Q817)</f>
        <v>14814.48</v>
      </c>
      <c r="R816" s="287">
        <v>0</v>
      </c>
    </row>
    <row r="817" spans="1:18">
      <c r="A817" s="246"/>
      <c r="B817" s="265">
        <v>0</v>
      </c>
      <c r="C817" s="680" t="s">
        <v>605</v>
      </c>
      <c r="D817" s="266" t="str">
        <f>" - "&amp;'Giá NC'!E8</f>
        <v xml:space="preserve"> - Nhân công bậc 3,0/7 - Nhóm 2</v>
      </c>
      <c r="E817" s="265" t="str">
        <f>'Giá NC'!F8</f>
        <v>công</v>
      </c>
      <c r="F817" s="267">
        <v>0</v>
      </c>
      <c r="G817" s="268">
        <v>0.03</v>
      </c>
      <c r="H817" s="268">
        <f>'5.Tiên lượng'!W196</f>
        <v>2</v>
      </c>
      <c r="I817" s="268">
        <f>PRODUCT(F815,G817,H817)</f>
        <v>0.48</v>
      </c>
      <c r="J817" s="283">
        <f>'Giá NC'!G8</f>
        <v>225875</v>
      </c>
      <c r="K817" s="283">
        <f>PRODUCT(G817,H817,J817)</f>
        <v>13552.5</v>
      </c>
      <c r="L817" s="283">
        <f>'Giá NC'!H8</f>
        <v>246908</v>
      </c>
      <c r="M817" s="284">
        <f>PRODUCT(G817,H817,L817)</f>
        <v>14814.48</v>
      </c>
      <c r="N817" s="284">
        <v>0</v>
      </c>
      <c r="O817" s="284">
        <v>0</v>
      </c>
      <c r="P817" s="284">
        <f>'Giá NC'!K8</f>
        <v>246908</v>
      </c>
      <c r="Q817" s="284">
        <f>PRODUCT(G817,H817,P817)</f>
        <v>14814.48</v>
      </c>
      <c r="R817" s="287">
        <v>0</v>
      </c>
    </row>
    <row r="818" spans="1:18">
      <c r="A818" s="240"/>
      <c r="B818" s="260">
        <v>0</v>
      </c>
      <c r="C818" s="261" t="s">
        <v>590</v>
      </c>
      <c r="D818" s="262" t="s">
        <v>267</v>
      </c>
      <c r="E818" s="260"/>
      <c r="F818" s="263">
        <v>0</v>
      </c>
      <c r="G818" s="264">
        <v>0</v>
      </c>
      <c r="H818" s="264"/>
      <c r="I818" s="264">
        <v>0</v>
      </c>
      <c r="J818" s="281">
        <v>0</v>
      </c>
      <c r="K818" s="281">
        <f>SUM(K819:K819)</f>
        <v>45978.426999999894</v>
      </c>
      <c r="L818" s="281">
        <v>0</v>
      </c>
      <c r="M818" s="282">
        <f>SUM(M819:M819)</f>
        <v>48829.68</v>
      </c>
      <c r="N818" s="282">
        <v>0</v>
      </c>
      <c r="O818" s="282">
        <v>0</v>
      </c>
      <c r="P818" s="282">
        <v>0</v>
      </c>
      <c r="Q818" s="282">
        <f>SUM(Q819:Q819)</f>
        <v>48354.300999999992</v>
      </c>
      <c r="R818" s="287">
        <v>0</v>
      </c>
    </row>
    <row r="819" spans="1:18">
      <c r="A819" s="251"/>
      <c r="B819" s="269">
        <v>0</v>
      </c>
      <c r="C819" s="681" t="s">
        <v>665</v>
      </c>
      <c r="D819" s="270" t="str">
        <f>" - "&amp;'Giá Máy'!E6</f>
        <v xml:space="preserve"> - Cần cẩu bánh hơi 6T</v>
      </c>
      <c r="E819" s="269" t="str">
        <f>'Giá Máy'!F6</f>
        <v>ca</v>
      </c>
      <c r="F819" s="271">
        <v>0</v>
      </c>
      <c r="G819" s="272">
        <v>1.4999999999999999E-2</v>
      </c>
      <c r="H819" s="272">
        <f>'5.Tiên lượng'!X196</f>
        <v>2</v>
      </c>
      <c r="I819" s="272">
        <f>PRODUCT(F815,G819,H819)</f>
        <v>0.24</v>
      </c>
      <c r="J819" s="285">
        <f>'Giá Máy'!G6</f>
        <v>1532614.2333333299</v>
      </c>
      <c r="K819" s="285">
        <f>PRODUCT(G819,H819,J819)</f>
        <v>45978.426999999894</v>
      </c>
      <c r="L819" s="285">
        <f>'Giá Máy'!H6</f>
        <v>1627656</v>
      </c>
      <c r="M819" s="286">
        <f>PRODUCT(G819,H819,L819)</f>
        <v>48829.68</v>
      </c>
      <c r="N819" s="286">
        <v>0</v>
      </c>
      <c r="O819" s="286">
        <v>0</v>
      </c>
      <c r="P819" s="286">
        <f>'Giá Máy'!O6</f>
        <v>1611810.0333333332</v>
      </c>
      <c r="Q819" s="286">
        <f>PRODUCT(G819,H819,P819)</f>
        <v>48354.300999999992</v>
      </c>
      <c r="R819" s="288">
        <v>0</v>
      </c>
    </row>
    <row r="820" spans="1:18">
      <c r="A820" s="234"/>
      <c r="B820" s="256">
        <v>94</v>
      </c>
      <c r="C820" s="234" t="str">
        <f>'5.Tiên lượng'!C197</f>
        <v>AF.14232</v>
      </c>
      <c r="D820" s="257" t="str">
        <f>'5.Tiên lượng'!D197</f>
        <v>BTCT mũ mố, M200, đá 2x4, PCB40</v>
      </c>
      <c r="E820" s="256" t="str">
        <f>'5.Tiên lượng'!E197</f>
        <v>m3</v>
      </c>
      <c r="F820" s="258">
        <f>'5.Tiên lượng'!M197</f>
        <v>0.79</v>
      </c>
      <c r="G820" s="259">
        <v>0</v>
      </c>
      <c r="H820" s="259">
        <v>0</v>
      </c>
      <c r="I820" s="259">
        <v>0</v>
      </c>
      <c r="J820" s="279">
        <v>0</v>
      </c>
      <c r="K820" s="279">
        <v>0</v>
      </c>
      <c r="L820" s="279">
        <v>0</v>
      </c>
      <c r="M820" s="280">
        <v>0</v>
      </c>
      <c r="N820" s="280">
        <v>0</v>
      </c>
      <c r="O820" s="280">
        <v>0</v>
      </c>
      <c r="P820" s="280">
        <v>0</v>
      </c>
      <c r="Q820" s="280">
        <v>0</v>
      </c>
      <c r="R820" s="222">
        <v>0</v>
      </c>
    </row>
    <row r="821" spans="1:18">
      <c r="A821" s="240"/>
      <c r="B821" s="260">
        <v>0</v>
      </c>
      <c r="C821" s="261" t="s">
        <v>590</v>
      </c>
      <c r="D821" s="262" t="s">
        <v>262</v>
      </c>
      <c r="E821" s="260"/>
      <c r="F821" s="263">
        <v>0</v>
      </c>
      <c r="G821" s="264">
        <v>0</v>
      </c>
      <c r="H821" s="264"/>
      <c r="I821" s="264">
        <v>0</v>
      </c>
      <c r="J821" s="281">
        <v>0</v>
      </c>
      <c r="K821" s="281">
        <f>SUM(K822:K826)</f>
        <v>811930.07250000001</v>
      </c>
      <c r="L821" s="281">
        <v>0</v>
      </c>
      <c r="M821" s="282">
        <f>SUM(M822:M826)</f>
        <v>958132.79249999998</v>
      </c>
      <c r="N821" s="282">
        <v>0</v>
      </c>
      <c r="O821" s="282">
        <v>0</v>
      </c>
      <c r="P821" s="282">
        <v>0</v>
      </c>
      <c r="Q821" s="282">
        <f>SUM(Q822:Q826)</f>
        <v>1100441.6140463396</v>
      </c>
      <c r="R821" s="287">
        <v>0</v>
      </c>
    </row>
    <row r="822" spans="1:18">
      <c r="A822" s="246"/>
      <c r="B822" s="265">
        <v>0</v>
      </c>
      <c r="C822" s="680" t="s">
        <v>614</v>
      </c>
      <c r="D822" s="266" t="str">
        <f>" - "&amp;'Giá VL'!E45</f>
        <v xml:space="preserve"> - Xi măng PCB40</v>
      </c>
      <c r="E822" s="265" t="str">
        <f>'Giá VL'!F45</f>
        <v>kg</v>
      </c>
      <c r="F822" s="267">
        <v>0</v>
      </c>
      <c r="G822" s="268">
        <v>250.1</v>
      </c>
      <c r="H822" s="268">
        <f>'5.Tiên lượng'!V197</f>
        <v>1</v>
      </c>
      <c r="I822" s="268">
        <f>PRODUCT(F820,G822,H822)</f>
        <v>197.57900000000001</v>
      </c>
      <c r="J822" s="283">
        <f>'Giá VL'!G45</f>
        <v>1350</v>
      </c>
      <c r="K822" s="283">
        <f t="shared" ref="K822:K826" si="342">PRODUCT(G822,H822,J822)</f>
        <v>337635</v>
      </c>
      <c r="L822" s="283">
        <f>'Giá VL'!J45</f>
        <v>1600</v>
      </c>
      <c r="M822" s="284">
        <f t="shared" ref="M822:M826" si="343">PRODUCT(G822,H822,L822)</f>
        <v>400160</v>
      </c>
      <c r="N822" s="284">
        <v>0</v>
      </c>
      <c r="O822" s="284">
        <v>0</v>
      </c>
      <c r="P822" s="284">
        <f>'Giá VL'!V45</f>
        <v>1730</v>
      </c>
      <c r="Q822" s="284">
        <f t="shared" ref="Q822:Q826" si="344">PRODUCT(G822,H822,P822)</f>
        <v>432673</v>
      </c>
      <c r="R822" s="287">
        <v>2</v>
      </c>
    </row>
    <row r="823" spans="1:18">
      <c r="A823" s="246"/>
      <c r="B823" s="265">
        <v>0</v>
      </c>
      <c r="C823" s="680" t="s">
        <v>615</v>
      </c>
      <c r="D823" s="266" t="str">
        <f>" - "&amp;'Giá VL'!E17</f>
        <v xml:space="preserve"> - Cát vàng</v>
      </c>
      <c r="E823" s="265" t="str">
        <f>'Giá VL'!F17</f>
        <v>m3</v>
      </c>
      <c r="F823" s="267">
        <v>0</v>
      </c>
      <c r="G823" s="268">
        <v>0.55349999999999999</v>
      </c>
      <c r="H823" s="268">
        <f>'5.Tiên lượng'!V197</f>
        <v>1</v>
      </c>
      <c r="I823" s="268">
        <f>PRODUCT(F820,G823,H823)</f>
        <v>0.43726500000000001</v>
      </c>
      <c r="J823" s="283">
        <f>'Giá VL'!G17</f>
        <v>580000</v>
      </c>
      <c r="K823" s="283">
        <f t="shared" si="342"/>
        <v>321030</v>
      </c>
      <c r="L823" s="283">
        <f>'Giá VL'!J17</f>
        <v>580000</v>
      </c>
      <c r="M823" s="284">
        <f t="shared" si="343"/>
        <v>321030</v>
      </c>
      <c r="N823" s="284">
        <v>0</v>
      </c>
      <c r="O823" s="284">
        <v>0</v>
      </c>
      <c r="P823" s="284">
        <f>'Giá VL'!V17</f>
        <v>659026.49526849983</v>
      </c>
      <c r="Q823" s="284">
        <f t="shared" si="344"/>
        <v>364771.16513111466</v>
      </c>
      <c r="R823" s="287">
        <v>2</v>
      </c>
    </row>
    <row r="824" spans="1:18">
      <c r="A824" s="246"/>
      <c r="B824" s="265">
        <v>0</v>
      </c>
      <c r="C824" s="680" t="s">
        <v>616</v>
      </c>
      <c r="D824" s="266" t="str">
        <f>" - "&amp;'Giá VL'!E19</f>
        <v xml:space="preserve"> - Đá 2x4</v>
      </c>
      <c r="E824" s="265" t="str">
        <f>'Giá VL'!F19</f>
        <v>m3</v>
      </c>
      <c r="F824" s="267">
        <v>0</v>
      </c>
      <c r="G824" s="268">
        <v>0.89790000000000003</v>
      </c>
      <c r="H824" s="268">
        <f>'5.Tiên lượng'!V197</f>
        <v>1</v>
      </c>
      <c r="I824" s="268">
        <f>PRODUCT(F820,G824,H824)</f>
        <v>0.70934100000000011</v>
      </c>
      <c r="J824" s="283">
        <f>'Giá VL'!G19</f>
        <v>150000</v>
      </c>
      <c r="K824" s="283">
        <f t="shared" si="342"/>
        <v>134685</v>
      </c>
      <c r="L824" s="283">
        <f>'Giá VL'!J19</f>
        <v>240000</v>
      </c>
      <c r="M824" s="284">
        <f t="shared" si="343"/>
        <v>215496</v>
      </c>
      <c r="N824" s="284">
        <v>0</v>
      </c>
      <c r="O824" s="284">
        <v>0</v>
      </c>
      <c r="P824" s="284">
        <f>'Giá VL'!V19</f>
        <v>310458.0547558713</v>
      </c>
      <c r="Q824" s="284">
        <f t="shared" si="344"/>
        <v>278760.28736529686</v>
      </c>
      <c r="R824" s="287">
        <v>2</v>
      </c>
    </row>
    <row r="825" spans="1:18">
      <c r="A825" s="246"/>
      <c r="B825" s="265">
        <v>0</v>
      </c>
      <c r="C825" s="680" t="s">
        <v>617</v>
      </c>
      <c r="D825" s="266" t="str">
        <f>" - "&amp;'Giá VL'!E33</f>
        <v xml:space="preserve"> - Nước</v>
      </c>
      <c r="E825" s="265" t="str">
        <f>'Giá VL'!F33</f>
        <v>lít</v>
      </c>
      <c r="F825" s="267">
        <v>0</v>
      </c>
      <c r="G825" s="268">
        <v>177.32499999999999</v>
      </c>
      <c r="H825" s="268">
        <f>'5.Tiên lượng'!V197</f>
        <v>1</v>
      </c>
      <c r="I825" s="268">
        <f>PRODUCT(F820,G825,H825)</f>
        <v>140.08674999999999</v>
      </c>
      <c r="J825" s="283">
        <f>'Giá VL'!G33</f>
        <v>15</v>
      </c>
      <c r="K825" s="283">
        <f t="shared" si="342"/>
        <v>2659.875</v>
      </c>
      <c r="L825" s="283">
        <f>'Giá VL'!J33</f>
        <v>15</v>
      </c>
      <c r="M825" s="284">
        <f t="shared" si="343"/>
        <v>2659.875</v>
      </c>
      <c r="N825" s="284">
        <v>0</v>
      </c>
      <c r="O825" s="284">
        <v>0</v>
      </c>
      <c r="P825" s="284">
        <f>'Giá VL'!V33</f>
        <v>15</v>
      </c>
      <c r="Q825" s="284">
        <f t="shared" si="344"/>
        <v>2659.875</v>
      </c>
      <c r="R825" s="287">
        <v>2</v>
      </c>
    </row>
    <row r="826" spans="1:18">
      <c r="A826" s="246"/>
      <c r="B826" s="265">
        <v>0</v>
      </c>
      <c r="C826" s="680" t="s">
        <v>620</v>
      </c>
      <c r="D826" s="266" t="s">
        <v>621</v>
      </c>
      <c r="E826" s="265" t="s">
        <v>37</v>
      </c>
      <c r="F826" s="267">
        <v>0</v>
      </c>
      <c r="G826" s="268">
        <f>AVERAGE(R822:R825)</f>
        <v>2</v>
      </c>
      <c r="H826" s="268">
        <f>'5.Tiên lượng'!V197</f>
        <v>1</v>
      </c>
      <c r="I826" s="268">
        <f>PRODUCT(F820,G826,H826)</f>
        <v>1.58</v>
      </c>
      <c r="J826" s="283">
        <f>(G822*J822+G823*J823+G824*J824+G825*J825)/100</f>
        <v>7960.0987500000001</v>
      </c>
      <c r="K826" s="283">
        <f t="shared" si="342"/>
        <v>15920.1975</v>
      </c>
      <c r="L826" s="283">
        <f>(G822*L822+G823*L823+G824*L824+G825*L825)/100</f>
        <v>9393.4587499999998</v>
      </c>
      <c r="M826" s="284">
        <f t="shared" si="343"/>
        <v>18786.9175</v>
      </c>
      <c r="N826" s="284">
        <v>0</v>
      </c>
      <c r="O826" s="284">
        <v>0</v>
      </c>
      <c r="P826" s="284">
        <f>(G822*P822+G823*P823+G824*P824+G825*P825)/100</f>
        <v>10788.643274964115</v>
      </c>
      <c r="Q826" s="284">
        <f t="shared" si="344"/>
        <v>21577.286549928231</v>
      </c>
      <c r="R826" s="287">
        <v>0</v>
      </c>
    </row>
    <row r="827" spans="1:18">
      <c r="A827" s="240"/>
      <c r="B827" s="260">
        <v>0</v>
      </c>
      <c r="C827" s="261" t="s">
        <v>590</v>
      </c>
      <c r="D827" s="262" t="s">
        <v>265</v>
      </c>
      <c r="E827" s="260"/>
      <c r="F827" s="263">
        <v>0</v>
      </c>
      <c r="G827" s="264">
        <v>0</v>
      </c>
      <c r="H827" s="264"/>
      <c r="I827" s="264">
        <v>0</v>
      </c>
      <c r="J827" s="281">
        <v>0</v>
      </c>
      <c r="K827" s="281">
        <f>SUM(K828:K828)</f>
        <v>637260</v>
      </c>
      <c r="L827" s="281">
        <v>0</v>
      </c>
      <c r="M827" s="282">
        <f>SUM(M828:M828)</f>
        <v>696600</v>
      </c>
      <c r="N827" s="282">
        <v>0</v>
      </c>
      <c r="O827" s="282">
        <v>0</v>
      </c>
      <c r="P827" s="282">
        <v>0</v>
      </c>
      <c r="Q827" s="282">
        <f>SUM(Q828:Q828)</f>
        <v>696600</v>
      </c>
      <c r="R827" s="287">
        <v>0</v>
      </c>
    </row>
    <row r="828" spans="1:18">
      <c r="A828" s="246"/>
      <c r="B828" s="265">
        <v>0</v>
      </c>
      <c r="C828" s="680" t="s">
        <v>622</v>
      </c>
      <c r="D828" s="266" t="str">
        <f>" - "&amp;'Giá NC'!E9</f>
        <v xml:space="preserve"> - Nhân công bậc 3,5/7 - Nhóm 2</v>
      </c>
      <c r="E828" s="265" t="str">
        <f>'Giá NC'!F9</f>
        <v>công</v>
      </c>
      <c r="F828" s="267">
        <v>0</v>
      </c>
      <c r="G828" s="268">
        <v>2.58</v>
      </c>
      <c r="H828" s="268">
        <f>'5.Tiên lượng'!W197</f>
        <v>1</v>
      </c>
      <c r="I828" s="268">
        <f>PRODUCT(F820,G828,H828)</f>
        <v>2.0382000000000002</v>
      </c>
      <c r="J828" s="283">
        <f>'Giá NC'!G9</f>
        <v>247000</v>
      </c>
      <c r="K828" s="283">
        <f>PRODUCT(G828,H828,J828)</f>
        <v>637260</v>
      </c>
      <c r="L828" s="283">
        <f>'Giá NC'!H9</f>
        <v>270000</v>
      </c>
      <c r="M828" s="284">
        <f>PRODUCT(G828,H828,L828)</f>
        <v>696600</v>
      </c>
      <c r="N828" s="284">
        <v>0</v>
      </c>
      <c r="O828" s="284">
        <v>0</v>
      </c>
      <c r="P828" s="284">
        <f>'Giá NC'!K9</f>
        <v>270000</v>
      </c>
      <c r="Q828" s="284">
        <f>PRODUCT(G828,H828,P828)</f>
        <v>696600</v>
      </c>
      <c r="R828" s="287">
        <v>0</v>
      </c>
    </row>
    <row r="829" spans="1:18">
      <c r="A829" s="240"/>
      <c r="B829" s="260">
        <v>0</v>
      </c>
      <c r="C829" s="261" t="s">
        <v>590</v>
      </c>
      <c r="D829" s="262" t="s">
        <v>267</v>
      </c>
      <c r="E829" s="260"/>
      <c r="F829" s="263">
        <v>0</v>
      </c>
      <c r="G829" s="264">
        <v>0</v>
      </c>
      <c r="H829" s="264"/>
      <c r="I829" s="264">
        <v>0</v>
      </c>
      <c r="J829" s="281">
        <v>0</v>
      </c>
      <c r="K829" s="281">
        <f>SUM(K830:K833)</f>
        <v>141582.69950850465</v>
      </c>
      <c r="L829" s="281">
        <v>0</v>
      </c>
      <c r="M829" s="282">
        <f>SUM(M830:M833)</f>
        <v>147185.67188000001</v>
      </c>
      <c r="N829" s="282">
        <v>0</v>
      </c>
      <c r="O829" s="282">
        <v>0</v>
      </c>
      <c r="P829" s="282">
        <v>0</v>
      </c>
      <c r="Q829" s="282">
        <f>SUM(Q830:Q833)</f>
        <v>149696.7062941326</v>
      </c>
      <c r="R829" s="287">
        <v>0</v>
      </c>
    </row>
    <row r="830" spans="1:18">
      <c r="A830" s="246"/>
      <c r="B830" s="265">
        <v>0</v>
      </c>
      <c r="C830" s="680" t="s">
        <v>623</v>
      </c>
      <c r="D830" s="266" t="str">
        <f>" - "&amp;'Giá Máy'!E27</f>
        <v xml:space="preserve"> - Máy trộn bê tông 250 lít</v>
      </c>
      <c r="E830" s="265" t="str">
        <f>'Giá Máy'!F27</f>
        <v>ca</v>
      </c>
      <c r="F830" s="267">
        <v>0</v>
      </c>
      <c r="G830" s="268">
        <v>9.5000000000000001E-2</v>
      </c>
      <c r="H830" s="268">
        <f>'5.Tiên lượng'!X197</f>
        <v>1</v>
      </c>
      <c r="I830" s="268">
        <f>PRODUCT(F820,G830,H830)</f>
        <v>7.5050000000000006E-2</v>
      </c>
      <c r="J830" s="283">
        <f>'Giá Máy'!G27</f>
        <v>303162.31046000001</v>
      </c>
      <c r="K830" s="283">
        <f t="shared" ref="K830:K833" si="345">PRODUCT(G830,H830,J830)</f>
        <v>28800.419493699999</v>
      </c>
      <c r="L830" s="283">
        <f>'Giá Máy'!H27</f>
        <v>302516</v>
      </c>
      <c r="M830" s="284">
        <f t="shared" ref="M830:M833" si="346">PRODUCT(G830,H830,L830)</f>
        <v>28739.02</v>
      </c>
      <c r="N830" s="284">
        <v>0</v>
      </c>
      <c r="O830" s="284">
        <v>0</v>
      </c>
      <c r="P830" s="284">
        <f>'Giá Máy'!O27</f>
        <v>326305.98864499998</v>
      </c>
      <c r="Q830" s="284">
        <f t="shared" ref="Q830:Q833" si="347">PRODUCT(G830,H830,P830)</f>
        <v>30999.068921274997</v>
      </c>
      <c r="R830" s="287">
        <v>1</v>
      </c>
    </row>
    <row r="831" spans="1:18">
      <c r="A831" s="246"/>
      <c r="B831" s="265">
        <v>0</v>
      </c>
      <c r="C831" s="680" t="s">
        <v>625</v>
      </c>
      <c r="D831" s="266" t="str">
        <f>" - "&amp;'Giá Máy'!E12</f>
        <v xml:space="preserve"> - Máy đầm dùi 1,5kW</v>
      </c>
      <c r="E831" s="265" t="str">
        <f>'Giá Máy'!F12</f>
        <v>ca</v>
      </c>
      <c r="F831" s="267">
        <v>0</v>
      </c>
      <c r="G831" s="268">
        <v>8.8999999999999996E-2</v>
      </c>
      <c r="H831" s="268">
        <f>'5.Tiên lượng'!X197</f>
        <v>1</v>
      </c>
      <c r="I831" s="268">
        <f>PRODUCT(F820,G831,H831)</f>
        <v>7.0309999999999997E-2</v>
      </c>
      <c r="J831" s="283">
        <f>'Giá Máy'!G12</f>
        <v>258903.14301999999</v>
      </c>
      <c r="K831" s="283">
        <f t="shared" si="345"/>
        <v>23042.379728779997</v>
      </c>
      <c r="L831" s="283">
        <f>'Giá Máy'!H12</f>
        <v>258492</v>
      </c>
      <c r="M831" s="284">
        <f t="shared" si="346"/>
        <v>23005.788</v>
      </c>
      <c r="N831" s="284">
        <v>0</v>
      </c>
      <c r="O831" s="284">
        <v>0</v>
      </c>
      <c r="P831" s="284">
        <f>'Giá Máy'!O12</f>
        <v>281279.30186500004</v>
      </c>
      <c r="Q831" s="284">
        <f t="shared" si="347"/>
        <v>25033.857865985003</v>
      </c>
      <c r="R831" s="287">
        <v>1</v>
      </c>
    </row>
    <row r="832" spans="1:18">
      <c r="A832" s="246"/>
      <c r="B832" s="265">
        <v>0</v>
      </c>
      <c r="C832" s="680" t="s">
        <v>660</v>
      </c>
      <c r="D832" s="266" t="str">
        <f>" - "&amp;'Giá Máy'!E7</f>
        <v xml:space="preserve"> - Cần cẩu bánh hơi 16T</v>
      </c>
      <c r="E832" s="265" t="str">
        <f>'Giá Máy'!F7</f>
        <v>ca</v>
      </c>
      <c r="F832" s="267">
        <v>0</v>
      </c>
      <c r="G832" s="268">
        <v>4.4999999999999998E-2</v>
      </c>
      <c r="H832" s="268">
        <f>'5.Tiên lượng'!X197</f>
        <v>1</v>
      </c>
      <c r="I832" s="268">
        <f>PRODUCT(F820,G832,H832)</f>
        <v>3.5549999999999998E-2</v>
      </c>
      <c r="J832" s="283">
        <f>'Giá Máy'!G7</f>
        <v>1963068.6973333301</v>
      </c>
      <c r="K832" s="283">
        <f t="shared" si="345"/>
        <v>88338.091379999853</v>
      </c>
      <c r="L832" s="283">
        <f>'Giá Máy'!H7</f>
        <v>2088524</v>
      </c>
      <c r="M832" s="284">
        <f t="shared" si="346"/>
        <v>93983.58</v>
      </c>
      <c r="N832" s="284">
        <v>0</v>
      </c>
      <c r="O832" s="284">
        <v>0</v>
      </c>
      <c r="P832" s="284">
        <f>'Giá Máy'!O7</f>
        <v>2048480.7533333334</v>
      </c>
      <c r="Q832" s="284">
        <f t="shared" si="347"/>
        <v>92181.633900000001</v>
      </c>
      <c r="R832" s="287">
        <v>1</v>
      </c>
    </row>
    <row r="833" spans="1:18">
      <c r="A833" s="251"/>
      <c r="B833" s="269">
        <v>0</v>
      </c>
      <c r="C833" s="681" t="s">
        <v>611</v>
      </c>
      <c r="D833" s="270" t="s">
        <v>612</v>
      </c>
      <c r="E833" s="269" t="s">
        <v>37</v>
      </c>
      <c r="F833" s="271">
        <v>0</v>
      </c>
      <c r="G833" s="272">
        <f>AVERAGE(R830:R832)</f>
        <v>1</v>
      </c>
      <c r="H833" s="272">
        <f>'5.Tiên lượng'!X197</f>
        <v>1</v>
      </c>
      <c r="I833" s="272">
        <f>PRODUCT(F820,G833,H833)</f>
        <v>0.79</v>
      </c>
      <c r="J833" s="285">
        <f>(G830*J830+G831*J831+G832*J832)/100</f>
        <v>1401.8089060247987</v>
      </c>
      <c r="K833" s="285">
        <f t="shared" si="345"/>
        <v>1401.8089060247987</v>
      </c>
      <c r="L833" s="285">
        <f>(G830*L830+G831*L831+G832*L832)/100</f>
        <v>1457.28388</v>
      </c>
      <c r="M833" s="286">
        <f t="shared" si="346"/>
        <v>1457.28388</v>
      </c>
      <c r="N833" s="286">
        <v>0</v>
      </c>
      <c r="O833" s="286">
        <v>0</v>
      </c>
      <c r="P833" s="286">
        <f>(G830*P830+G831*P831+G832*P832)/100</f>
        <v>1482.1456068726</v>
      </c>
      <c r="Q833" s="286">
        <f t="shared" si="347"/>
        <v>1482.1456068726</v>
      </c>
      <c r="R833" s="288">
        <v>0</v>
      </c>
    </row>
    <row r="834" spans="1:18">
      <c r="A834" s="234"/>
      <c r="B834" s="256">
        <v>95</v>
      </c>
      <c r="C834" s="234" t="str">
        <f>'5.Tiên lượng'!C198</f>
        <v>AG.13231</v>
      </c>
      <c r="D834" s="257" t="str">
        <f>'5.Tiên lượng'!D198</f>
        <v>Cốt thép tấm bản mặt</v>
      </c>
      <c r="E834" s="256" t="str">
        <f>'5.Tiên lượng'!E198</f>
        <v>tấn</v>
      </c>
      <c r="F834" s="258">
        <f>'5.Tiên lượng'!M198</f>
        <v>0.20314999999999997</v>
      </c>
      <c r="G834" s="259">
        <v>0</v>
      </c>
      <c r="H834" s="259">
        <v>0</v>
      </c>
      <c r="I834" s="259">
        <v>0</v>
      </c>
      <c r="J834" s="279">
        <v>0</v>
      </c>
      <c r="K834" s="279">
        <v>0</v>
      </c>
      <c r="L834" s="279">
        <v>0</v>
      </c>
      <c r="M834" s="280">
        <v>0</v>
      </c>
      <c r="N834" s="280">
        <v>0</v>
      </c>
      <c r="O834" s="280">
        <v>0</v>
      </c>
      <c r="P834" s="280">
        <v>0</v>
      </c>
      <c r="Q834" s="280">
        <v>0</v>
      </c>
      <c r="R834" s="222">
        <v>0</v>
      </c>
    </row>
    <row r="835" spans="1:18">
      <c r="A835" s="240"/>
      <c r="B835" s="260">
        <v>0</v>
      </c>
      <c r="C835" s="261" t="s">
        <v>590</v>
      </c>
      <c r="D835" s="262" t="s">
        <v>262</v>
      </c>
      <c r="E835" s="260"/>
      <c r="F835" s="263">
        <v>0</v>
      </c>
      <c r="G835" s="264">
        <v>0</v>
      </c>
      <c r="H835" s="264"/>
      <c r="I835" s="264">
        <v>0</v>
      </c>
      <c r="J835" s="281">
        <v>0</v>
      </c>
      <c r="K835" s="281">
        <f>SUM(K836:K837)</f>
        <v>18171400</v>
      </c>
      <c r="L835" s="281">
        <v>0</v>
      </c>
      <c r="M835" s="282">
        <f>SUM(M836:M837)</f>
        <v>18171400</v>
      </c>
      <c r="N835" s="282">
        <v>0</v>
      </c>
      <c r="O835" s="282">
        <v>0</v>
      </c>
      <c r="P835" s="282">
        <v>0</v>
      </c>
      <c r="Q835" s="282">
        <f>SUM(Q836:Q837)</f>
        <v>18260848.267546091</v>
      </c>
      <c r="R835" s="287">
        <v>0</v>
      </c>
    </row>
    <row r="836" spans="1:18">
      <c r="A836" s="246"/>
      <c r="B836" s="265">
        <v>0</v>
      </c>
      <c r="C836" s="680" t="s">
        <v>666</v>
      </c>
      <c r="D836" s="266" t="str">
        <f>" - "&amp;'Giá VL'!E42</f>
        <v xml:space="preserve"> - Thép tròn</v>
      </c>
      <c r="E836" s="265" t="str">
        <f>'Giá VL'!F42</f>
        <v>kg</v>
      </c>
      <c r="F836" s="267">
        <v>0</v>
      </c>
      <c r="G836" s="268">
        <v>1020</v>
      </c>
      <c r="H836" s="268">
        <f>'5.Tiên lượng'!V198</f>
        <v>1</v>
      </c>
      <c r="I836" s="268">
        <f>PRODUCT(F834,G836,H836)</f>
        <v>207.21299999999997</v>
      </c>
      <c r="J836" s="283">
        <f>'Giá VL'!G42</f>
        <v>17500</v>
      </c>
      <c r="K836" s="283">
        <f t="shared" ref="K836:K837" si="348">PRODUCT(G836,H836,J836)</f>
        <v>17850000</v>
      </c>
      <c r="L836" s="283">
        <f>'Giá VL'!J42</f>
        <v>17500</v>
      </c>
      <c r="M836" s="284">
        <f t="shared" ref="M836:M837" si="349">PRODUCT(G836,H836,L836)</f>
        <v>17850000</v>
      </c>
      <c r="N836" s="284">
        <v>0</v>
      </c>
      <c r="O836" s="284">
        <v>0</v>
      </c>
      <c r="P836" s="284">
        <f>'Giá VL'!V42</f>
        <v>17587.694379947148</v>
      </c>
      <c r="Q836" s="284">
        <f t="shared" ref="Q836:Q837" si="350">PRODUCT(G836,H836,P836)</f>
        <v>17939448.267546091</v>
      </c>
      <c r="R836" s="287">
        <v>0</v>
      </c>
    </row>
    <row r="837" spans="1:18">
      <c r="A837" s="246"/>
      <c r="B837" s="265">
        <v>0</v>
      </c>
      <c r="C837" s="680" t="s">
        <v>662</v>
      </c>
      <c r="D837" s="266" t="str">
        <f>" - "&amp;'Giá VL'!E23</f>
        <v xml:space="preserve"> - Dây thép</v>
      </c>
      <c r="E837" s="265" t="str">
        <f>'Giá VL'!F23</f>
        <v>kg</v>
      </c>
      <c r="F837" s="267">
        <v>0</v>
      </c>
      <c r="G837" s="268">
        <v>16.07</v>
      </c>
      <c r="H837" s="268">
        <f>'5.Tiên lượng'!V198</f>
        <v>1</v>
      </c>
      <c r="I837" s="268">
        <f>PRODUCT(F834,G837,H837)</f>
        <v>3.2646204999999995</v>
      </c>
      <c r="J837" s="283">
        <f>'Giá VL'!G23</f>
        <v>20000</v>
      </c>
      <c r="K837" s="283">
        <f t="shared" si="348"/>
        <v>321400</v>
      </c>
      <c r="L837" s="283">
        <f>'Giá VL'!J23</f>
        <v>20000</v>
      </c>
      <c r="M837" s="284">
        <f t="shared" si="349"/>
        <v>321400</v>
      </c>
      <c r="N837" s="284">
        <v>0</v>
      </c>
      <c r="O837" s="284">
        <v>0</v>
      </c>
      <c r="P837" s="284">
        <f>'Giá VL'!V23</f>
        <v>20000</v>
      </c>
      <c r="Q837" s="284">
        <f t="shared" si="350"/>
        <v>321400</v>
      </c>
      <c r="R837" s="287">
        <v>0</v>
      </c>
    </row>
    <row r="838" spans="1:18">
      <c r="A838" s="240"/>
      <c r="B838" s="260">
        <v>0</v>
      </c>
      <c r="C838" s="261" t="s">
        <v>590</v>
      </c>
      <c r="D838" s="262" t="s">
        <v>265</v>
      </c>
      <c r="E838" s="260"/>
      <c r="F838" s="263">
        <v>0</v>
      </c>
      <c r="G838" s="264">
        <v>0</v>
      </c>
      <c r="H838" s="264"/>
      <c r="I838" s="264">
        <v>0</v>
      </c>
      <c r="J838" s="281">
        <v>0</v>
      </c>
      <c r="K838" s="281">
        <f>SUM(K839:K839)</f>
        <v>4013750</v>
      </c>
      <c r="L838" s="281">
        <v>0</v>
      </c>
      <c r="M838" s="282">
        <f>SUM(M839:M839)</f>
        <v>4387500</v>
      </c>
      <c r="N838" s="282">
        <v>0</v>
      </c>
      <c r="O838" s="282">
        <v>0</v>
      </c>
      <c r="P838" s="282">
        <v>0</v>
      </c>
      <c r="Q838" s="282">
        <f>SUM(Q839:Q839)</f>
        <v>4387500</v>
      </c>
      <c r="R838" s="287">
        <v>0</v>
      </c>
    </row>
    <row r="839" spans="1:18">
      <c r="A839" s="246"/>
      <c r="B839" s="265">
        <v>0</v>
      </c>
      <c r="C839" s="680" t="s">
        <v>622</v>
      </c>
      <c r="D839" s="266" t="str">
        <f>" - "&amp;'Giá NC'!E9</f>
        <v xml:space="preserve"> - Nhân công bậc 3,5/7 - Nhóm 2</v>
      </c>
      <c r="E839" s="265" t="str">
        <f>'Giá NC'!F9</f>
        <v>công</v>
      </c>
      <c r="F839" s="267">
        <v>0</v>
      </c>
      <c r="G839" s="268">
        <v>16.25</v>
      </c>
      <c r="H839" s="268">
        <f>'5.Tiên lượng'!W198</f>
        <v>1</v>
      </c>
      <c r="I839" s="268">
        <f>PRODUCT(F834,G839,H839)</f>
        <v>3.3011874999999997</v>
      </c>
      <c r="J839" s="283">
        <f>'Giá NC'!G9</f>
        <v>247000</v>
      </c>
      <c r="K839" s="283">
        <f>PRODUCT(G839,H839,J839)</f>
        <v>4013750</v>
      </c>
      <c r="L839" s="283">
        <f>'Giá NC'!H9</f>
        <v>270000</v>
      </c>
      <c r="M839" s="284">
        <f>PRODUCT(G839,H839,L839)</f>
        <v>4387500</v>
      </c>
      <c r="N839" s="284">
        <v>0</v>
      </c>
      <c r="O839" s="284">
        <v>0</v>
      </c>
      <c r="P839" s="284">
        <f>'Giá NC'!K9</f>
        <v>270000</v>
      </c>
      <c r="Q839" s="284">
        <f>PRODUCT(G839,H839,P839)</f>
        <v>4387500</v>
      </c>
      <c r="R839" s="287">
        <v>0</v>
      </c>
    </row>
    <row r="840" spans="1:18">
      <c r="A840" s="240"/>
      <c r="B840" s="260">
        <v>0</v>
      </c>
      <c r="C840" s="261" t="s">
        <v>590</v>
      </c>
      <c r="D840" s="262" t="s">
        <v>267</v>
      </c>
      <c r="E840" s="260"/>
      <c r="F840" s="263">
        <v>0</v>
      </c>
      <c r="G840" s="264">
        <v>0</v>
      </c>
      <c r="H840" s="264"/>
      <c r="I840" s="264">
        <v>0</v>
      </c>
      <c r="J840" s="281">
        <v>0</v>
      </c>
      <c r="K840" s="281">
        <f>SUM(K841:K841)</f>
        <v>105409.8773626668</v>
      </c>
      <c r="L840" s="281">
        <v>0</v>
      </c>
      <c r="M840" s="282">
        <f>SUM(M841:M841)</f>
        <v>105198.40000000001</v>
      </c>
      <c r="N840" s="282">
        <v>0</v>
      </c>
      <c r="O840" s="282">
        <v>0</v>
      </c>
      <c r="P840" s="282">
        <v>0</v>
      </c>
      <c r="Q840" s="282">
        <f>SUM(Q841:Q841)</f>
        <v>114513.84476866666</v>
      </c>
      <c r="R840" s="287">
        <v>0</v>
      </c>
    </row>
    <row r="841" spans="1:18">
      <c r="A841" s="251"/>
      <c r="B841" s="269">
        <v>0</v>
      </c>
      <c r="C841" s="681" t="s">
        <v>633</v>
      </c>
      <c r="D841" s="270" t="str">
        <f>" - "&amp;'Giá Máy'!E9</f>
        <v xml:space="preserve"> - Máy cắt uốn cốt thép 5kW</v>
      </c>
      <c r="E841" s="269" t="str">
        <f>'Giá Máy'!F9</f>
        <v>ca</v>
      </c>
      <c r="F841" s="271">
        <v>0</v>
      </c>
      <c r="G841" s="272">
        <v>0.4</v>
      </c>
      <c r="H841" s="272">
        <f>'5.Tiên lượng'!X198</f>
        <v>1</v>
      </c>
      <c r="I841" s="272">
        <f>PRODUCT(F834,G841,H841)</f>
        <v>8.1259999999999999E-2</v>
      </c>
      <c r="J841" s="285">
        <f>'Giá Máy'!G9</f>
        <v>263524.69340666698</v>
      </c>
      <c r="K841" s="285">
        <f>PRODUCT(G841,H841,J841)</f>
        <v>105409.8773626668</v>
      </c>
      <c r="L841" s="285">
        <f>'Giá Máy'!H9</f>
        <v>262996</v>
      </c>
      <c r="M841" s="286">
        <f>PRODUCT(G841,H841,L841)</f>
        <v>105198.40000000001</v>
      </c>
      <c r="N841" s="286">
        <v>0</v>
      </c>
      <c r="O841" s="286">
        <v>0</v>
      </c>
      <c r="P841" s="286">
        <f>'Giá Máy'!O9</f>
        <v>286284.61192166666</v>
      </c>
      <c r="Q841" s="286">
        <f>PRODUCT(G841,H841,P841)</f>
        <v>114513.84476866666</v>
      </c>
      <c r="R841" s="288">
        <v>0</v>
      </c>
    </row>
    <row r="842" spans="1:18">
      <c r="A842" s="234"/>
      <c r="B842" s="256">
        <v>96</v>
      </c>
      <c r="C842" s="234" t="str">
        <f>'5.Tiên lượng'!C200</f>
        <v>AG.32511</v>
      </c>
      <c r="D842" s="257" t="str">
        <f>'5.Tiên lượng'!D200</f>
        <v>Ván khuôn thép tấm bản</v>
      </c>
      <c r="E842" s="256" t="str">
        <f>'5.Tiên lượng'!E200</f>
        <v>100m2</v>
      </c>
      <c r="F842" s="258">
        <f>'5.Tiên lượng'!M200</f>
        <v>6.0100000000000001E-2</v>
      </c>
      <c r="G842" s="259">
        <v>0</v>
      </c>
      <c r="H842" s="259">
        <v>0</v>
      </c>
      <c r="I842" s="259">
        <v>0</v>
      </c>
      <c r="J842" s="279">
        <v>0</v>
      </c>
      <c r="K842" s="279">
        <v>0</v>
      </c>
      <c r="L842" s="279">
        <v>0</v>
      </c>
      <c r="M842" s="280">
        <v>0</v>
      </c>
      <c r="N842" s="280">
        <v>0</v>
      </c>
      <c r="O842" s="280">
        <v>0</v>
      </c>
      <c r="P842" s="280">
        <v>0</v>
      </c>
      <c r="Q842" s="280">
        <v>0</v>
      </c>
      <c r="R842" s="222">
        <v>0</v>
      </c>
    </row>
    <row r="843" spans="1:18">
      <c r="A843" s="240"/>
      <c r="B843" s="260">
        <v>0</v>
      </c>
      <c r="C843" s="261" t="s">
        <v>590</v>
      </c>
      <c r="D843" s="262" t="s">
        <v>262</v>
      </c>
      <c r="E843" s="260"/>
      <c r="F843" s="263">
        <v>0</v>
      </c>
      <c r="G843" s="264">
        <v>0</v>
      </c>
      <c r="H843" s="264"/>
      <c r="I843" s="264">
        <v>0</v>
      </c>
      <c r="J843" s="281">
        <v>0</v>
      </c>
      <c r="K843" s="281">
        <f>SUM(K844:K847)</f>
        <v>702266.25</v>
      </c>
      <c r="L843" s="281">
        <v>0</v>
      </c>
      <c r="M843" s="282">
        <f>SUM(M844:M847)</f>
        <v>702266.25</v>
      </c>
      <c r="N843" s="282">
        <v>0</v>
      </c>
      <c r="O843" s="282">
        <v>0</v>
      </c>
      <c r="P843" s="282">
        <v>0</v>
      </c>
      <c r="Q843" s="282">
        <f>SUM(Q844:Q847)</f>
        <v>705646.47372225288</v>
      </c>
      <c r="R843" s="287">
        <v>0</v>
      </c>
    </row>
    <row r="844" spans="1:18">
      <c r="A844" s="246"/>
      <c r="B844" s="265">
        <v>0</v>
      </c>
      <c r="C844" s="680" t="s">
        <v>663</v>
      </c>
      <c r="D844" s="266" t="str">
        <f>" - "&amp;'Giá VL'!E41</f>
        <v xml:space="preserve"> - Thép tấm</v>
      </c>
      <c r="E844" s="265" t="str">
        <f>'Giá VL'!F41</f>
        <v>kg</v>
      </c>
      <c r="F844" s="267">
        <v>0</v>
      </c>
      <c r="G844" s="268">
        <v>23.03</v>
      </c>
      <c r="H844" s="268">
        <f>'5.Tiên lượng'!V200</f>
        <v>1</v>
      </c>
      <c r="I844" s="268">
        <f>PRODUCT(F842,G844,H844)</f>
        <v>1.3841030000000001</v>
      </c>
      <c r="J844" s="283">
        <f>'Giá VL'!G41</f>
        <v>17500</v>
      </c>
      <c r="K844" s="283">
        <f t="shared" ref="K844:K847" si="351">PRODUCT(G844,H844,J844)</f>
        <v>403025</v>
      </c>
      <c r="L844" s="283">
        <f>'Giá VL'!J41</f>
        <v>17500</v>
      </c>
      <c r="M844" s="284">
        <f t="shared" ref="M844:M847" si="352">PRODUCT(G844,H844,L844)</f>
        <v>403025</v>
      </c>
      <c r="N844" s="284">
        <v>0</v>
      </c>
      <c r="O844" s="284">
        <v>0</v>
      </c>
      <c r="P844" s="284">
        <f>'Giá VL'!V41</f>
        <v>17587.694379947148</v>
      </c>
      <c r="Q844" s="284">
        <f t="shared" ref="Q844:Q847" si="353">PRODUCT(G844,H844,P844)</f>
        <v>405044.60157018283</v>
      </c>
      <c r="R844" s="287">
        <v>5</v>
      </c>
    </row>
    <row r="845" spans="1:18">
      <c r="A845" s="246"/>
      <c r="B845" s="265">
        <v>0</v>
      </c>
      <c r="C845" s="680" t="s">
        <v>664</v>
      </c>
      <c r="D845" s="266" t="str">
        <f>" - "&amp;'Giá VL'!E39</f>
        <v xml:space="preserve"> - Thép hình</v>
      </c>
      <c r="E845" s="265" t="str">
        <f>'Giá VL'!F39</f>
        <v>kg</v>
      </c>
      <c r="F845" s="267">
        <v>0</v>
      </c>
      <c r="G845" s="268">
        <v>13.68</v>
      </c>
      <c r="H845" s="268">
        <f>'5.Tiên lượng'!V200</f>
        <v>1</v>
      </c>
      <c r="I845" s="268">
        <f>PRODUCT(F842,G845,H845)</f>
        <v>0.82216800000000001</v>
      </c>
      <c r="J845" s="283">
        <f>'Giá VL'!G39</f>
        <v>17500</v>
      </c>
      <c r="K845" s="283">
        <f t="shared" si="351"/>
        <v>239400</v>
      </c>
      <c r="L845" s="283">
        <f>'Giá VL'!J39</f>
        <v>17500</v>
      </c>
      <c r="M845" s="284">
        <f t="shared" si="352"/>
        <v>239400</v>
      </c>
      <c r="N845" s="284">
        <v>0</v>
      </c>
      <c r="O845" s="284">
        <v>0</v>
      </c>
      <c r="P845" s="284">
        <f>'Giá VL'!V39</f>
        <v>17587.694379947148</v>
      </c>
      <c r="Q845" s="284">
        <f t="shared" si="353"/>
        <v>240599.65911767699</v>
      </c>
      <c r="R845" s="287">
        <v>5</v>
      </c>
    </row>
    <row r="846" spans="1:18">
      <c r="A846" s="246"/>
      <c r="B846" s="265">
        <v>0</v>
      </c>
      <c r="C846" s="680" t="s">
        <v>628</v>
      </c>
      <c r="D846" s="266" t="str">
        <f>" - "&amp;'Giá VL'!E37</f>
        <v xml:space="preserve"> - Que hàn</v>
      </c>
      <c r="E846" s="265" t="str">
        <f>'Giá VL'!F37</f>
        <v>kg</v>
      </c>
      <c r="F846" s="267">
        <v>0</v>
      </c>
      <c r="G846" s="268">
        <v>1.2</v>
      </c>
      <c r="H846" s="268">
        <f>'5.Tiên lượng'!V200</f>
        <v>1</v>
      </c>
      <c r="I846" s="268">
        <f>PRODUCT(F842,G846,H846)</f>
        <v>7.2120000000000004E-2</v>
      </c>
      <c r="J846" s="283">
        <f>'Giá VL'!G37</f>
        <v>22000</v>
      </c>
      <c r="K846" s="283">
        <f t="shared" si="351"/>
        <v>26400</v>
      </c>
      <c r="L846" s="283">
        <f>'Giá VL'!J37</f>
        <v>22000</v>
      </c>
      <c r="M846" s="284">
        <f t="shared" si="352"/>
        <v>26400</v>
      </c>
      <c r="N846" s="284">
        <v>0</v>
      </c>
      <c r="O846" s="284">
        <v>0</v>
      </c>
      <c r="P846" s="284">
        <f>'Giá VL'!V37</f>
        <v>22000</v>
      </c>
      <c r="Q846" s="284">
        <f t="shared" si="353"/>
        <v>26400</v>
      </c>
      <c r="R846" s="287">
        <v>5</v>
      </c>
    </row>
    <row r="847" spans="1:18">
      <c r="A847" s="246"/>
      <c r="B847" s="265">
        <v>0</v>
      </c>
      <c r="C847" s="680" t="s">
        <v>620</v>
      </c>
      <c r="D847" s="266" t="s">
        <v>621</v>
      </c>
      <c r="E847" s="265" t="s">
        <v>37</v>
      </c>
      <c r="F847" s="267">
        <v>0</v>
      </c>
      <c r="G847" s="268">
        <f>AVERAGE(R844:R846)</f>
        <v>5</v>
      </c>
      <c r="H847" s="268">
        <f>'5.Tiên lượng'!V200</f>
        <v>1</v>
      </c>
      <c r="I847" s="268">
        <f>PRODUCT(F842,G847,H847)</f>
        <v>0.30049999999999999</v>
      </c>
      <c r="J847" s="283">
        <f>(G844*J844+G845*J845+G846*J846)/100</f>
        <v>6688.25</v>
      </c>
      <c r="K847" s="283">
        <f t="shared" si="351"/>
        <v>33441.25</v>
      </c>
      <c r="L847" s="283">
        <f>(G844*L844+G845*L845+G846*L846)/100</f>
        <v>6688.25</v>
      </c>
      <c r="M847" s="284">
        <f t="shared" si="352"/>
        <v>33441.25</v>
      </c>
      <c r="N847" s="284">
        <v>0</v>
      </c>
      <c r="O847" s="284">
        <v>0</v>
      </c>
      <c r="P847" s="284">
        <f>(G844*P844+G845*P845+G846*P846)/100</f>
        <v>6720.4426068785988</v>
      </c>
      <c r="Q847" s="284">
        <f t="shared" si="353"/>
        <v>33602.213034392997</v>
      </c>
      <c r="R847" s="287">
        <v>0</v>
      </c>
    </row>
    <row r="848" spans="1:18">
      <c r="A848" s="240"/>
      <c r="B848" s="260">
        <v>0</v>
      </c>
      <c r="C848" s="261" t="s">
        <v>590</v>
      </c>
      <c r="D848" s="262" t="s">
        <v>265</v>
      </c>
      <c r="E848" s="260"/>
      <c r="F848" s="263">
        <v>0</v>
      </c>
      <c r="G848" s="264">
        <v>0</v>
      </c>
      <c r="H848" s="264"/>
      <c r="I848" s="264">
        <v>0</v>
      </c>
      <c r="J848" s="281">
        <v>0</v>
      </c>
      <c r="K848" s="281">
        <f>SUM(K849:K849)</f>
        <v>6182962.5</v>
      </c>
      <c r="L848" s="281">
        <v>0</v>
      </c>
      <c r="M848" s="282">
        <f>SUM(M849:M849)</f>
        <v>6758701.5199999996</v>
      </c>
      <c r="N848" s="282">
        <v>0</v>
      </c>
      <c r="O848" s="282">
        <v>0</v>
      </c>
      <c r="P848" s="282">
        <v>0</v>
      </c>
      <c r="Q848" s="282">
        <f>SUM(Q849:Q849)</f>
        <v>6758701.5199999996</v>
      </c>
      <c r="R848" s="287">
        <v>0</v>
      </c>
    </row>
    <row r="849" spans="1:18">
      <c r="A849" s="246"/>
      <c r="B849" s="265">
        <v>0</v>
      </c>
      <c r="C849" s="680" t="s">
        <v>629</v>
      </c>
      <c r="D849" s="266" t="str">
        <f>" - "&amp;'Giá NC'!E10</f>
        <v xml:space="preserve"> - Nhân công bậc 4,0/7 - Nhóm 2</v>
      </c>
      <c r="E849" s="265" t="str">
        <f>'Giá NC'!F10</f>
        <v>công</v>
      </c>
      <c r="F849" s="267">
        <v>0</v>
      </c>
      <c r="G849" s="268">
        <v>23.06</v>
      </c>
      <c r="H849" s="268">
        <f>'5.Tiên lượng'!W200</f>
        <v>1</v>
      </c>
      <c r="I849" s="268">
        <f>PRODUCT(F842,G849,H849)</f>
        <v>1.3859059999999999</v>
      </c>
      <c r="J849" s="283">
        <f>'Giá NC'!G10</f>
        <v>268125</v>
      </c>
      <c r="K849" s="283">
        <f>PRODUCT(G849,H849,J849)</f>
        <v>6182962.5</v>
      </c>
      <c r="L849" s="283">
        <f>'Giá NC'!H10</f>
        <v>293092</v>
      </c>
      <c r="M849" s="284">
        <f>PRODUCT(G849,H849,L849)</f>
        <v>6758701.5199999996</v>
      </c>
      <c r="N849" s="284">
        <v>0</v>
      </c>
      <c r="O849" s="284">
        <v>0</v>
      </c>
      <c r="P849" s="284">
        <f>'Giá NC'!K10</f>
        <v>293092</v>
      </c>
      <c r="Q849" s="284">
        <f>PRODUCT(G849,H849,P849)</f>
        <v>6758701.5199999996</v>
      </c>
      <c r="R849" s="287">
        <v>0</v>
      </c>
    </row>
    <row r="850" spans="1:18">
      <c r="A850" s="240"/>
      <c r="B850" s="260">
        <v>0</v>
      </c>
      <c r="C850" s="261" t="s">
        <v>590</v>
      </c>
      <c r="D850" s="262" t="s">
        <v>267</v>
      </c>
      <c r="E850" s="260"/>
      <c r="F850" s="263">
        <v>0</v>
      </c>
      <c r="G850" s="264">
        <v>0</v>
      </c>
      <c r="H850" s="264"/>
      <c r="I850" s="264">
        <v>0</v>
      </c>
      <c r="J850" s="281">
        <v>0</v>
      </c>
      <c r="K850" s="281">
        <f>SUM(K851:K852)</f>
        <v>136108.25241551999</v>
      </c>
      <c r="L850" s="281">
        <v>0</v>
      </c>
      <c r="M850" s="282">
        <f>SUM(M851:M852)</f>
        <v>135131.535</v>
      </c>
      <c r="N850" s="282">
        <v>0</v>
      </c>
      <c r="O850" s="282">
        <v>0</v>
      </c>
      <c r="P850" s="282">
        <v>0</v>
      </c>
      <c r="Q850" s="282">
        <f>SUM(Q851:Q852)</f>
        <v>147950.66333124001</v>
      </c>
      <c r="R850" s="287">
        <v>0</v>
      </c>
    </row>
    <row r="851" spans="1:18">
      <c r="A851" s="246"/>
      <c r="B851" s="265">
        <v>0</v>
      </c>
      <c r="C851" s="680" t="s">
        <v>630</v>
      </c>
      <c r="D851" s="266" t="str">
        <f>" - "&amp;'Giá Máy'!E16</f>
        <v xml:space="preserve"> - Máy hàn điện 23kW</v>
      </c>
      <c r="E851" s="265" t="str">
        <f>'Giá Máy'!F16</f>
        <v>ca</v>
      </c>
      <c r="F851" s="267">
        <v>0</v>
      </c>
      <c r="G851" s="268">
        <v>0.33</v>
      </c>
      <c r="H851" s="268">
        <f>'5.Tiên lượng'!X200</f>
        <v>1</v>
      </c>
      <c r="I851" s="268">
        <f>PRODUCT(F842,G851,H851)</f>
        <v>1.9833E-2</v>
      </c>
      <c r="J851" s="283">
        <f>'Giá Máy'!G16</f>
        <v>392808.80927999999</v>
      </c>
      <c r="K851" s="283">
        <f t="shared" ref="K851:K852" si="354">PRODUCT(G851,H851,J851)</f>
        <v>129626.9070624</v>
      </c>
      <c r="L851" s="283">
        <f>'Giá Máy'!H16</f>
        <v>389990</v>
      </c>
      <c r="M851" s="284">
        <f t="shared" ref="M851:M852" si="355">PRODUCT(G851,H851,L851)</f>
        <v>128696.70000000001</v>
      </c>
      <c r="N851" s="284">
        <v>0</v>
      </c>
      <c r="O851" s="284">
        <v>0</v>
      </c>
      <c r="P851" s="284">
        <f>'Giá Máy'!O16</f>
        <v>426986.04135999997</v>
      </c>
      <c r="Q851" s="284">
        <f t="shared" ref="Q851:Q852" si="356">PRODUCT(G851,H851,P851)</f>
        <v>140905.3936488</v>
      </c>
      <c r="R851" s="287">
        <v>5</v>
      </c>
    </row>
    <row r="852" spans="1:18">
      <c r="A852" s="251"/>
      <c r="B852" s="269">
        <v>0</v>
      </c>
      <c r="C852" s="681" t="s">
        <v>611</v>
      </c>
      <c r="D852" s="270" t="s">
        <v>612</v>
      </c>
      <c r="E852" s="269" t="s">
        <v>37</v>
      </c>
      <c r="F852" s="271">
        <v>0</v>
      </c>
      <c r="G852" s="272">
        <f>AVERAGE(R851:R851)</f>
        <v>5</v>
      </c>
      <c r="H852" s="272">
        <f>'5.Tiên lượng'!X200</f>
        <v>1</v>
      </c>
      <c r="I852" s="272">
        <f>PRODUCT(F842,G852,H852)</f>
        <v>0.30049999999999999</v>
      </c>
      <c r="J852" s="285">
        <f>(G851*J851)/100</f>
        <v>1296.2690706240001</v>
      </c>
      <c r="K852" s="285">
        <f t="shared" si="354"/>
        <v>6481.3453531200003</v>
      </c>
      <c r="L852" s="285">
        <f>(G851*L851)/100</f>
        <v>1286.9670000000001</v>
      </c>
      <c r="M852" s="286">
        <f t="shared" si="355"/>
        <v>6434.8350000000009</v>
      </c>
      <c r="N852" s="286">
        <v>0</v>
      </c>
      <c r="O852" s="286">
        <v>0</v>
      </c>
      <c r="P852" s="286">
        <f>(G851*P851)/100</f>
        <v>1409.0539364880001</v>
      </c>
      <c r="Q852" s="286">
        <f t="shared" si="356"/>
        <v>7045.2696824400009</v>
      </c>
      <c r="R852" s="288">
        <v>0</v>
      </c>
    </row>
    <row r="853" spans="1:18">
      <c r="A853" s="234"/>
      <c r="B853" s="256">
        <v>97</v>
      </c>
      <c r="C853" s="234" t="str">
        <f>'5.Tiên lượng'!C202</f>
        <v>AF.82511</v>
      </c>
      <c r="D853" s="257" t="str">
        <f>'5.Tiên lượng'!D202</f>
        <v>Ván khuôn thép cống</v>
      </c>
      <c r="E853" s="256" t="str">
        <f>'5.Tiên lượng'!E202</f>
        <v>100m2</v>
      </c>
      <c r="F853" s="258">
        <f>'5.Tiên lượng'!M202</f>
        <v>0.27440000000000003</v>
      </c>
      <c r="G853" s="259">
        <v>0</v>
      </c>
      <c r="H853" s="259">
        <v>0</v>
      </c>
      <c r="I853" s="259">
        <v>0</v>
      </c>
      <c r="J853" s="279">
        <v>0</v>
      </c>
      <c r="K853" s="279">
        <v>0</v>
      </c>
      <c r="L853" s="279">
        <v>0</v>
      </c>
      <c r="M853" s="280">
        <v>0</v>
      </c>
      <c r="N853" s="280">
        <v>0</v>
      </c>
      <c r="O853" s="280">
        <v>0</v>
      </c>
      <c r="P853" s="280">
        <v>0</v>
      </c>
      <c r="Q853" s="280">
        <v>0</v>
      </c>
      <c r="R853" s="222">
        <v>0</v>
      </c>
    </row>
    <row r="854" spans="1:18">
      <c r="A854" s="240"/>
      <c r="B854" s="260">
        <v>0</v>
      </c>
      <c r="C854" s="261" t="s">
        <v>590</v>
      </c>
      <c r="D854" s="262" t="s">
        <v>262</v>
      </c>
      <c r="E854" s="260"/>
      <c r="F854" s="263">
        <v>0</v>
      </c>
      <c r="G854" s="264">
        <v>0</v>
      </c>
      <c r="H854" s="264"/>
      <c r="I854" s="264">
        <v>0</v>
      </c>
      <c r="J854" s="281">
        <v>0</v>
      </c>
      <c r="K854" s="281">
        <f>SUM(K855:K858)</f>
        <v>1615682.25</v>
      </c>
      <c r="L854" s="281">
        <v>0</v>
      </c>
      <c r="M854" s="282">
        <f>SUM(M855:M858)</f>
        <v>1615682.25</v>
      </c>
      <c r="N854" s="282">
        <v>0</v>
      </c>
      <c r="O854" s="282">
        <v>0</v>
      </c>
      <c r="P854" s="282">
        <v>0</v>
      </c>
      <c r="Q854" s="282">
        <f>SUM(Q855:Q858)</f>
        <v>1623401.2408645179</v>
      </c>
      <c r="R854" s="287">
        <v>0</v>
      </c>
    </row>
    <row r="855" spans="1:18">
      <c r="A855" s="246"/>
      <c r="B855" s="265">
        <v>0</v>
      </c>
      <c r="C855" s="680" t="s">
        <v>663</v>
      </c>
      <c r="D855" s="266" t="str">
        <f>" - "&amp;'Giá VL'!E41</f>
        <v xml:space="preserve"> - Thép tấm</v>
      </c>
      <c r="E855" s="265" t="str">
        <f>'Giá VL'!F41</f>
        <v>kg</v>
      </c>
      <c r="F855" s="267">
        <v>0</v>
      </c>
      <c r="G855" s="268">
        <v>51.81</v>
      </c>
      <c r="H855" s="268">
        <f>'5.Tiên lượng'!V202</f>
        <v>1</v>
      </c>
      <c r="I855" s="268">
        <f>PRODUCT(F853,G855,H855)</f>
        <v>14.216664000000002</v>
      </c>
      <c r="J855" s="283">
        <f>'Giá VL'!G41</f>
        <v>17500</v>
      </c>
      <c r="K855" s="283">
        <f t="shared" ref="K855:K858" si="357">PRODUCT(G855,H855,J855)</f>
        <v>906675</v>
      </c>
      <c r="L855" s="283">
        <f>'Giá VL'!J41</f>
        <v>17500</v>
      </c>
      <c r="M855" s="284">
        <f t="shared" ref="M855:M858" si="358">PRODUCT(G855,H855,L855)</f>
        <v>906675</v>
      </c>
      <c r="N855" s="284">
        <v>0</v>
      </c>
      <c r="O855" s="284">
        <v>0</v>
      </c>
      <c r="P855" s="284">
        <f>'Giá VL'!V41</f>
        <v>17587.694379947148</v>
      </c>
      <c r="Q855" s="284">
        <f t="shared" ref="Q855:Q858" si="359">PRODUCT(G855,H855,P855)</f>
        <v>911218.44582506176</v>
      </c>
      <c r="R855" s="287">
        <v>5</v>
      </c>
    </row>
    <row r="856" spans="1:18">
      <c r="A856" s="246"/>
      <c r="B856" s="265">
        <v>0</v>
      </c>
      <c r="C856" s="680" t="s">
        <v>664</v>
      </c>
      <c r="D856" s="266" t="str">
        <f>" - "&amp;'Giá VL'!E39</f>
        <v xml:space="preserve"> - Thép hình</v>
      </c>
      <c r="E856" s="265" t="str">
        <f>'Giá VL'!F39</f>
        <v>kg</v>
      </c>
      <c r="F856" s="267">
        <v>0</v>
      </c>
      <c r="G856" s="268">
        <v>32.020000000000003</v>
      </c>
      <c r="H856" s="268">
        <f>'5.Tiên lượng'!V202</f>
        <v>1</v>
      </c>
      <c r="I856" s="268">
        <f>PRODUCT(F853,G856,H856)</f>
        <v>8.7862880000000025</v>
      </c>
      <c r="J856" s="283">
        <f>'Giá VL'!G39</f>
        <v>17500</v>
      </c>
      <c r="K856" s="283">
        <f t="shared" si="357"/>
        <v>560350</v>
      </c>
      <c r="L856" s="283">
        <f>'Giá VL'!J39</f>
        <v>17500</v>
      </c>
      <c r="M856" s="284">
        <f t="shared" si="358"/>
        <v>560350</v>
      </c>
      <c r="N856" s="284">
        <v>0</v>
      </c>
      <c r="O856" s="284">
        <v>0</v>
      </c>
      <c r="P856" s="284">
        <f>'Giá VL'!V39</f>
        <v>17587.694379947148</v>
      </c>
      <c r="Q856" s="284">
        <f t="shared" si="359"/>
        <v>563157.97404590773</v>
      </c>
      <c r="R856" s="287">
        <v>5</v>
      </c>
    </row>
    <row r="857" spans="1:18">
      <c r="A857" s="246"/>
      <c r="B857" s="265">
        <v>0</v>
      </c>
      <c r="C857" s="680" t="s">
        <v>628</v>
      </c>
      <c r="D857" s="266" t="str">
        <f>" - "&amp;'Giá VL'!E37</f>
        <v xml:space="preserve"> - Que hàn</v>
      </c>
      <c r="E857" s="265" t="str">
        <f>'Giá VL'!F37</f>
        <v>kg</v>
      </c>
      <c r="F857" s="267">
        <v>0</v>
      </c>
      <c r="G857" s="268">
        <v>3.26</v>
      </c>
      <c r="H857" s="268">
        <f>'5.Tiên lượng'!V202</f>
        <v>1</v>
      </c>
      <c r="I857" s="268">
        <f>PRODUCT(F853,G857,H857)</f>
        <v>0.89454400000000001</v>
      </c>
      <c r="J857" s="283">
        <f>'Giá VL'!G37</f>
        <v>22000</v>
      </c>
      <c r="K857" s="283">
        <f t="shared" si="357"/>
        <v>71720</v>
      </c>
      <c r="L857" s="283">
        <f>'Giá VL'!J37</f>
        <v>22000</v>
      </c>
      <c r="M857" s="284">
        <f t="shared" si="358"/>
        <v>71720</v>
      </c>
      <c r="N857" s="284">
        <v>0</v>
      </c>
      <c r="O857" s="284">
        <v>0</v>
      </c>
      <c r="P857" s="284">
        <f>'Giá VL'!V37</f>
        <v>22000</v>
      </c>
      <c r="Q857" s="284">
        <f t="shared" si="359"/>
        <v>71720</v>
      </c>
      <c r="R857" s="287">
        <v>5</v>
      </c>
    </row>
    <row r="858" spans="1:18">
      <c r="A858" s="246"/>
      <c r="B858" s="265">
        <v>0</v>
      </c>
      <c r="C858" s="680" t="s">
        <v>620</v>
      </c>
      <c r="D858" s="266" t="s">
        <v>621</v>
      </c>
      <c r="E858" s="265" t="s">
        <v>37</v>
      </c>
      <c r="F858" s="267">
        <v>0</v>
      </c>
      <c r="G858" s="268">
        <f>AVERAGE(R855:R857)</f>
        <v>5</v>
      </c>
      <c r="H858" s="268">
        <f>'5.Tiên lượng'!V202</f>
        <v>1</v>
      </c>
      <c r="I858" s="268">
        <f>PRODUCT(F853,G858,H858)</f>
        <v>1.3720000000000001</v>
      </c>
      <c r="J858" s="283">
        <f>(G855*J855+G856*J856+G857*J857)/100</f>
        <v>15387.45</v>
      </c>
      <c r="K858" s="283">
        <f t="shared" si="357"/>
        <v>76937.25</v>
      </c>
      <c r="L858" s="283">
        <f>(G855*L855+G856*L856+G857*L857)/100</f>
        <v>15387.45</v>
      </c>
      <c r="M858" s="284">
        <f t="shared" si="358"/>
        <v>76937.25</v>
      </c>
      <c r="N858" s="284">
        <v>0</v>
      </c>
      <c r="O858" s="284">
        <v>0</v>
      </c>
      <c r="P858" s="284">
        <f>(G855*P855+G856*P856+G857*P857)/100</f>
        <v>15460.964198709693</v>
      </c>
      <c r="Q858" s="284">
        <f t="shared" si="359"/>
        <v>77304.820993548463</v>
      </c>
      <c r="R858" s="287">
        <v>0</v>
      </c>
    </row>
    <row r="859" spans="1:18">
      <c r="A859" s="240"/>
      <c r="B859" s="260">
        <v>0</v>
      </c>
      <c r="C859" s="261" t="s">
        <v>590</v>
      </c>
      <c r="D859" s="262" t="s">
        <v>265</v>
      </c>
      <c r="E859" s="260"/>
      <c r="F859" s="263">
        <v>0</v>
      </c>
      <c r="G859" s="264">
        <v>0</v>
      </c>
      <c r="H859" s="264"/>
      <c r="I859" s="264">
        <v>0</v>
      </c>
      <c r="J859" s="281">
        <v>0</v>
      </c>
      <c r="K859" s="281">
        <f>SUM(K860:K860)</f>
        <v>3284531.25</v>
      </c>
      <c r="L859" s="281">
        <v>0</v>
      </c>
      <c r="M859" s="282">
        <f>SUM(M860:M860)</f>
        <v>3590377</v>
      </c>
      <c r="N859" s="282">
        <v>0</v>
      </c>
      <c r="O859" s="282">
        <v>0</v>
      </c>
      <c r="P859" s="282">
        <v>0</v>
      </c>
      <c r="Q859" s="282">
        <f>SUM(Q860:Q860)</f>
        <v>3590377</v>
      </c>
      <c r="R859" s="287">
        <v>0</v>
      </c>
    </row>
    <row r="860" spans="1:18">
      <c r="A860" s="246"/>
      <c r="B860" s="265">
        <v>0</v>
      </c>
      <c r="C860" s="680" t="s">
        <v>629</v>
      </c>
      <c r="D860" s="266" t="str">
        <f>" - "&amp;'Giá NC'!E10</f>
        <v xml:space="preserve"> - Nhân công bậc 4,0/7 - Nhóm 2</v>
      </c>
      <c r="E860" s="265" t="str">
        <f>'Giá NC'!F10</f>
        <v>công</v>
      </c>
      <c r="F860" s="267">
        <v>0</v>
      </c>
      <c r="G860" s="268">
        <v>12.25</v>
      </c>
      <c r="H860" s="268">
        <f>'5.Tiên lượng'!W202</f>
        <v>1</v>
      </c>
      <c r="I860" s="268">
        <f>PRODUCT(F853,G860,H860)</f>
        <v>3.3614000000000006</v>
      </c>
      <c r="J860" s="283">
        <f>'Giá NC'!G10</f>
        <v>268125</v>
      </c>
      <c r="K860" s="283">
        <f>PRODUCT(G860,H860,J860)</f>
        <v>3284531.25</v>
      </c>
      <c r="L860" s="283">
        <f>'Giá NC'!H10</f>
        <v>293092</v>
      </c>
      <c r="M860" s="284">
        <f>PRODUCT(G860,H860,L860)</f>
        <v>3590377</v>
      </c>
      <c r="N860" s="284">
        <v>0</v>
      </c>
      <c r="O860" s="284">
        <v>0</v>
      </c>
      <c r="P860" s="284">
        <f>'Giá NC'!K10</f>
        <v>293092</v>
      </c>
      <c r="Q860" s="284">
        <f>PRODUCT(G860,H860,P860)</f>
        <v>3590377</v>
      </c>
      <c r="R860" s="287">
        <v>0</v>
      </c>
    </row>
    <row r="861" spans="1:18">
      <c r="A861" s="240"/>
      <c r="B861" s="260">
        <v>0</v>
      </c>
      <c r="C861" s="261" t="s">
        <v>590</v>
      </c>
      <c r="D861" s="262" t="s">
        <v>267</v>
      </c>
      <c r="E861" s="260"/>
      <c r="F861" s="263">
        <v>0</v>
      </c>
      <c r="G861" s="264">
        <v>0</v>
      </c>
      <c r="H861" s="264"/>
      <c r="I861" s="264">
        <v>0</v>
      </c>
      <c r="J861" s="281">
        <v>0</v>
      </c>
      <c r="K861" s="281">
        <f>SUM(K862:K863)</f>
        <v>328545.28808179201</v>
      </c>
      <c r="L861" s="281">
        <v>0</v>
      </c>
      <c r="M861" s="282">
        <f>SUM(M862:M863)</f>
        <v>326187.636</v>
      </c>
      <c r="N861" s="282">
        <v>0</v>
      </c>
      <c r="O861" s="282">
        <v>0</v>
      </c>
      <c r="P861" s="282">
        <v>0</v>
      </c>
      <c r="Q861" s="282">
        <f>SUM(Q862:Q863)</f>
        <v>357131.12499350397</v>
      </c>
      <c r="R861" s="287">
        <v>0</v>
      </c>
    </row>
    <row r="862" spans="1:18">
      <c r="A862" s="246"/>
      <c r="B862" s="265">
        <v>0</v>
      </c>
      <c r="C862" s="680" t="s">
        <v>630</v>
      </c>
      <c r="D862" s="266" t="str">
        <f>" - "&amp;'Giá Máy'!E16</f>
        <v xml:space="preserve"> - Máy hàn điện 23kW</v>
      </c>
      <c r="E862" s="265" t="str">
        <f>'Giá Máy'!F16</f>
        <v>ca</v>
      </c>
      <c r="F862" s="267">
        <v>0</v>
      </c>
      <c r="G862" s="268">
        <v>0.82</v>
      </c>
      <c r="H862" s="268">
        <f>'5.Tiên lượng'!X202</f>
        <v>1</v>
      </c>
      <c r="I862" s="268">
        <f>PRODUCT(F853,G862,H862)</f>
        <v>0.22500800000000001</v>
      </c>
      <c r="J862" s="283">
        <f>'Giá Máy'!G16</f>
        <v>392808.80927999999</v>
      </c>
      <c r="K862" s="283">
        <f t="shared" ref="K862:K863" si="360">PRODUCT(G862,H862,J862)</f>
        <v>322103.22360959998</v>
      </c>
      <c r="L862" s="283">
        <f>'Giá Máy'!H16</f>
        <v>389990</v>
      </c>
      <c r="M862" s="284">
        <f t="shared" ref="M862:M863" si="361">PRODUCT(G862,H862,L862)</f>
        <v>319791.8</v>
      </c>
      <c r="N862" s="284">
        <v>0</v>
      </c>
      <c r="O862" s="284">
        <v>0</v>
      </c>
      <c r="P862" s="284">
        <f>'Giá Máy'!O16</f>
        <v>426986.04135999997</v>
      </c>
      <c r="Q862" s="284">
        <f t="shared" ref="Q862:Q863" si="362">PRODUCT(G862,H862,P862)</f>
        <v>350128.55391519994</v>
      </c>
      <c r="R862" s="287">
        <v>2</v>
      </c>
    </row>
    <row r="863" spans="1:18">
      <c r="A863" s="251"/>
      <c r="B863" s="269">
        <v>0</v>
      </c>
      <c r="C863" s="681" t="s">
        <v>611</v>
      </c>
      <c r="D863" s="270" t="s">
        <v>612</v>
      </c>
      <c r="E863" s="269" t="s">
        <v>37</v>
      </c>
      <c r="F863" s="271">
        <v>0</v>
      </c>
      <c r="G863" s="272">
        <f>AVERAGE(R862:R862)</f>
        <v>2</v>
      </c>
      <c r="H863" s="272">
        <f>'5.Tiên lượng'!X202</f>
        <v>1</v>
      </c>
      <c r="I863" s="272">
        <f>PRODUCT(F853,G863,H863)</f>
        <v>0.54880000000000007</v>
      </c>
      <c r="J863" s="285">
        <f>(G862*J862)/100</f>
        <v>3221.0322360959999</v>
      </c>
      <c r="K863" s="285">
        <f t="shared" si="360"/>
        <v>6442.0644721919998</v>
      </c>
      <c r="L863" s="285">
        <f>(G862*L862)/100</f>
        <v>3197.9179999999997</v>
      </c>
      <c r="M863" s="286">
        <f t="shared" si="361"/>
        <v>6395.8359999999993</v>
      </c>
      <c r="N863" s="286">
        <v>0</v>
      </c>
      <c r="O863" s="286">
        <v>0</v>
      </c>
      <c r="P863" s="286">
        <f>(G862*P862)/100</f>
        <v>3501.2855391519993</v>
      </c>
      <c r="Q863" s="286">
        <f t="shared" si="362"/>
        <v>7002.5710783039985</v>
      </c>
      <c r="R863" s="288">
        <v>0</v>
      </c>
    </row>
    <row r="864" spans="1:18">
      <c r="A864" s="234"/>
      <c r="B864" s="256">
        <v>98</v>
      </c>
      <c r="C864" s="234" t="str">
        <f>'5.Tiên lượng'!C204</f>
        <v>AG.41610</v>
      </c>
      <c r="D864" s="257" t="str">
        <f>'5.Tiên lượng'!D204</f>
        <v>Tháo dỡ tấm bản mặt cầu cũ bằng cần cẩu</v>
      </c>
      <c r="E864" s="256" t="str">
        <f>'5.Tiên lượng'!E204</f>
        <v>1cấu kiện</v>
      </c>
      <c r="F864" s="258">
        <f>'5.Tiên lượng'!M204</f>
        <v>3</v>
      </c>
      <c r="G864" s="259">
        <v>0</v>
      </c>
      <c r="H864" s="259">
        <v>0</v>
      </c>
      <c r="I864" s="259">
        <v>0</v>
      </c>
      <c r="J864" s="279">
        <v>0</v>
      </c>
      <c r="K864" s="279">
        <v>0</v>
      </c>
      <c r="L864" s="279">
        <v>0</v>
      </c>
      <c r="M864" s="280">
        <v>0</v>
      </c>
      <c r="N864" s="280">
        <v>0</v>
      </c>
      <c r="O864" s="280">
        <v>0</v>
      </c>
      <c r="P864" s="280">
        <v>0</v>
      </c>
      <c r="Q864" s="280">
        <v>0</v>
      </c>
      <c r="R864" s="222">
        <v>0</v>
      </c>
    </row>
    <row r="865" spans="1:18">
      <c r="A865" s="240"/>
      <c r="B865" s="260">
        <v>0</v>
      </c>
      <c r="C865" s="261" t="s">
        <v>590</v>
      </c>
      <c r="D865" s="262" t="s">
        <v>265</v>
      </c>
      <c r="E865" s="260"/>
      <c r="F865" s="263">
        <v>0</v>
      </c>
      <c r="G865" s="264">
        <v>0</v>
      </c>
      <c r="H865" s="264"/>
      <c r="I865" s="264">
        <v>0</v>
      </c>
      <c r="J865" s="281">
        <v>0</v>
      </c>
      <c r="K865" s="281">
        <f>SUM(K866:K866)</f>
        <v>4065.7499999999995</v>
      </c>
      <c r="L865" s="281">
        <v>0</v>
      </c>
      <c r="M865" s="282">
        <f>SUM(M866:M866)</f>
        <v>4444.3440000000001</v>
      </c>
      <c r="N865" s="282">
        <v>0</v>
      </c>
      <c r="O865" s="282">
        <v>0</v>
      </c>
      <c r="P865" s="282">
        <v>0</v>
      </c>
      <c r="Q865" s="282">
        <f>SUM(Q866:Q866)</f>
        <v>4444.3440000000001</v>
      </c>
      <c r="R865" s="287">
        <v>0</v>
      </c>
    </row>
    <row r="866" spans="1:18">
      <c r="A866" s="246"/>
      <c r="B866" s="265">
        <v>0</v>
      </c>
      <c r="C866" s="680" t="s">
        <v>605</v>
      </c>
      <c r="D866" s="266" t="str">
        <f>" - "&amp;'Giá NC'!E8</f>
        <v xml:space="preserve"> - Nhân công bậc 3,0/7 - Nhóm 2</v>
      </c>
      <c r="E866" s="265" t="str">
        <f>'Giá NC'!F8</f>
        <v>công</v>
      </c>
      <c r="F866" s="267">
        <v>0</v>
      </c>
      <c r="G866" s="268">
        <v>0.03</v>
      </c>
      <c r="H866" s="268">
        <f>'5.Tiên lượng'!W204</f>
        <v>0.6</v>
      </c>
      <c r="I866" s="268">
        <f>PRODUCT(F864,G866,H866)</f>
        <v>5.3999999999999999E-2</v>
      </c>
      <c r="J866" s="283">
        <f>'Giá NC'!G8</f>
        <v>225875</v>
      </c>
      <c r="K866" s="283">
        <f>PRODUCT(G866,H866,J866)</f>
        <v>4065.7499999999995</v>
      </c>
      <c r="L866" s="283">
        <f>'Giá NC'!H8</f>
        <v>246908</v>
      </c>
      <c r="M866" s="284">
        <f>PRODUCT(G866,H866,L866)</f>
        <v>4444.3440000000001</v>
      </c>
      <c r="N866" s="284">
        <v>0</v>
      </c>
      <c r="O866" s="284">
        <v>0</v>
      </c>
      <c r="P866" s="284">
        <f>'Giá NC'!K8</f>
        <v>246908</v>
      </c>
      <c r="Q866" s="284">
        <f>PRODUCT(G866,H866,P866)</f>
        <v>4444.3440000000001</v>
      </c>
      <c r="R866" s="287">
        <v>0</v>
      </c>
    </row>
    <row r="867" spans="1:18">
      <c r="A867" s="240"/>
      <c r="B867" s="260">
        <v>0</v>
      </c>
      <c r="C867" s="261" t="s">
        <v>590</v>
      </c>
      <c r="D867" s="262" t="s">
        <v>267</v>
      </c>
      <c r="E867" s="260"/>
      <c r="F867" s="263">
        <v>0</v>
      </c>
      <c r="G867" s="264">
        <v>0</v>
      </c>
      <c r="H867" s="264"/>
      <c r="I867" s="264">
        <v>0</v>
      </c>
      <c r="J867" s="281">
        <v>0</v>
      </c>
      <c r="K867" s="281">
        <f>SUM(K868:K868)</f>
        <v>13793.528099999969</v>
      </c>
      <c r="L867" s="281">
        <v>0</v>
      </c>
      <c r="M867" s="282">
        <f>SUM(M868:M868)</f>
        <v>14648.903999999999</v>
      </c>
      <c r="N867" s="282">
        <v>0</v>
      </c>
      <c r="O867" s="282">
        <v>0</v>
      </c>
      <c r="P867" s="282">
        <v>0</v>
      </c>
      <c r="Q867" s="282">
        <f>SUM(Q868:Q868)</f>
        <v>14506.290299999997</v>
      </c>
      <c r="R867" s="287">
        <v>0</v>
      </c>
    </row>
    <row r="868" spans="1:18">
      <c r="A868" s="251"/>
      <c r="B868" s="269">
        <v>0</v>
      </c>
      <c r="C868" s="681" t="s">
        <v>665</v>
      </c>
      <c r="D868" s="270" t="str">
        <f>" - "&amp;'Giá Máy'!E6</f>
        <v xml:space="preserve"> - Cần cẩu bánh hơi 6T</v>
      </c>
      <c r="E868" s="269" t="str">
        <f>'Giá Máy'!F6</f>
        <v>ca</v>
      </c>
      <c r="F868" s="271">
        <v>0</v>
      </c>
      <c r="G868" s="272">
        <v>1.4999999999999999E-2</v>
      </c>
      <c r="H868" s="272">
        <f>'5.Tiên lượng'!X204</f>
        <v>0.6</v>
      </c>
      <c r="I868" s="272">
        <f>PRODUCT(F864,G868,H868)</f>
        <v>2.7E-2</v>
      </c>
      <c r="J868" s="285">
        <f>'Giá Máy'!G6</f>
        <v>1532614.2333333299</v>
      </c>
      <c r="K868" s="285">
        <f>PRODUCT(G868,H868,J868)</f>
        <v>13793.528099999969</v>
      </c>
      <c r="L868" s="285">
        <f>'Giá Máy'!H6</f>
        <v>1627656</v>
      </c>
      <c r="M868" s="286">
        <f>PRODUCT(G868,H868,L868)</f>
        <v>14648.903999999999</v>
      </c>
      <c r="N868" s="286">
        <v>0</v>
      </c>
      <c r="O868" s="286">
        <v>0</v>
      </c>
      <c r="P868" s="286">
        <f>'Giá Máy'!O6</f>
        <v>1611810.0333333332</v>
      </c>
      <c r="Q868" s="286">
        <f>PRODUCT(G868,H868,P868)</f>
        <v>14506.290299999997</v>
      </c>
      <c r="R868" s="288">
        <v>0</v>
      </c>
    </row>
    <row r="869" spans="1:18" ht="27.6">
      <c r="A869" s="234"/>
      <c r="B869" s="256">
        <v>99</v>
      </c>
      <c r="C869" s="234" t="str">
        <f>'5.Tiên lượng'!C205</f>
        <v>BB.11211VD</v>
      </c>
      <c r="D869" s="257" t="str">
        <f>'5.Tiên lượng'!D205</f>
        <v>Tháo dỡ ống bê tông bằng cần cẩu, đoạn ống dài 1m - Đường kính 400mm</v>
      </c>
      <c r="E869" s="256" t="str">
        <f>'5.Tiên lượng'!E205</f>
        <v>1 đoạn ống</v>
      </c>
      <c r="F869" s="258">
        <f>'5.Tiên lượng'!M205</f>
        <v>5</v>
      </c>
      <c r="G869" s="259">
        <v>0</v>
      </c>
      <c r="H869" s="259">
        <v>0</v>
      </c>
      <c r="I869" s="259">
        <v>0</v>
      </c>
      <c r="J869" s="279">
        <v>0</v>
      </c>
      <c r="K869" s="279">
        <v>0</v>
      </c>
      <c r="L869" s="279">
        <v>0</v>
      </c>
      <c r="M869" s="280">
        <v>0</v>
      </c>
      <c r="N869" s="280">
        <v>0</v>
      </c>
      <c r="O869" s="280">
        <v>0</v>
      </c>
      <c r="P869" s="280">
        <v>0</v>
      </c>
      <c r="Q869" s="280">
        <v>0</v>
      </c>
      <c r="R869" s="222">
        <v>0</v>
      </c>
    </row>
    <row r="870" spans="1:18">
      <c r="A870" s="240"/>
      <c r="B870" s="260">
        <v>0</v>
      </c>
      <c r="C870" s="261" t="s">
        <v>590</v>
      </c>
      <c r="D870" s="262" t="s">
        <v>265</v>
      </c>
      <c r="E870" s="260"/>
      <c r="F870" s="263">
        <v>0</v>
      </c>
      <c r="G870" s="264">
        <v>0</v>
      </c>
      <c r="H870" s="264"/>
      <c r="I870" s="264">
        <v>0</v>
      </c>
      <c r="J870" s="281">
        <v>0</v>
      </c>
      <c r="K870" s="281">
        <f>SUM(K871:K871)</f>
        <v>64220</v>
      </c>
      <c r="L870" s="281">
        <v>0</v>
      </c>
      <c r="M870" s="282">
        <f>SUM(M871:M871)</f>
        <v>70200</v>
      </c>
      <c r="N870" s="282">
        <v>0</v>
      </c>
      <c r="O870" s="282">
        <v>0</v>
      </c>
      <c r="P870" s="282">
        <v>0</v>
      </c>
      <c r="Q870" s="282">
        <f>SUM(Q871:Q871)</f>
        <v>70200</v>
      </c>
      <c r="R870" s="287">
        <v>0</v>
      </c>
    </row>
    <row r="871" spans="1:18">
      <c r="A871" s="246"/>
      <c r="B871" s="265">
        <v>0</v>
      </c>
      <c r="C871" s="680" t="s">
        <v>622</v>
      </c>
      <c r="D871" s="266" t="str">
        <f>" - "&amp;'Giá NC'!E9</f>
        <v xml:space="preserve"> - Nhân công bậc 3,5/7 - Nhóm 2</v>
      </c>
      <c r="E871" s="265" t="str">
        <f>'Giá NC'!F9</f>
        <v>công</v>
      </c>
      <c r="F871" s="267">
        <v>0</v>
      </c>
      <c r="G871" s="268">
        <v>0.26</v>
      </c>
      <c r="H871" s="268">
        <f>'5.Tiên lượng'!W205</f>
        <v>1</v>
      </c>
      <c r="I871" s="268">
        <f>PRODUCT(F869,G871,H871)</f>
        <v>1.3</v>
      </c>
      <c r="J871" s="283">
        <f>'Giá NC'!G9</f>
        <v>247000</v>
      </c>
      <c r="K871" s="283">
        <f>PRODUCT(G871,H871,J871)</f>
        <v>64220</v>
      </c>
      <c r="L871" s="283">
        <f>'Giá NC'!H9</f>
        <v>270000</v>
      </c>
      <c r="M871" s="284">
        <f>PRODUCT(G871,H871,L871)</f>
        <v>70200</v>
      </c>
      <c r="N871" s="284">
        <v>0</v>
      </c>
      <c r="O871" s="284">
        <v>0</v>
      </c>
      <c r="P871" s="284">
        <f>'Giá NC'!K9</f>
        <v>270000</v>
      </c>
      <c r="Q871" s="284">
        <f>PRODUCT(G871,H871,P871)</f>
        <v>70200</v>
      </c>
      <c r="R871" s="287">
        <v>0</v>
      </c>
    </row>
    <row r="872" spans="1:18">
      <c r="A872" s="240"/>
      <c r="B872" s="260">
        <v>0</v>
      </c>
      <c r="C872" s="261" t="s">
        <v>590</v>
      </c>
      <c r="D872" s="262" t="s">
        <v>267</v>
      </c>
      <c r="E872" s="260"/>
      <c r="F872" s="263">
        <v>0</v>
      </c>
      <c r="G872" s="264">
        <v>0</v>
      </c>
      <c r="H872" s="264"/>
      <c r="I872" s="264">
        <v>0</v>
      </c>
      <c r="J872" s="281">
        <v>0</v>
      </c>
      <c r="K872" s="281">
        <f>SUM(K873:K874)</f>
        <v>59542.062964999859</v>
      </c>
      <c r="L872" s="281">
        <v>0</v>
      </c>
      <c r="M872" s="282">
        <f>SUM(M873:M874)</f>
        <v>63234.435599999997</v>
      </c>
      <c r="N872" s="282">
        <v>0</v>
      </c>
      <c r="O872" s="282">
        <v>0</v>
      </c>
      <c r="P872" s="282">
        <v>0</v>
      </c>
      <c r="Q872" s="282">
        <f>SUM(Q873:Q874)</f>
        <v>62618.819794999989</v>
      </c>
      <c r="R872" s="287">
        <v>0</v>
      </c>
    </row>
    <row r="873" spans="1:18">
      <c r="A873" s="246"/>
      <c r="B873" s="265">
        <v>0</v>
      </c>
      <c r="C873" s="680" t="s">
        <v>665</v>
      </c>
      <c r="D873" s="266" t="str">
        <f>" - "&amp;'Giá Máy'!E6</f>
        <v xml:space="preserve"> - Cần cẩu bánh hơi 6T</v>
      </c>
      <c r="E873" s="265" t="str">
        <f>'Giá Máy'!F6</f>
        <v>ca</v>
      </c>
      <c r="F873" s="267">
        <v>0</v>
      </c>
      <c r="G873" s="268">
        <v>3.6999999999999998E-2</v>
      </c>
      <c r="H873" s="268">
        <f>'5.Tiên lượng'!X205</f>
        <v>1</v>
      </c>
      <c r="I873" s="268">
        <f>PRODUCT(F869,G873,H873)</f>
        <v>0.185</v>
      </c>
      <c r="J873" s="283">
        <f>'Giá Máy'!G6</f>
        <v>1532614.2333333299</v>
      </c>
      <c r="K873" s="283">
        <f t="shared" ref="K873:K874" si="363">PRODUCT(G873,H873,J873)</f>
        <v>56706.726633333201</v>
      </c>
      <c r="L873" s="283">
        <f>'Giá Máy'!H6</f>
        <v>1627656</v>
      </c>
      <c r="M873" s="284">
        <f t="shared" ref="M873:M874" si="364">PRODUCT(G873,H873,L873)</f>
        <v>60223.271999999997</v>
      </c>
      <c r="N873" s="284">
        <v>0</v>
      </c>
      <c r="O873" s="284">
        <v>0</v>
      </c>
      <c r="P873" s="284">
        <f>'Giá Máy'!O6</f>
        <v>1611810.0333333332</v>
      </c>
      <c r="Q873" s="284">
        <f t="shared" ref="Q873:Q874" si="365">PRODUCT(G873,H873,P873)</f>
        <v>59636.971233333323</v>
      </c>
      <c r="R873" s="287">
        <v>5</v>
      </c>
    </row>
    <row r="874" spans="1:18">
      <c r="A874" s="251"/>
      <c r="B874" s="269">
        <v>0</v>
      </c>
      <c r="C874" s="681" t="s">
        <v>611</v>
      </c>
      <c r="D874" s="270" t="s">
        <v>612</v>
      </c>
      <c r="E874" s="269" t="s">
        <v>37</v>
      </c>
      <c r="F874" s="271">
        <v>0</v>
      </c>
      <c r="G874" s="272">
        <f>AVERAGE(R873:R873)</f>
        <v>5</v>
      </c>
      <c r="H874" s="272">
        <f>'5.Tiên lượng'!X205</f>
        <v>1</v>
      </c>
      <c r="I874" s="272">
        <f>PRODUCT(F869,G874,H874)</f>
        <v>25</v>
      </c>
      <c r="J874" s="285">
        <f>(G873*J873)/100</f>
        <v>567.06726633333199</v>
      </c>
      <c r="K874" s="285">
        <f t="shared" si="363"/>
        <v>2835.33633166666</v>
      </c>
      <c r="L874" s="285">
        <f>(G873*L873)/100</f>
        <v>602.23271999999997</v>
      </c>
      <c r="M874" s="286">
        <f t="shared" si="364"/>
        <v>3011.1635999999999</v>
      </c>
      <c r="N874" s="286">
        <v>0</v>
      </c>
      <c r="O874" s="286">
        <v>0</v>
      </c>
      <c r="P874" s="286">
        <f>(G873*P873)/100</f>
        <v>596.36971233333327</v>
      </c>
      <c r="Q874" s="286">
        <f t="shared" si="365"/>
        <v>2981.8485616666662</v>
      </c>
      <c r="R874" s="288">
        <v>0</v>
      </c>
    </row>
    <row r="875" spans="1:18" ht="27.6">
      <c r="A875" s="234"/>
      <c r="B875" s="256">
        <v>100</v>
      </c>
      <c r="C875" s="234" t="str">
        <f>'5.Tiên lượng'!C206</f>
        <v>AA.22121</v>
      </c>
      <c r="D875" s="257" t="str">
        <f>'5.Tiên lượng'!D206</f>
        <v>Phá dỡ kết cấu gạch đá bằng búa căn khí nén 3m3/ph</v>
      </c>
      <c r="E875" s="256" t="str">
        <f>'5.Tiên lượng'!E206</f>
        <v>m3</v>
      </c>
      <c r="F875" s="258">
        <f>'5.Tiên lượng'!M206</f>
        <v>2.1</v>
      </c>
      <c r="G875" s="259">
        <v>0</v>
      </c>
      <c r="H875" s="259">
        <v>0</v>
      </c>
      <c r="I875" s="259">
        <v>0</v>
      </c>
      <c r="J875" s="279">
        <v>0</v>
      </c>
      <c r="K875" s="279">
        <v>0</v>
      </c>
      <c r="L875" s="279">
        <v>0</v>
      </c>
      <c r="M875" s="280">
        <v>0</v>
      </c>
      <c r="N875" s="280">
        <v>0</v>
      </c>
      <c r="O875" s="280">
        <v>0</v>
      </c>
      <c r="P875" s="280">
        <v>0</v>
      </c>
      <c r="Q875" s="280">
        <v>0</v>
      </c>
      <c r="R875" s="222">
        <v>0</v>
      </c>
    </row>
    <row r="876" spans="1:18">
      <c r="A876" s="240"/>
      <c r="B876" s="260">
        <v>0</v>
      </c>
      <c r="C876" s="261" t="s">
        <v>590</v>
      </c>
      <c r="D876" s="262" t="s">
        <v>265</v>
      </c>
      <c r="E876" s="260"/>
      <c r="F876" s="263">
        <v>0</v>
      </c>
      <c r="G876" s="264">
        <v>0</v>
      </c>
      <c r="H876" s="264"/>
      <c r="I876" s="264">
        <v>0</v>
      </c>
      <c r="J876" s="281">
        <v>0</v>
      </c>
      <c r="K876" s="281">
        <f>SUM(K877:K877)</f>
        <v>43711.8</v>
      </c>
      <c r="L876" s="281">
        <v>0</v>
      </c>
      <c r="M876" s="282">
        <f>SUM(M877:M877)</f>
        <v>45723.600000000006</v>
      </c>
      <c r="N876" s="282">
        <v>0</v>
      </c>
      <c r="O876" s="282">
        <v>0</v>
      </c>
      <c r="P876" s="282">
        <v>0</v>
      </c>
      <c r="Q876" s="282">
        <f>SUM(Q877:Q877)</f>
        <v>45723.600000000006</v>
      </c>
      <c r="R876" s="287">
        <v>0</v>
      </c>
    </row>
    <row r="877" spans="1:18">
      <c r="A877" s="246"/>
      <c r="B877" s="265">
        <v>0</v>
      </c>
      <c r="C877" s="680" t="s">
        <v>598</v>
      </c>
      <c r="D877" s="266" t="str">
        <f>" - "&amp;'Giá NC'!E5</f>
        <v xml:space="preserve"> - Nhân công bậc 3,0/7 - Nhóm 1</v>
      </c>
      <c r="E877" s="265" t="str">
        <f>'Giá NC'!F5</f>
        <v>công</v>
      </c>
      <c r="F877" s="267">
        <v>0</v>
      </c>
      <c r="G877" s="268">
        <v>0.2</v>
      </c>
      <c r="H877" s="268">
        <f>'5.Tiên lượng'!W206</f>
        <v>1</v>
      </c>
      <c r="I877" s="268">
        <f>PRODUCT(F875,G877,H877)</f>
        <v>0.42000000000000004</v>
      </c>
      <c r="J877" s="283">
        <f>'Giá NC'!G5</f>
        <v>218559</v>
      </c>
      <c r="K877" s="283">
        <f>PRODUCT(G877,H877,J877)</f>
        <v>43711.8</v>
      </c>
      <c r="L877" s="283">
        <f>'Giá NC'!H5</f>
        <v>228618</v>
      </c>
      <c r="M877" s="284">
        <f>PRODUCT(G877,H877,L877)</f>
        <v>45723.600000000006</v>
      </c>
      <c r="N877" s="284">
        <v>0</v>
      </c>
      <c r="O877" s="284">
        <v>0</v>
      </c>
      <c r="P877" s="284">
        <f>'Giá NC'!K5</f>
        <v>228618</v>
      </c>
      <c r="Q877" s="284">
        <f>PRODUCT(G877,H877,P877)</f>
        <v>45723.600000000006</v>
      </c>
      <c r="R877" s="287">
        <v>0</v>
      </c>
    </row>
    <row r="878" spans="1:18">
      <c r="A878" s="240"/>
      <c r="B878" s="260">
        <v>0</v>
      </c>
      <c r="C878" s="261" t="s">
        <v>590</v>
      </c>
      <c r="D878" s="262" t="s">
        <v>267</v>
      </c>
      <c r="E878" s="260"/>
      <c r="F878" s="263">
        <v>0</v>
      </c>
      <c r="G878" s="264">
        <v>0</v>
      </c>
      <c r="H878" s="264"/>
      <c r="I878" s="264">
        <v>0</v>
      </c>
      <c r="J878" s="281">
        <v>0</v>
      </c>
      <c r="K878" s="281">
        <f>SUM(K879:K880)</f>
        <v>86126.192666666509</v>
      </c>
      <c r="L878" s="281">
        <v>0</v>
      </c>
      <c r="M878" s="282">
        <f>SUM(M879:M880)</f>
        <v>96105.600000000006</v>
      </c>
      <c r="N878" s="282">
        <v>0</v>
      </c>
      <c r="O878" s="282">
        <v>0</v>
      </c>
      <c r="P878" s="282">
        <v>0</v>
      </c>
      <c r="Q878" s="282">
        <f>SUM(Q879:Q880)</f>
        <v>90038.426666666666</v>
      </c>
      <c r="R878" s="287">
        <v>0</v>
      </c>
    </row>
    <row r="879" spans="1:18">
      <c r="A879" s="246"/>
      <c r="B879" s="265">
        <v>0</v>
      </c>
      <c r="C879" s="680" t="s">
        <v>673</v>
      </c>
      <c r="D879" s="266" t="str">
        <f>" - "&amp;'Giá Máy'!E5</f>
        <v xml:space="preserve"> - Búa căn khí nén 3m3/ph</v>
      </c>
      <c r="E879" s="265" t="str">
        <f>'Giá Máy'!F5</f>
        <v>ca</v>
      </c>
      <c r="F879" s="267">
        <v>0</v>
      </c>
      <c r="G879" s="268">
        <v>0.15</v>
      </c>
      <c r="H879" s="268">
        <f>'5.Tiên lượng'!X206</f>
        <v>1</v>
      </c>
      <c r="I879" s="268">
        <f>PRODUCT(F875,G879,H879)</f>
        <v>0.315</v>
      </c>
      <c r="J879" s="283">
        <f>'Giá Máy'!G5</f>
        <v>21146.666666666701</v>
      </c>
      <c r="K879" s="283">
        <f t="shared" ref="K879:K880" si="366">PRODUCT(G879,H879,J879)</f>
        <v>3172.000000000005</v>
      </c>
      <c r="L879" s="283">
        <f>'Giá Máy'!H5</f>
        <v>21147</v>
      </c>
      <c r="M879" s="284">
        <f t="shared" ref="M879:M880" si="367">PRODUCT(G879,H879,L879)</f>
        <v>3172.0499999999997</v>
      </c>
      <c r="N879" s="284">
        <v>0</v>
      </c>
      <c r="O879" s="284">
        <v>0</v>
      </c>
      <c r="P879" s="284">
        <f>'Giá Máy'!O5</f>
        <v>21146.666666666668</v>
      </c>
      <c r="Q879" s="284">
        <f t="shared" ref="Q879:Q880" si="368">PRODUCT(G879,H879,P879)</f>
        <v>3172</v>
      </c>
      <c r="R879" s="287">
        <v>0</v>
      </c>
    </row>
    <row r="880" spans="1:18">
      <c r="A880" s="251"/>
      <c r="B880" s="269">
        <v>0</v>
      </c>
      <c r="C880" s="681" t="s">
        <v>674</v>
      </c>
      <c r="D880" s="270" t="str">
        <f>" - "&amp;'Giá Máy'!E21</f>
        <v xml:space="preserve"> - Máy nén khí diezel 360m3/h</v>
      </c>
      <c r="E880" s="269" t="str">
        <f>'Giá Máy'!F21</f>
        <v>ca</v>
      </c>
      <c r="F880" s="271">
        <v>0</v>
      </c>
      <c r="G880" s="272">
        <v>7.4999999999999997E-2</v>
      </c>
      <c r="H880" s="272">
        <f>'5.Tiên lượng'!X206</f>
        <v>1</v>
      </c>
      <c r="I880" s="272">
        <f>PRODUCT(F875,G880,H880)</f>
        <v>0.1575</v>
      </c>
      <c r="J880" s="285">
        <f>'Giá Máy'!G21</f>
        <v>1106055.9022222201</v>
      </c>
      <c r="K880" s="285">
        <f t="shared" si="366"/>
        <v>82954.192666666509</v>
      </c>
      <c r="L880" s="285">
        <f>'Giá Máy'!H21</f>
        <v>1239114</v>
      </c>
      <c r="M880" s="286">
        <f t="shared" si="367"/>
        <v>92933.55</v>
      </c>
      <c r="N880" s="286">
        <v>0</v>
      </c>
      <c r="O880" s="286">
        <v>0</v>
      </c>
      <c r="P880" s="286">
        <f>'Giá Máy'!O21</f>
        <v>1158219.0222222223</v>
      </c>
      <c r="Q880" s="286">
        <f t="shared" si="368"/>
        <v>86866.426666666666</v>
      </c>
      <c r="R880" s="288">
        <v>0</v>
      </c>
    </row>
    <row r="881" spans="1:18" ht="27.6">
      <c r="A881" s="234"/>
      <c r="B881" s="256">
        <v>101</v>
      </c>
      <c r="C881" s="234" t="str">
        <f>'5.Tiên lượng'!C209</f>
        <v>AB.41432</v>
      </c>
      <c r="D881" s="257" t="str">
        <f>'5.Tiên lượng'!D209</f>
        <v>Vận chuyển đất bằng ô tô tự đổ 10T, phạm vi ≤1000m - Cấp đất II</v>
      </c>
      <c r="E881" s="256" t="str">
        <f>'5.Tiên lượng'!E209</f>
        <v>100m3</v>
      </c>
      <c r="F881" s="258">
        <f>'5.Tiên lượng'!M209</f>
        <v>9.4894999999999996</v>
      </c>
      <c r="G881" s="259">
        <v>0</v>
      </c>
      <c r="H881" s="259">
        <v>0</v>
      </c>
      <c r="I881" s="259">
        <v>0</v>
      </c>
      <c r="J881" s="279">
        <v>0</v>
      </c>
      <c r="K881" s="279">
        <v>0</v>
      </c>
      <c r="L881" s="279">
        <v>0</v>
      </c>
      <c r="M881" s="280">
        <v>0</v>
      </c>
      <c r="N881" s="280">
        <v>0</v>
      </c>
      <c r="O881" s="280">
        <v>0</v>
      </c>
      <c r="P881" s="280">
        <v>0</v>
      </c>
      <c r="Q881" s="280">
        <v>0</v>
      </c>
      <c r="R881" s="222">
        <v>0</v>
      </c>
    </row>
    <row r="882" spans="1:18">
      <c r="A882" s="240"/>
      <c r="B882" s="260">
        <v>0</v>
      </c>
      <c r="C882" s="261" t="s">
        <v>590</v>
      </c>
      <c r="D882" s="262" t="s">
        <v>267</v>
      </c>
      <c r="E882" s="260"/>
      <c r="F882" s="263">
        <v>0</v>
      </c>
      <c r="G882" s="264">
        <v>0</v>
      </c>
      <c r="H882" s="264"/>
      <c r="I882" s="264">
        <v>0</v>
      </c>
      <c r="J882" s="281">
        <v>0</v>
      </c>
      <c r="K882" s="281">
        <f>SUM(K883:K883)</f>
        <v>1484065.5469497109</v>
      </c>
      <c r="L882" s="281">
        <v>0</v>
      </c>
      <c r="M882" s="282">
        <f>SUM(M883:M883)</f>
        <v>1650704.6400000001</v>
      </c>
      <c r="N882" s="282">
        <v>0</v>
      </c>
      <c r="O882" s="282">
        <v>0</v>
      </c>
      <c r="P882" s="282">
        <v>0</v>
      </c>
      <c r="Q882" s="282">
        <f>SUM(Q883:Q883)</f>
        <v>1518125.1906057145</v>
      </c>
      <c r="R882" s="287">
        <v>0</v>
      </c>
    </row>
    <row r="883" spans="1:18">
      <c r="A883" s="251"/>
      <c r="B883" s="269">
        <v>0</v>
      </c>
      <c r="C883" s="681" t="s">
        <v>683</v>
      </c>
      <c r="D883" s="270" t="str">
        <f>" - "&amp;'Giá Máy'!E31</f>
        <v xml:space="preserve"> - Ô tô tự đổ 10T</v>
      </c>
      <c r="E883" s="269" t="str">
        <f>'Giá Máy'!F31</f>
        <v>ca</v>
      </c>
      <c r="F883" s="271">
        <v>0</v>
      </c>
      <c r="G883" s="272">
        <v>0.76900000000000002</v>
      </c>
      <c r="H883" s="272">
        <f>'5.Tiên lượng'!X209</f>
        <v>1</v>
      </c>
      <c r="I883" s="272">
        <f>PRODUCT(F881,G883,H883)</f>
        <v>7.2974255000000001</v>
      </c>
      <c r="J883" s="285">
        <f>'Giá Máy'!G31</f>
        <v>1929864.1702857099</v>
      </c>
      <c r="K883" s="285">
        <f>PRODUCT(G883,H883,J883)</f>
        <v>1484065.5469497109</v>
      </c>
      <c r="L883" s="285">
        <f>'Giá Máy'!H31</f>
        <v>2146560</v>
      </c>
      <c r="M883" s="286">
        <f>PRODUCT(G883,H883,L883)</f>
        <v>1650704.6400000001</v>
      </c>
      <c r="N883" s="286">
        <v>0</v>
      </c>
      <c r="O883" s="286">
        <v>0</v>
      </c>
      <c r="P883" s="286">
        <f>'Giá Máy'!O31</f>
        <v>1974154.9942857143</v>
      </c>
      <c r="Q883" s="286">
        <f>PRODUCT(G883,H883,P883)</f>
        <v>1518125.1906057145</v>
      </c>
      <c r="R883" s="288">
        <v>0</v>
      </c>
    </row>
    <row r="884" spans="1:18" ht="27.6">
      <c r="A884" s="234"/>
      <c r="B884" s="256">
        <v>102</v>
      </c>
      <c r="C884" s="234" t="str">
        <f>'5.Tiên lượng'!C211</f>
        <v>AB.53431</v>
      </c>
      <c r="D884" s="257" t="str">
        <f>'5.Tiên lượng'!D211</f>
        <v>Vận chuyển đá sau nổ mìn bằng ô tô tự đổ 10T trong phạm vi ≤1000m</v>
      </c>
      <c r="E884" s="256" t="str">
        <f>'5.Tiên lượng'!E211</f>
        <v>100m3</v>
      </c>
      <c r="F884" s="258">
        <f>'5.Tiên lượng'!M211</f>
        <v>2.2446000000000002</v>
      </c>
      <c r="G884" s="259">
        <v>0</v>
      </c>
      <c r="H884" s="259">
        <v>0</v>
      </c>
      <c r="I884" s="259">
        <v>0</v>
      </c>
      <c r="J884" s="279">
        <v>0</v>
      </c>
      <c r="K884" s="279">
        <v>0</v>
      </c>
      <c r="L884" s="279">
        <v>0</v>
      </c>
      <c r="M884" s="280">
        <v>0</v>
      </c>
      <c r="N884" s="280">
        <v>0</v>
      </c>
      <c r="O884" s="280">
        <v>0</v>
      </c>
      <c r="P884" s="280">
        <v>0</v>
      </c>
      <c r="Q884" s="280">
        <v>0</v>
      </c>
      <c r="R884" s="222">
        <v>0</v>
      </c>
    </row>
    <row r="885" spans="1:18">
      <c r="A885" s="240"/>
      <c r="B885" s="260">
        <v>0</v>
      </c>
      <c r="C885" s="261" t="s">
        <v>590</v>
      </c>
      <c r="D885" s="262" t="s">
        <v>267</v>
      </c>
      <c r="E885" s="260"/>
      <c r="F885" s="263">
        <v>0</v>
      </c>
      <c r="G885" s="264">
        <v>0</v>
      </c>
      <c r="H885" s="264"/>
      <c r="I885" s="264">
        <v>0</v>
      </c>
      <c r="J885" s="281">
        <v>0</v>
      </c>
      <c r="K885" s="281">
        <f>SUM(K886:K886)</f>
        <v>2773214.8127005654</v>
      </c>
      <c r="L885" s="281">
        <v>0</v>
      </c>
      <c r="M885" s="282">
        <f>SUM(M886:M886)</f>
        <v>3084606.72</v>
      </c>
      <c r="N885" s="282">
        <v>0</v>
      </c>
      <c r="O885" s="282">
        <v>0</v>
      </c>
      <c r="P885" s="282">
        <v>0</v>
      </c>
      <c r="Q885" s="282">
        <f>SUM(Q886:Q886)</f>
        <v>2836860.7267885716</v>
      </c>
      <c r="R885" s="287">
        <v>0</v>
      </c>
    </row>
    <row r="886" spans="1:18">
      <c r="A886" s="251"/>
      <c r="B886" s="269">
        <v>0</v>
      </c>
      <c r="C886" s="681" t="s">
        <v>683</v>
      </c>
      <c r="D886" s="270" t="str">
        <f>" - "&amp;'Giá Máy'!E31</f>
        <v xml:space="preserve"> - Ô tô tự đổ 10T</v>
      </c>
      <c r="E886" s="269" t="str">
        <f>'Giá Máy'!F31</f>
        <v>ca</v>
      </c>
      <c r="F886" s="271">
        <v>0</v>
      </c>
      <c r="G886" s="272">
        <v>1.4370000000000001</v>
      </c>
      <c r="H886" s="272">
        <f>'5.Tiên lượng'!X211</f>
        <v>1</v>
      </c>
      <c r="I886" s="272">
        <f>PRODUCT(F884,G886,H886)</f>
        <v>3.2254902000000003</v>
      </c>
      <c r="J886" s="285">
        <f>'Giá Máy'!G31</f>
        <v>1929864.1702857099</v>
      </c>
      <c r="K886" s="285">
        <f>PRODUCT(G886,H886,J886)</f>
        <v>2773214.8127005654</v>
      </c>
      <c r="L886" s="285">
        <f>'Giá Máy'!H31</f>
        <v>2146560</v>
      </c>
      <c r="M886" s="286">
        <f>PRODUCT(G886,H886,L886)</f>
        <v>3084606.72</v>
      </c>
      <c r="N886" s="286">
        <v>0</v>
      </c>
      <c r="O886" s="286">
        <v>0</v>
      </c>
      <c r="P886" s="286">
        <f>'Giá Máy'!O31</f>
        <v>1974154.9942857143</v>
      </c>
      <c r="Q886" s="286">
        <f>PRODUCT(G886,H886,P886)</f>
        <v>2836860.7267885716</v>
      </c>
      <c r="R886" s="288">
        <v>0</v>
      </c>
    </row>
  </sheetData>
  <mergeCells count="12">
    <mergeCell ref="R4:R5"/>
    <mergeCell ref="A1:Q1"/>
    <mergeCell ref="A2:Q2"/>
    <mergeCell ref="A3:Q3"/>
    <mergeCell ref="F4:I4"/>
    <mergeCell ref="J4:K4"/>
    <mergeCell ref="L4:M4"/>
    <mergeCell ref="P4:Q4"/>
    <mergeCell ref="B4:B5"/>
    <mergeCell ref="C4:C5"/>
    <mergeCell ref="D4:D5"/>
    <mergeCell ref="E4:E5"/>
  </mergeCells>
  <conditionalFormatting sqref="H4:H5">
    <cfRule type="cellIs" dxfId="2" priority="1" stopIfTrue="1" operator="equal">
      <formula>1</formula>
    </cfRule>
  </conditionalFormatting>
  <conditionalFormatting sqref="H6:H887">
    <cfRule type="cellIs" dxfId="1" priority="2" stopIfTrue="1" operator="equal">
      <formula>1</formula>
    </cfRule>
  </conditionalFormatting>
  <pageMargins left="0.5" right="0.5" top="0.79" bottom="0.79" header="0.3" footer="0.3"/>
  <pageSetup paperSize="9" scale="75" orientation="portrait" useFirstPageNumber="1"/>
  <headerFooter>
    <oddFooter>&amp;CTrang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3"/>
  </sheetPr>
  <dimension ref="A1:O13"/>
  <sheetViews>
    <sheetView showZeros="0" topLeftCell="B1" workbookViewId="0">
      <selection activeCell="B13" sqref="B13:O13"/>
    </sheetView>
  </sheetViews>
  <sheetFormatPr defaultColWidth="9.21875" defaultRowHeight="13.8"/>
  <cols>
    <col min="1" max="1" width="9.21875" style="146" hidden="1" customWidth="1"/>
    <col min="2" max="2" width="9.44140625" style="146" customWidth="1"/>
    <col min="3" max="11" width="10.44140625" style="146" customWidth="1"/>
    <col min="12" max="12" width="9.44140625" style="146" customWidth="1"/>
    <col min="13" max="15" width="9" style="146" customWidth="1"/>
    <col min="16" max="16384" width="9.21875" style="146"/>
  </cols>
  <sheetData>
    <row r="1" spans="1:15" ht="15.6">
      <c r="J1" s="1014" t="s">
        <v>0</v>
      </c>
      <c r="K1" s="1014"/>
      <c r="L1" s="1014"/>
      <c r="M1" s="1014"/>
      <c r="N1" s="1014"/>
      <c r="O1" s="1014"/>
    </row>
    <row r="2" spans="1:15" ht="16.8">
      <c r="B2" s="937"/>
      <c r="C2" s="937"/>
      <c r="D2" s="937"/>
      <c r="E2" s="937"/>
      <c r="F2" s="937"/>
      <c r="J2" s="1015" t="s">
        <v>1085</v>
      </c>
      <c r="K2" s="1015"/>
      <c r="L2" s="1015"/>
      <c r="M2" s="1015"/>
      <c r="N2" s="1015"/>
      <c r="O2" s="1015"/>
    </row>
    <row r="3" spans="1:15" ht="16.8">
      <c r="J3" s="1016" t="s">
        <v>1086</v>
      </c>
      <c r="K3" s="1017"/>
      <c r="L3" s="1017"/>
      <c r="M3" s="1017"/>
      <c r="N3" s="1017"/>
      <c r="O3" s="1017"/>
    </row>
    <row r="7" spans="1:15" ht="17.399999999999999">
      <c r="B7" s="935" t="s">
        <v>1087</v>
      </c>
      <c r="C7" s="935"/>
      <c r="D7" s="935"/>
      <c r="E7" s="935"/>
      <c r="F7" s="935"/>
      <c r="G7" s="935"/>
      <c r="H7" s="935"/>
      <c r="I7" s="935"/>
      <c r="J7" s="935"/>
      <c r="K7" s="935"/>
      <c r="L7" s="935"/>
      <c r="M7" s="935"/>
      <c r="N7" s="935"/>
      <c r="O7" s="935"/>
    </row>
    <row r="8" spans="1:15">
      <c r="B8" s="937" t="s">
        <v>762</v>
      </c>
      <c r="C8" s="937"/>
      <c r="D8" s="937"/>
      <c r="E8" s="937"/>
      <c r="F8" s="937"/>
      <c r="G8" s="937"/>
      <c r="H8" s="937"/>
      <c r="I8" s="937"/>
      <c r="J8" s="937"/>
      <c r="K8" s="937"/>
      <c r="L8" s="937"/>
      <c r="M8" s="937"/>
      <c r="N8" s="937"/>
      <c r="O8" s="937"/>
    </row>
    <row r="9" spans="1:15">
      <c r="B9" s="968" t="s">
        <v>4</v>
      </c>
      <c r="C9" s="968"/>
      <c r="D9" s="968"/>
      <c r="E9" s="968"/>
      <c r="F9" s="968"/>
      <c r="G9" s="968"/>
      <c r="H9" s="968"/>
      <c r="I9" s="968"/>
      <c r="J9" s="968"/>
      <c r="K9" s="968"/>
      <c r="L9" s="968"/>
      <c r="M9" s="968"/>
      <c r="N9" s="968"/>
      <c r="O9" s="968"/>
    </row>
    <row r="10" spans="1:15" ht="18" customHeight="1">
      <c r="B10" s="152" t="s">
        <v>5</v>
      </c>
      <c r="C10" s="939" t="s">
        <v>1088</v>
      </c>
      <c r="D10" s="939"/>
      <c r="E10" s="939"/>
      <c r="F10" s="939"/>
      <c r="G10" s="939"/>
      <c r="H10" s="939"/>
      <c r="I10" s="939"/>
      <c r="J10" s="939" t="s">
        <v>1089</v>
      </c>
      <c r="K10" s="939"/>
      <c r="L10" s="939"/>
      <c r="M10" s="939" t="s">
        <v>698</v>
      </c>
      <c r="N10" s="939"/>
      <c r="O10" s="939"/>
    </row>
    <row r="11" spans="1:15">
      <c r="A11" s="222"/>
      <c r="B11" s="223">
        <v>1</v>
      </c>
      <c r="C11" s="1010" t="s">
        <v>1090</v>
      </c>
      <c r="D11" s="1010"/>
      <c r="E11" s="1010"/>
      <c r="F11" s="1010"/>
      <c r="G11" s="1010"/>
      <c r="H11" s="1010"/>
      <c r="I11" s="1010"/>
      <c r="J11" s="1011">
        <f>'8.ĐGTH'!H134</f>
        <v>14893602598.644045</v>
      </c>
      <c r="K11" s="1010"/>
      <c r="L11" s="1010"/>
      <c r="M11" s="1010"/>
      <c r="N11" s="1010"/>
      <c r="O11" s="1010"/>
    </row>
    <row r="12" spans="1:15">
      <c r="A12" s="225"/>
      <c r="B12" s="226"/>
      <c r="C12" s="1012" t="s">
        <v>85</v>
      </c>
      <c r="D12" s="1012"/>
      <c r="E12" s="1012"/>
      <c r="F12" s="1012"/>
      <c r="G12" s="1012"/>
      <c r="H12" s="1012"/>
      <c r="I12" s="1012"/>
      <c r="J12" s="1013">
        <f>SUM(J11:L11)</f>
        <v>14893602598.644045</v>
      </c>
      <c r="K12" s="1012"/>
      <c r="L12" s="1012"/>
      <c r="M12" s="1012"/>
      <c r="N12" s="1012"/>
      <c r="O12" s="1012"/>
    </row>
    <row r="13" spans="1:15">
      <c r="B13" s="1009" t="s">
        <v>1091</v>
      </c>
      <c r="C13" s="1009" t="s">
        <v>1091</v>
      </c>
      <c r="D13" s="1009" t="s">
        <v>1091</v>
      </c>
      <c r="E13" s="1009" t="s">
        <v>1091</v>
      </c>
      <c r="F13" s="1009" t="s">
        <v>1091</v>
      </c>
      <c r="G13" s="1009" t="s">
        <v>1091</v>
      </c>
      <c r="H13" s="1009" t="s">
        <v>1091</v>
      </c>
      <c r="I13" s="1009" t="s">
        <v>1091</v>
      </c>
      <c r="J13" s="1009" t="s">
        <v>1091</v>
      </c>
      <c r="K13" s="1009" t="s">
        <v>1091</v>
      </c>
      <c r="L13" s="1009" t="s">
        <v>1091</v>
      </c>
      <c r="M13" s="1009" t="s">
        <v>1091</v>
      </c>
      <c r="N13" s="1009" t="s">
        <v>1091</v>
      </c>
      <c r="O13" s="1009" t="s">
        <v>1091</v>
      </c>
    </row>
  </sheetData>
  <mergeCells count="17">
    <mergeCell ref="J1:O1"/>
    <mergeCell ref="B2:F2"/>
    <mergeCell ref="J2:O2"/>
    <mergeCell ref="J3:O3"/>
    <mergeCell ref="B7:O7"/>
    <mergeCell ref="B8:O8"/>
    <mergeCell ref="B9:O9"/>
    <mergeCell ref="C10:I10"/>
    <mergeCell ref="J10:L10"/>
    <mergeCell ref="M10:O10"/>
    <mergeCell ref="B13:O13"/>
    <mergeCell ref="C11:I11"/>
    <mergeCell ref="J11:L11"/>
    <mergeCell ref="M11:O11"/>
    <mergeCell ref="C12:I12"/>
    <mergeCell ref="J12:L12"/>
    <mergeCell ref="M12:O12"/>
  </mergeCells>
  <pageMargins left="0.6" right="0.6" top="0.79" bottom="0.79" header="0.3" footer="0.3"/>
  <pageSetup paperSize="9" scale="95" orientation="landscape" useFirstPageNumber="1"/>
  <headerFooter>
    <oddFooter>&amp;CTrang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26"/>
  </sheetPr>
  <dimension ref="A1:W13"/>
  <sheetViews>
    <sheetView showZeros="0" topLeftCell="B1" workbookViewId="0">
      <selection activeCell="B13" sqref="B13:H13"/>
    </sheetView>
  </sheetViews>
  <sheetFormatPr defaultColWidth="9.21875" defaultRowHeight="13.8"/>
  <cols>
    <col min="1" max="1" width="2.44140625" style="146" hidden="1" customWidth="1"/>
    <col min="2" max="2" width="6.44140625" style="146" customWidth="1"/>
    <col min="3" max="3" width="44" style="146" customWidth="1"/>
    <col min="4" max="4" width="16" style="146" customWidth="1"/>
    <col min="5" max="5" width="12.44140625" style="146" customWidth="1"/>
    <col min="6" max="6" width="14.44140625" style="146" customWidth="1"/>
    <col min="7" max="7" width="13.44140625" style="146" customWidth="1"/>
    <col min="8" max="8" width="14.77734375" style="146" customWidth="1"/>
    <col min="9" max="16384" width="9.21875" style="146"/>
  </cols>
  <sheetData>
    <row r="1" spans="1:23">
      <c r="F1" s="937" t="s">
        <v>0</v>
      </c>
      <c r="G1" s="937"/>
      <c r="H1" s="937"/>
      <c r="I1" s="168"/>
      <c r="J1" s="168"/>
      <c r="K1" s="168"/>
      <c r="L1" s="168"/>
      <c r="M1" s="168"/>
      <c r="N1" s="168"/>
      <c r="O1" s="168"/>
      <c r="P1" s="168"/>
      <c r="Q1" s="168"/>
      <c r="R1" s="168"/>
      <c r="S1" s="168"/>
      <c r="T1" s="168"/>
      <c r="U1" s="168"/>
      <c r="V1" s="168"/>
      <c r="W1" s="168"/>
    </row>
    <row r="2" spans="1:23" ht="16.5" customHeight="1">
      <c r="B2" s="937"/>
      <c r="C2" s="937"/>
      <c r="D2" s="149"/>
      <c r="E2" s="149"/>
      <c r="F2" s="937" t="s">
        <v>1085</v>
      </c>
      <c r="G2" s="937"/>
      <c r="H2" s="937"/>
      <c r="I2" s="168"/>
      <c r="J2" s="168"/>
      <c r="K2" s="168"/>
      <c r="L2" s="168"/>
      <c r="M2" s="168"/>
      <c r="N2" s="168"/>
      <c r="O2" s="168"/>
      <c r="P2" s="168"/>
      <c r="Q2" s="168"/>
      <c r="R2" s="168"/>
      <c r="S2" s="168"/>
      <c r="T2" s="168"/>
      <c r="U2" s="168"/>
      <c r="V2" s="168"/>
      <c r="W2" s="168"/>
    </row>
    <row r="3" spans="1:23" ht="16.5" customHeight="1">
      <c r="F3" s="1018" t="s">
        <v>1086</v>
      </c>
      <c r="G3" s="1019"/>
      <c r="H3" s="1019"/>
      <c r="I3" s="168"/>
      <c r="J3" s="168"/>
      <c r="K3" s="168"/>
      <c r="L3" s="168"/>
      <c r="M3" s="168"/>
      <c r="N3" s="168"/>
      <c r="O3" s="168"/>
      <c r="P3" s="168"/>
      <c r="Q3" s="168"/>
      <c r="R3" s="168"/>
      <c r="S3" s="168"/>
      <c r="T3" s="168"/>
      <c r="U3" s="168"/>
      <c r="V3" s="168"/>
      <c r="W3" s="168"/>
    </row>
    <row r="4" spans="1:23">
      <c r="I4" s="168"/>
      <c r="J4" s="168"/>
      <c r="K4" s="168"/>
      <c r="L4" s="168"/>
      <c r="M4" s="168"/>
      <c r="N4" s="168"/>
      <c r="O4" s="168"/>
      <c r="P4" s="168"/>
      <c r="Q4" s="168"/>
      <c r="R4" s="168"/>
      <c r="S4" s="168"/>
      <c r="T4" s="168"/>
      <c r="U4" s="168"/>
      <c r="V4" s="168"/>
      <c r="W4" s="168"/>
    </row>
    <row r="7" spans="1:23" ht="17.399999999999999">
      <c r="B7" s="935" t="s">
        <v>1092</v>
      </c>
      <c r="C7" s="935"/>
      <c r="D7" s="935"/>
      <c r="E7" s="935"/>
      <c r="F7" s="935"/>
      <c r="G7" s="935"/>
      <c r="H7" s="935"/>
    </row>
    <row r="8" spans="1:23">
      <c r="B8" s="937" t="s">
        <v>762</v>
      </c>
      <c r="C8" s="937"/>
      <c r="D8" s="937"/>
      <c r="E8" s="937"/>
      <c r="F8" s="937"/>
      <c r="G8" s="937"/>
      <c r="H8" s="937"/>
    </row>
    <row r="9" spans="1:23">
      <c r="B9" s="975" t="s">
        <v>4</v>
      </c>
      <c r="C9" s="975"/>
      <c r="D9" s="975"/>
      <c r="E9" s="975"/>
      <c r="F9" s="975"/>
      <c r="G9" s="975"/>
      <c r="H9" s="975"/>
    </row>
    <row r="10" spans="1:23" ht="41.4">
      <c r="B10" s="74" t="s">
        <v>5</v>
      </c>
      <c r="C10" s="74" t="s">
        <v>1088</v>
      </c>
      <c r="D10" s="74" t="s">
        <v>287</v>
      </c>
      <c r="E10" s="74" t="s">
        <v>1093</v>
      </c>
      <c r="F10" s="74" t="s">
        <v>293</v>
      </c>
      <c r="G10" s="74" t="s">
        <v>1094</v>
      </c>
      <c r="H10" s="74" t="s">
        <v>1095</v>
      </c>
    </row>
    <row r="11" spans="1:23">
      <c r="A11" s="222"/>
      <c r="B11" s="223">
        <v>1</v>
      </c>
      <c r="C11" s="222" t="s">
        <v>1090</v>
      </c>
      <c r="D11" s="224">
        <f>'4.THKPHM'!F21</f>
        <v>1907751475.0566025</v>
      </c>
      <c r="E11" s="224">
        <f>D11*'Thông tin'!E61</f>
        <v>190775147.50566027</v>
      </c>
      <c r="F11" s="224">
        <f>D11+E11</f>
        <v>2098526622.5622628</v>
      </c>
      <c r="G11" s="224">
        <v>0</v>
      </c>
      <c r="H11" s="224">
        <f>F11+G11</f>
        <v>2098526622.5622628</v>
      </c>
    </row>
    <row r="12" spans="1:23">
      <c r="A12" s="225"/>
      <c r="B12" s="226"/>
      <c r="C12" s="225" t="s">
        <v>85</v>
      </c>
      <c r="D12" s="227">
        <f t="shared" ref="D12:H12" si="0">SUM(D11:D11)</f>
        <v>1907751475.0566025</v>
      </c>
      <c r="E12" s="227">
        <f t="shared" si="0"/>
        <v>190775147.50566027</v>
      </c>
      <c r="F12" s="227">
        <f t="shared" si="0"/>
        <v>2098526622.5622628</v>
      </c>
      <c r="G12" s="227">
        <f t="shared" si="0"/>
        <v>0</v>
      </c>
      <c r="H12" s="227">
        <f t="shared" si="0"/>
        <v>2098526622.5622628</v>
      </c>
    </row>
    <row r="13" spans="1:23">
      <c r="B13" s="1009" t="s">
        <v>318</v>
      </c>
      <c r="C13" s="1009" t="s">
        <v>318</v>
      </c>
      <c r="D13" s="1009" t="s">
        <v>318</v>
      </c>
      <c r="E13" s="1009" t="s">
        <v>318</v>
      </c>
      <c r="F13" s="1009" t="s">
        <v>318</v>
      </c>
      <c r="G13" s="1009" t="s">
        <v>318</v>
      </c>
      <c r="H13" s="1009" t="s">
        <v>318</v>
      </c>
    </row>
  </sheetData>
  <mergeCells count="8">
    <mergeCell ref="B8:H8"/>
    <mergeCell ref="B9:H9"/>
    <mergeCell ref="B13:H13"/>
    <mergeCell ref="F1:H1"/>
    <mergeCell ref="B2:C2"/>
    <mergeCell ref="F2:H2"/>
    <mergeCell ref="F3:H3"/>
    <mergeCell ref="B7:H7"/>
  </mergeCells>
  <pageMargins left="1.18" right="0.59" top="0.79" bottom="0.79" header="0.3" footer="0.3"/>
  <pageSetup scale="90" orientation="landscape"/>
  <headerFooter>
    <oddFooter>&amp;LDự toán Eta 2012&amp;CTrang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5000"/>
  <sheetViews>
    <sheetView showGridLines="0" showZeros="0" topLeftCell="B1" workbookViewId="0">
      <selection activeCell="F16" sqref="F16"/>
    </sheetView>
  </sheetViews>
  <sheetFormatPr defaultColWidth="9.21875" defaultRowHeight="13.8"/>
  <cols>
    <col min="1" max="1" width="7.77734375" style="146" hidden="1" customWidth="1"/>
    <col min="2" max="2" width="6.21875" style="146" customWidth="1"/>
    <col min="3" max="3" width="45.44140625" style="146" customWidth="1"/>
    <col min="4" max="4" width="8.21875" style="146" customWidth="1"/>
    <col min="5" max="5" width="9.77734375" style="146" customWidth="1"/>
    <col min="6" max="6" width="12" style="146" customWidth="1"/>
    <col min="7" max="7" width="11.44140625" style="146" customWidth="1"/>
    <col min="8" max="8" width="9.77734375" style="146" customWidth="1"/>
    <col min="9" max="9" width="12" style="146" customWidth="1"/>
    <col min="10" max="10" width="11.44140625" style="146" customWidth="1"/>
    <col min="11" max="11" width="9.77734375" style="146" customWidth="1"/>
    <col min="12" max="16384" width="9.21875" style="146"/>
  </cols>
  <sheetData>
    <row r="1" spans="1:11">
      <c r="F1" s="149"/>
      <c r="G1" s="937" t="s">
        <v>0</v>
      </c>
      <c r="H1" s="937"/>
      <c r="I1" s="937"/>
      <c r="J1" s="937"/>
      <c r="K1" s="149"/>
    </row>
    <row r="2" spans="1:11">
      <c r="B2" s="937"/>
      <c r="C2" s="937"/>
      <c r="D2" s="149"/>
      <c r="E2" s="149"/>
      <c r="F2" s="149"/>
      <c r="G2" s="937" t="s">
        <v>1085</v>
      </c>
      <c r="H2" s="937"/>
      <c r="I2" s="937"/>
      <c r="J2" s="937"/>
      <c r="K2" s="149"/>
    </row>
    <row r="3" spans="1:11">
      <c r="F3" s="168"/>
      <c r="G3" s="1018" t="s">
        <v>1086</v>
      </c>
      <c r="H3" s="1019"/>
      <c r="I3" s="1019"/>
      <c r="J3" s="1019"/>
      <c r="K3" s="168"/>
    </row>
    <row r="7" spans="1:11" ht="17.399999999999999">
      <c r="B7" s="935" t="s">
        <v>1096</v>
      </c>
      <c r="C7" s="935"/>
      <c r="D7" s="935"/>
      <c r="E7" s="935"/>
      <c r="F7" s="935"/>
      <c r="G7" s="935"/>
      <c r="H7" s="935"/>
      <c r="I7" s="935"/>
      <c r="J7" s="935"/>
      <c r="K7" s="935"/>
    </row>
    <row r="8" spans="1:11">
      <c r="B8" s="937" t="str">
        <f>"CÔNG TRÌNH: "&amp;'Thông tin'!E5</f>
        <v>CÔNG TRÌNH: NÂNG CẤP, CẢI TẠO TUYẾN ĐƯỜNG HUYỆN ĐH.93_x000D_
TỪ KM13+200 ĐẾN KM16+200, HUYỆN HỮU LŨNG</v>
      </c>
      <c r="C8" s="937"/>
      <c r="D8" s="937"/>
      <c r="E8" s="937"/>
      <c r="F8" s="937"/>
      <c r="G8" s="937"/>
      <c r="H8" s="937"/>
      <c r="I8" s="937"/>
      <c r="J8" s="937"/>
      <c r="K8" s="937"/>
    </row>
    <row r="9" spans="1:11">
      <c r="B9" s="975" t="s">
        <v>4</v>
      </c>
      <c r="C9" s="975"/>
      <c r="D9" s="975"/>
      <c r="E9" s="975"/>
      <c r="F9" s="975"/>
      <c r="G9" s="975"/>
      <c r="H9" s="975"/>
      <c r="I9" s="975"/>
      <c r="J9" s="975"/>
      <c r="K9" s="975"/>
    </row>
    <row r="10" spans="1:11">
      <c r="B10" s="969" t="s">
        <v>5</v>
      </c>
      <c r="C10" s="969" t="s">
        <v>1097</v>
      </c>
      <c r="D10" s="969" t="s">
        <v>594</v>
      </c>
      <c r="E10" s="969" t="s">
        <v>1098</v>
      </c>
      <c r="F10" s="939" t="s">
        <v>326</v>
      </c>
      <c r="G10" s="939"/>
      <c r="H10" s="939"/>
      <c r="I10" s="934" t="s">
        <v>261</v>
      </c>
      <c r="J10" s="934"/>
      <c r="K10" s="934"/>
    </row>
    <row r="11" spans="1:11">
      <c r="B11" s="971"/>
      <c r="C11" s="971"/>
      <c r="D11" s="971"/>
      <c r="E11" s="971"/>
      <c r="F11" s="205" t="s">
        <v>783</v>
      </c>
      <c r="G11" s="205" t="s">
        <v>1099</v>
      </c>
      <c r="H11" s="205" t="s">
        <v>782</v>
      </c>
      <c r="I11" s="205" t="s">
        <v>783</v>
      </c>
      <c r="J11" s="205" t="s">
        <v>1099</v>
      </c>
      <c r="K11" s="205" t="s">
        <v>782</v>
      </c>
    </row>
    <row r="12" spans="1:11">
      <c r="A12" s="206"/>
      <c r="B12" s="84"/>
      <c r="C12" s="207" t="s">
        <v>590</v>
      </c>
      <c r="D12" s="84"/>
      <c r="E12" s="208"/>
      <c r="F12" s="209"/>
      <c r="G12" s="209"/>
      <c r="H12" s="209"/>
      <c r="I12" s="209"/>
      <c r="J12" s="209"/>
      <c r="K12" s="209"/>
    </row>
    <row r="13" spans="1:11">
      <c r="A13" s="210"/>
      <c r="B13" s="92"/>
      <c r="C13" s="211" t="s">
        <v>590</v>
      </c>
      <c r="D13" s="92"/>
      <c r="E13" s="212"/>
      <c r="F13" s="213"/>
      <c r="G13" s="213"/>
      <c r="H13" s="213"/>
      <c r="I13" s="213"/>
      <c r="J13" s="213"/>
      <c r="K13" s="213"/>
    </row>
    <row r="14" spans="1:11">
      <c r="A14" s="210"/>
      <c r="B14" s="92"/>
      <c r="C14" s="211" t="s">
        <v>590</v>
      </c>
      <c r="D14" s="92"/>
      <c r="E14" s="212"/>
      <c r="F14" s="213"/>
      <c r="G14" s="213"/>
      <c r="H14" s="213"/>
      <c r="I14" s="213"/>
      <c r="J14" s="213"/>
      <c r="K14" s="213"/>
    </row>
    <row r="15" spans="1:11">
      <c r="A15" s="210"/>
      <c r="B15" s="92"/>
      <c r="C15" s="211" t="s">
        <v>590</v>
      </c>
      <c r="D15" s="92"/>
      <c r="E15" s="212"/>
      <c r="F15" s="213"/>
      <c r="G15" s="213"/>
      <c r="H15" s="213"/>
      <c r="I15" s="213"/>
      <c r="J15" s="213"/>
      <c r="K15" s="213"/>
    </row>
    <row r="16" spans="1:11">
      <c r="A16" s="214"/>
      <c r="B16" s="96"/>
      <c r="C16" s="215" t="s">
        <v>590</v>
      </c>
      <c r="D16" s="96"/>
      <c r="E16" s="216"/>
      <c r="F16" s="217"/>
      <c r="G16" s="217"/>
      <c r="H16" s="217"/>
      <c r="I16" s="217"/>
      <c r="J16" s="217"/>
      <c r="K16" s="217"/>
    </row>
    <row r="17" spans="1:11">
      <c r="A17" s="1021" t="s">
        <v>85</v>
      </c>
      <c r="B17" s="1022" t="s">
        <v>85</v>
      </c>
      <c r="C17" s="1021" t="s">
        <v>85</v>
      </c>
      <c r="D17" s="1022" t="s">
        <v>85</v>
      </c>
      <c r="E17" s="1023" t="s">
        <v>85</v>
      </c>
      <c r="F17" s="1024" t="s">
        <v>85</v>
      </c>
      <c r="G17" s="1024" t="s">
        <v>85</v>
      </c>
      <c r="H17" s="1024" t="s">
        <v>85</v>
      </c>
      <c r="I17" s="218">
        <f>SUMIF(D12:D16,"&lt;&gt;",I12:I16)</f>
        <v>0</v>
      </c>
      <c r="J17" s="218">
        <f>SUMIF(D12:D16,"&lt;&gt;",J12:J16)</f>
        <v>0</v>
      </c>
      <c r="K17" s="218">
        <f>SUMIF(D12:D16,"&lt;&gt;",K12:K16)</f>
        <v>0</v>
      </c>
    </row>
    <row r="18" spans="1:11">
      <c r="A18" s="219"/>
      <c r="B18" s="1020" t="s">
        <v>1100</v>
      </c>
      <c r="C18" s="1020" t="s">
        <v>1100</v>
      </c>
      <c r="D18" s="1020" t="s">
        <v>1100</v>
      </c>
      <c r="E18" s="1020" t="s">
        <v>1100</v>
      </c>
      <c r="F18" s="1020" t="s">
        <v>1100</v>
      </c>
      <c r="G18" s="1020" t="s">
        <v>1100</v>
      </c>
      <c r="H18" s="1020" t="s">
        <v>1100</v>
      </c>
      <c r="I18" s="1020" t="s">
        <v>1100</v>
      </c>
      <c r="J18" s="1020" t="s">
        <v>1100</v>
      </c>
      <c r="K18" s="1020" t="s">
        <v>1100</v>
      </c>
    </row>
    <row r="19" spans="1:11">
      <c r="A19" s="219"/>
      <c r="B19" s="219"/>
      <c r="C19" s="220"/>
      <c r="D19" s="219"/>
      <c r="E19" s="219"/>
      <c r="F19" s="219"/>
      <c r="G19" s="219"/>
      <c r="H19" s="219"/>
      <c r="I19" s="219"/>
      <c r="J19" s="219"/>
      <c r="K19" s="219"/>
    </row>
    <row r="20" spans="1:11">
      <c r="A20" s="219"/>
      <c r="B20" s="219"/>
      <c r="C20" s="112" t="s">
        <v>296</v>
      </c>
      <c r="D20" s="219"/>
      <c r="E20" s="219"/>
      <c r="F20" s="219"/>
      <c r="G20" s="219"/>
      <c r="H20" s="903" t="s">
        <v>1101</v>
      </c>
      <c r="I20" s="903" t="s">
        <v>1101</v>
      </c>
      <c r="J20" s="903" t="s">
        <v>1101</v>
      </c>
      <c r="K20" s="903" t="s">
        <v>1101</v>
      </c>
    </row>
    <row r="21" spans="1:11">
      <c r="A21" s="219"/>
      <c r="B21" s="219"/>
      <c r="C21" s="220"/>
      <c r="D21" s="219"/>
      <c r="E21" s="219"/>
      <c r="F21" s="219"/>
      <c r="G21" s="219"/>
      <c r="H21" s="901" t="s">
        <v>1102</v>
      </c>
      <c r="I21" s="901" t="s">
        <v>1102</v>
      </c>
      <c r="J21" s="901" t="s">
        <v>1102</v>
      </c>
      <c r="K21" s="901" t="s">
        <v>1102</v>
      </c>
    </row>
    <row r="22" spans="1:11">
      <c r="A22" s="219"/>
      <c r="B22" s="219"/>
      <c r="C22" s="220"/>
      <c r="D22" s="219"/>
      <c r="E22" s="219"/>
      <c r="F22" s="219"/>
      <c r="G22" s="219"/>
      <c r="H22" s="219"/>
      <c r="I22" s="219"/>
      <c r="J22" s="219"/>
      <c r="K22" s="219"/>
    </row>
    <row r="23" spans="1:11">
      <c r="C23" s="221"/>
    </row>
    <row r="24" spans="1:11">
      <c r="C24" s="221"/>
    </row>
    <row r="25" spans="1:11">
      <c r="C25" s="221"/>
    </row>
    <row r="26" spans="1:11">
      <c r="C26" s="221"/>
    </row>
    <row r="27" spans="1:11">
      <c r="C27" s="221"/>
    </row>
    <row r="28" spans="1:11">
      <c r="C28" s="221"/>
    </row>
    <row r="29" spans="1:11">
      <c r="C29" s="221"/>
    </row>
    <row r="30" spans="1:11">
      <c r="C30" s="221"/>
    </row>
    <row r="31" spans="1:11">
      <c r="C31" s="221"/>
    </row>
    <row r="32" spans="1:11">
      <c r="C32" s="221"/>
    </row>
    <row r="33" spans="3:3">
      <c r="C33" s="221"/>
    </row>
    <row r="34" spans="3:3">
      <c r="C34" s="221"/>
    </row>
    <row r="35" spans="3:3">
      <c r="C35" s="221"/>
    </row>
    <row r="36" spans="3:3">
      <c r="C36" s="221"/>
    </row>
    <row r="37" spans="3:3">
      <c r="C37" s="221"/>
    </row>
    <row r="38" spans="3:3">
      <c r="C38" s="221"/>
    </row>
    <row r="39" spans="3:3">
      <c r="C39" s="221"/>
    </row>
    <row r="40" spans="3:3">
      <c r="C40" s="221"/>
    </row>
    <row r="41" spans="3:3">
      <c r="C41" s="221"/>
    </row>
    <row r="42" spans="3:3">
      <c r="C42" s="221"/>
    </row>
    <row r="43" spans="3:3">
      <c r="C43" s="221"/>
    </row>
    <row r="44" spans="3:3">
      <c r="C44" s="221"/>
    </row>
    <row r="45" spans="3:3">
      <c r="C45" s="221"/>
    </row>
    <row r="46" spans="3:3">
      <c r="C46" s="221"/>
    </row>
    <row r="47" spans="3:3">
      <c r="C47" s="221"/>
    </row>
    <row r="48" spans="3:3">
      <c r="C48" s="221"/>
    </row>
    <row r="49" spans="3:3">
      <c r="C49" s="221"/>
    </row>
    <row r="50" spans="3:3">
      <c r="C50" s="221"/>
    </row>
    <row r="51" spans="3:3">
      <c r="C51" s="221"/>
    </row>
    <row r="52" spans="3:3">
      <c r="C52" s="221"/>
    </row>
    <row r="53" spans="3:3">
      <c r="C53" s="221"/>
    </row>
    <row r="54" spans="3:3">
      <c r="C54" s="221"/>
    </row>
    <row r="55" spans="3:3">
      <c r="C55" s="221"/>
    </row>
    <row r="56" spans="3:3">
      <c r="C56" s="221"/>
    </row>
    <row r="57" spans="3:3">
      <c r="C57" s="221"/>
    </row>
    <row r="58" spans="3:3">
      <c r="C58" s="221"/>
    </row>
    <row r="59" spans="3:3">
      <c r="C59" s="221"/>
    </row>
    <row r="60" spans="3:3">
      <c r="C60" s="221"/>
    </row>
    <row r="61" spans="3:3">
      <c r="C61" s="221"/>
    </row>
    <row r="62" spans="3:3">
      <c r="C62" s="221"/>
    </row>
    <row r="63" spans="3:3">
      <c r="C63" s="221"/>
    </row>
    <row r="64" spans="3:3">
      <c r="C64" s="221"/>
    </row>
    <row r="65" spans="3:3">
      <c r="C65" s="221"/>
    </row>
    <row r="66" spans="3:3">
      <c r="C66" s="221"/>
    </row>
    <row r="67" spans="3:3">
      <c r="C67" s="221"/>
    </row>
    <row r="68" spans="3:3">
      <c r="C68" s="221"/>
    </row>
    <row r="69" spans="3:3">
      <c r="C69" s="221"/>
    </row>
    <row r="70" spans="3:3">
      <c r="C70" s="221"/>
    </row>
    <row r="71" spans="3:3">
      <c r="C71" s="221"/>
    </row>
    <row r="72" spans="3:3">
      <c r="C72" s="221"/>
    </row>
    <row r="73" spans="3:3">
      <c r="C73" s="221"/>
    </row>
    <row r="74" spans="3:3">
      <c r="C74" s="221"/>
    </row>
    <row r="75" spans="3:3">
      <c r="C75" s="221"/>
    </row>
    <row r="76" spans="3:3">
      <c r="C76" s="221"/>
    </row>
    <row r="77" spans="3:3">
      <c r="C77" s="221"/>
    </row>
    <row r="78" spans="3:3">
      <c r="C78" s="221"/>
    </row>
    <row r="79" spans="3:3">
      <c r="C79" s="221"/>
    </row>
    <row r="80" spans="3:3">
      <c r="C80" s="221"/>
    </row>
    <row r="81" spans="3:3">
      <c r="C81" s="221"/>
    </row>
    <row r="82" spans="3:3">
      <c r="C82" s="221"/>
    </row>
    <row r="83" spans="3:3">
      <c r="C83" s="221"/>
    </row>
    <row r="84" spans="3:3">
      <c r="C84" s="221"/>
    </row>
    <row r="85" spans="3:3">
      <c r="C85" s="221"/>
    </row>
    <row r="86" spans="3:3">
      <c r="C86" s="221"/>
    </row>
    <row r="87" spans="3:3">
      <c r="C87" s="221"/>
    </row>
    <row r="88" spans="3:3">
      <c r="C88" s="221"/>
    </row>
    <row r="89" spans="3:3">
      <c r="C89" s="221"/>
    </row>
    <row r="90" spans="3:3">
      <c r="C90" s="221"/>
    </row>
    <row r="91" spans="3:3">
      <c r="C91" s="221"/>
    </row>
    <row r="92" spans="3:3">
      <c r="C92" s="221"/>
    </row>
    <row r="93" spans="3:3">
      <c r="C93" s="221"/>
    </row>
    <row r="94" spans="3:3">
      <c r="C94" s="221"/>
    </row>
    <row r="95" spans="3:3">
      <c r="C95" s="221"/>
    </row>
    <row r="96" spans="3:3">
      <c r="C96" s="221"/>
    </row>
    <row r="97" spans="3:3">
      <c r="C97" s="221"/>
    </row>
    <row r="98" spans="3:3">
      <c r="C98" s="221"/>
    </row>
    <row r="99" spans="3:3">
      <c r="C99" s="221"/>
    </row>
    <row r="100" spans="3:3">
      <c r="C100" s="221"/>
    </row>
    <row r="101" spans="3:3">
      <c r="C101" s="221"/>
    </row>
    <row r="102" spans="3:3">
      <c r="C102" s="221"/>
    </row>
    <row r="103" spans="3:3">
      <c r="C103" s="221"/>
    </row>
    <row r="104" spans="3:3">
      <c r="C104" s="221"/>
    </row>
    <row r="105" spans="3:3">
      <c r="C105" s="221"/>
    </row>
    <row r="106" spans="3:3">
      <c r="C106" s="221"/>
    </row>
    <row r="107" spans="3:3">
      <c r="C107" s="221"/>
    </row>
    <row r="108" spans="3:3">
      <c r="C108" s="221"/>
    </row>
    <row r="109" spans="3:3">
      <c r="C109" s="221"/>
    </row>
    <row r="110" spans="3:3">
      <c r="C110" s="221"/>
    </row>
    <row r="111" spans="3:3">
      <c r="C111" s="221"/>
    </row>
    <row r="112" spans="3:3">
      <c r="C112" s="221"/>
    </row>
    <row r="113" spans="3:3">
      <c r="C113" s="221"/>
    </row>
    <row r="114" spans="3:3">
      <c r="C114" s="221"/>
    </row>
    <row r="115" spans="3:3">
      <c r="C115" s="221"/>
    </row>
    <row r="116" spans="3:3">
      <c r="C116" s="221"/>
    </row>
    <row r="117" spans="3:3">
      <c r="C117" s="221"/>
    </row>
    <row r="118" spans="3:3">
      <c r="C118" s="221"/>
    </row>
    <row r="119" spans="3:3">
      <c r="C119" s="221"/>
    </row>
    <row r="120" spans="3:3">
      <c r="C120" s="221"/>
    </row>
    <row r="121" spans="3:3">
      <c r="C121" s="221"/>
    </row>
    <row r="122" spans="3:3">
      <c r="C122" s="221"/>
    </row>
    <row r="123" spans="3:3">
      <c r="C123" s="221"/>
    </row>
    <row r="124" spans="3:3">
      <c r="C124" s="221"/>
    </row>
    <row r="125" spans="3:3">
      <c r="C125" s="221"/>
    </row>
    <row r="126" spans="3:3">
      <c r="C126" s="221"/>
    </row>
    <row r="127" spans="3:3">
      <c r="C127" s="221"/>
    </row>
    <row r="128" spans="3:3">
      <c r="C128" s="221"/>
    </row>
    <row r="129" spans="3:3">
      <c r="C129" s="221"/>
    </row>
    <row r="130" spans="3:3">
      <c r="C130" s="221"/>
    </row>
    <row r="131" spans="3:3">
      <c r="C131" s="221"/>
    </row>
    <row r="132" spans="3:3">
      <c r="C132" s="221"/>
    </row>
    <row r="133" spans="3:3">
      <c r="C133" s="221"/>
    </row>
    <row r="134" spans="3:3">
      <c r="C134" s="221"/>
    </row>
    <row r="135" spans="3:3">
      <c r="C135" s="221"/>
    </row>
    <row r="136" spans="3:3">
      <c r="C136" s="221"/>
    </row>
    <row r="137" spans="3:3">
      <c r="C137" s="221"/>
    </row>
    <row r="138" spans="3:3">
      <c r="C138" s="221"/>
    </row>
    <row r="139" spans="3:3">
      <c r="C139" s="221"/>
    </row>
    <row r="140" spans="3:3">
      <c r="C140" s="221"/>
    </row>
    <row r="141" spans="3:3">
      <c r="C141" s="221"/>
    </row>
    <row r="142" spans="3:3">
      <c r="C142" s="221"/>
    </row>
    <row r="143" spans="3:3">
      <c r="C143" s="221"/>
    </row>
    <row r="144" spans="3:3">
      <c r="C144" s="221"/>
    </row>
    <row r="145" spans="3:3">
      <c r="C145" s="221"/>
    </row>
    <row r="146" spans="3:3">
      <c r="C146" s="221"/>
    </row>
    <row r="147" spans="3:3">
      <c r="C147" s="221"/>
    </row>
    <row r="148" spans="3:3">
      <c r="C148" s="221"/>
    </row>
    <row r="149" spans="3:3">
      <c r="C149" s="221"/>
    </row>
    <row r="150" spans="3:3">
      <c r="C150" s="221"/>
    </row>
    <row r="151" spans="3:3">
      <c r="C151" s="221"/>
    </row>
    <row r="152" spans="3:3">
      <c r="C152" s="221"/>
    </row>
    <row r="153" spans="3:3">
      <c r="C153" s="221"/>
    </row>
    <row r="154" spans="3:3">
      <c r="C154" s="221"/>
    </row>
    <row r="155" spans="3:3">
      <c r="C155" s="221"/>
    </row>
    <row r="156" spans="3:3">
      <c r="C156" s="221"/>
    </row>
    <row r="157" spans="3:3">
      <c r="C157" s="221"/>
    </row>
    <row r="158" spans="3:3">
      <c r="C158" s="221"/>
    </row>
    <row r="159" spans="3:3">
      <c r="C159" s="221"/>
    </row>
    <row r="160" spans="3:3">
      <c r="C160" s="221"/>
    </row>
    <row r="161" spans="3:3">
      <c r="C161" s="221"/>
    </row>
    <row r="162" spans="3:3">
      <c r="C162" s="221"/>
    </row>
    <row r="163" spans="3:3">
      <c r="C163" s="221"/>
    </row>
    <row r="164" spans="3:3">
      <c r="C164" s="221"/>
    </row>
    <row r="165" spans="3:3">
      <c r="C165" s="221"/>
    </row>
    <row r="166" spans="3:3">
      <c r="C166" s="221"/>
    </row>
    <row r="167" spans="3:3">
      <c r="C167" s="221"/>
    </row>
    <row r="168" spans="3:3">
      <c r="C168" s="221"/>
    </row>
    <row r="169" spans="3:3">
      <c r="C169" s="221"/>
    </row>
    <row r="170" spans="3:3">
      <c r="C170" s="221"/>
    </row>
    <row r="171" spans="3:3">
      <c r="C171" s="221"/>
    </row>
    <row r="172" spans="3:3">
      <c r="C172" s="221"/>
    </row>
    <row r="173" spans="3:3">
      <c r="C173" s="221"/>
    </row>
    <row r="174" spans="3:3">
      <c r="C174" s="221"/>
    </row>
    <row r="175" spans="3:3">
      <c r="C175" s="221"/>
    </row>
    <row r="176" spans="3:3">
      <c r="C176" s="221"/>
    </row>
    <row r="177" spans="3:3">
      <c r="C177" s="221"/>
    </row>
    <row r="178" spans="3:3">
      <c r="C178" s="221"/>
    </row>
    <row r="179" spans="3:3">
      <c r="C179" s="221"/>
    </row>
    <row r="180" spans="3:3">
      <c r="C180" s="221"/>
    </row>
    <row r="181" spans="3:3">
      <c r="C181" s="221"/>
    </row>
    <row r="182" spans="3:3">
      <c r="C182" s="221"/>
    </row>
    <row r="183" spans="3:3">
      <c r="C183" s="221"/>
    </row>
    <row r="184" spans="3:3">
      <c r="C184" s="221"/>
    </row>
    <row r="185" spans="3:3">
      <c r="C185" s="221"/>
    </row>
    <row r="186" spans="3:3">
      <c r="C186" s="221"/>
    </row>
    <row r="187" spans="3:3">
      <c r="C187" s="221"/>
    </row>
    <row r="188" spans="3:3">
      <c r="C188" s="221"/>
    </row>
    <row r="189" spans="3:3">
      <c r="C189" s="221"/>
    </row>
    <row r="190" spans="3:3">
      <c r="C190" s="221"/>
    </row>
    <row r="191" spans="3:3">
      <c r="C191" s="221"/>
    </row>
    <row r="192" spans="3:3">
      <c r="C192" s="221"/>
    </row>
    <row r="193" spans="3:3">
      <c r="C193" s="221"/>
    </row>
    <row r="194" spans="3:3">
      <c r="C194" s="221"/>
    </row>
    <row r="195" spans="3:3">
      <c r="C195" s="221"/>
    </row>
    <row r="196" spans="3:3">
      <c r="C196" s="221"/>
    </row>
    <row r="197" spans="3:3">
      <c r="C197" s="221"/>
    </row>
    <row r="198" spans="3:3">
      <c r="C198" s="221"/>
    </row>
    <row r="199" spans="3:3">
      <c r="C199" s="221"/>
    </row>
    <row r="200" spans="3:3">
      <c r="C200" s="221"/>
    </row>
    <row r="201" spans="3:3">
      <c r="C201" s="221"/>
    </row>
    <row r="202" spans="3:3">
      <c r="C202" s="221"/>
    </row>
    <row r="203" spans="3:3">
      <c r="C203" s="221"/>
    </row>
    <row r="204" spans="3:3">
      <c r="C204" s="221"/>
    </row>
    <row r="205" spans="3:3">
      <c r="C205" s="221"/>
    </row>
    <row r="206" spans="3:3">
      <c r="C206" s="221"/>
    </row>
    <row r="207" spans="3:3">
      <c r="C207" s="221"/>
    </row>
    <row r="208" spans="3:3">
      <c r="C208" s="221"/>
    </row>
    <row r="209" spans="3:3">
      <c r="C209" s="221"/>
    </row>
    <row r="210" spans="3:3">
      <c r="C210" s="221"/>
    </row>
    <row r="211" spans="3:3">
      <c r="C211" s="221"/>
    </row>
    <row r="212" spans="3:3">
      <c r="C212" s="221"/>
    </row>
    <row r="213" spans="3:3">
      <c r="C213" s="221"/>
    </row>
    <row r="214" spans="3:3">
      <c r="C214" s="221"/>
    </row>
    <row r="215" spans="3:3">
      <c r="C215" s="221"/>
    </row>
    <row r="216" spans="3:3">
      <c r="C216" s="221"/>
    </row>
    <row r="217" spans="3:3">
      <c r="C217" s="221"/>
    </row>
    <row r="218" spans="3:3">
      <c r="C218" s="221"/>
    </row>
    <row r="219" spans="3:3">
      <c r="C219" s="221"/>
    </row>
    <row r="220" spans="3:3">
      <c r="C220" s="221"/>
    </row>
    <row r="221" spans="3:3">
      <c r="C221" s="221"/>
    </row>
    <row r="222" spans="3:3">
      <c r="C222" s="221"/>
    </row>
    <row r="223" spans="3:3">
      <c r="C223" s="221"/>
    </row>
    <row r="224" spans="3:3">
      <c r="C224" s="221"/>
    </row>
    <row r="225" spans="3:3">
      <c r="C225" s="221"/>
    </row>
    <row r="226" spans="3:3">
      <c r="C226" s="221"/>
    </row>
    <row r="227" spans="3:3">
      <c r="C227" s="221"/>
    </row>
    <row r="228" spans="3:3">
      <c r="C228" s="221"/>
    </row>
    <row r="229" spans="3:3">
      <c r="C229" s="221"/>
    </row>
    <row r="230" spans="3:3">
      <c r="C230" s="221"/>
    </row>
    <row r="231" spans="3:3">
      <c r="C231" s="221"/>
    </row>
    <row r="232" spans="3:3">
      <c r="C232" s="221"/>
    </row>
    <row r="233" spans="3:3">
      <c r="C233" s="221"/>
    </row>
    <row r="234" spans="3:3">
      <c r="C234" s="221"/>
    </row>
    <row r="235" spans="3:3">
      <c r="C235" s="221"/>
    </row>
    <row r="236" spans="3:3">
      <c r="C236" s="221"/>
    </row>
    <row r="237" spans="3:3">
      <c r="C237" s="221"/>
    </row>
    <row r="238" spans="3:3">
      <c r="C238" s="221"/>
    </row>
    <row r="239" spans="3:3">
      <c r="C239" s="221"/>
    </row>
    <row r="240" spans="3:3">
      <c r="C240" s="221"/>
    </row>
    <row r="241" spans="3:3">
      <c r="C241" s="221"/>
    </row>
    <row r="242" spans="3:3">
      <c r="C242" s="221"/>
    </row>
    <row r="243" spans="3:3">
      <c r="C243" s="221"/>
    </row>
    <row r="244" spans="3:3">
      <c r="C244" s="221"/>
    </row>
    <row r="245" spans="3:3">
      <c r="C245" s="221"/>
    </row>
    <row r="246" spans="3:3">
      <c r="C246" s="221"/>
    </row>
    <row r="247" spans="3:3">
      <c r="C247" s="221"/>
    </row>
    <row r="248" spans="3:3">
      <c r="C248" s="221"/>
    </row>
    <row r="249" spans="3:3">
      <c r="C249" s="221"/>
    </row>
    <row r="250" spans="3:3">
      <c r="C250" s="221"/>
    </row>
    <row r="251" spans="3:3">
      <c r="C251" s="221"/>
    </row>
    <row r="252" spans="3:3">
      <c r="C252" s="221"/>
    </row>
    <row r="253" spans="3:3">
      <c r="C253" s="221"/>
    </row>
    <row r="254" spans="3:3">
      <c r="C254" s="221"/>
    </row>
    <row r="255" spans="3:3">
      <c r="C255" s="221"/>
    </row>
    <row r="256" spans="3:3">
      <c r="C256" s="221"/>
    </row>
    <row r="257" spans="3:3">
      <c r="C257" s="221"/>
    </row>
    <row r="258" spans="3:3">
      <c r="C258" s="221"/>
    </row>
    <row r="259" spans="3:3">
      <c r="C259" s="221"/>
    </row>
    <row r="260" spans="3:3">
      <c r="C260" s="221"/>
    </row>
    <row r="261" spans="3:3">
      <c r="C261" s="221"/>
    </row>
    <row r="262" spans="3:3">
      <c r="C262" s="221"/>
    </row>
    <row r="263" spans="3:3">
      <c r="C263" s="221"/>
    </row>
    <row r="264" spans="3:3">
      <c r="C264" s="221"/>
    </row>
    <row r="265" spans="3:3">
      <c r="C265" s="221"/>
    </row>
    <row r="266" spans="3:3">
      <c r="C266" s="221"/>
    </row>
    <row r="267" spans="3:3">
      <c r="C267" s="221"/>
    </row>
    <row r="268" spans="3:3">
      <c r="C268" s="221"/>
    </row>
    <row r="269" spans="3:3">
      <c r="C269" s="221"/>
    </row>
    <row r="270" spans="3:3">
      <c r="C270" s="221"/>
    </row>
    <row r="271" spans="3:3">
      <c r="C271" s="221"/>
    </row>
    <row r="272" spans="3:3">
      <c r="C272" s="221"/>
    </row>
    <row r="273" spans="3:3">
      <c r="C273" s="221"/>
    </row>
    <row r="274" spans="3:3">
      <c r="C274" s="221"/>
    </row>
    <row r="275" spans="3:3">
      <c r="C275" s="221"/>
    </row>
    <row r="276" spans="3:3">
      <c r="C276" s="221"/>
    </row>
    <row r="277" spans="3:3">
      <c r="C277" s="221"/>
    </row>
    <row r="278" spans="3:3">
      <c r="C278" s="221"/>
    </row>
    <row r="279" spans="3:3">
      <c r="C279" s="221"/>
    </row>
    <row r="280" spans="3:3">
      <c r="C280" s="221"/>
    </row>
    <row r="281" spans="3:3">
      <c r="C281" s="221"/>
    </row>
    <row r="282" spans="3:3">
      <c r="C282" s="221"/>
    </row>
    <row r="283" spans="3:3">
      <c r="C283" s="221"/>
    </row>
    <row r="284" spans="3:3">
      <c r="C284" s="221"/>
    </row>
    <row r="285" spans="3:3">
      <c r="C285" s="221"/>
    </row>
    <row r="286" spans="3:3">
      <c r="C286" s="221"/>
    </row>
    <row r="287" spans="3:3">
      <c r="C287" s="221"/>
    </row>
    <row r="288" spans="3:3">
      <c r="C288" s="221"/>
    </row>
    <row r="289" spans="3:3">
      <c r="C289" s="221"/>
    </row>
    <row r="290" spans="3:3">
      <c r="C290" s="221"/>
    </row>
    <row r="291" spans="3:3">
      <c r="C291" s="221"/>
    </row>
    <row r="292" spans="3:3">
      <c r="C292" s="221"/>
    </row>
    <row r="293" spans="3:3">
      <c r="C293" s="221"/>
    </row>
    <row r="294" spans="3:3">
      <c r="C294" s="221"/>
    </row>
    <row r="295" spans="3:3">
      <c r="C295" s="221"/>
    </row>
    <row r="296" spans="3:3">
      <c r="C296" s="221"/>
    </row>
    <row r="297" spans="3:3">
      <c r="C297" s="221"/>
    </row>
    <row r="298" spans="3:3">
      <c r="C298" s="221"/>
    </row>
    <row r="299" spans="3:3">
      <c r="C299" s="221"/>
    </row>
    <row r="300" spans="3:3">
      <c r="C300" s="221"/>
    </row>
    <row r="301" spans="3:3">
      <c r="C301" s="221"/>
    </row>
    <row r="302" spans="3:3">
      <c r="C302" s="221"/>
    </row>
    <row r="303" spans="3:3">
      <c r="C303" s="221"/>
    </row>
    <row r="304" spans="3:3">
      <c r="C304" s="221"/>
    </row>
    <row r="305" spans="3:3">
      <c r="C305" s="221"/>
    </row>
    <row r="306" spans="3:3">
      <c r="C306" s="221"/>
    </row>
    <row r="307" spans="3:3">
      <c r="C307" s="221"/>
    </row>
    <row r="308" spans="3:3">
      <c r="C308" s="221"/>
    </row>
    <row r="309" spans="3:3">
      <c r="C309" s="221"/>
    </row>
    <row r="310" spans="3:3">
      <c r="C310" s="221"/>
    </row>
    <row r="311" spans="3:3">
      <c r="C311" s="221"/>
    </row>
    <row r="312" spans="3:3">
      <c r="C312" s="221"/>
    </row>
    <row r="313" spans="3:3">
      <c r="C313" s="221"/>
    </row>
    <row r="314" spans="3:3">
      <c r="C314" s="221"/>
    </row>
    <row r="315" spans="3:3">
      <c r="C315" s="221"/>
    </row>
    <row r="316" spans="3:3">
      <c r="C316" s="221"/>
    </row>
    <row r="317" spans="3:3">
      <c r="C317" s="221"/>
    </row>
    <row r="318" spans="3:3">
      <c r="C318" s="221"/>
    </row>
    <row r="319" spans="3:3">
      <c r="C319" s="221"/>
    </row>
    <row r="320" spans="3:3">
      <c r="C320" s="221"/>
    </row>
    <row r="321" spans="3:3">
      <c r="C321" s="221"/>
    </row>
    <row r="322" spans="3:3">
      <c r="C322" s="221"/>
    </row>
    <row r="323" spans="3:3">
      <c r="C323" s="221"/>
    </row>
    <row r="324" spans="3:3">
      <c r="C324" s="221"/>
    </row>
    <row r="325" spans="3:3">
      <c r="C325" s="221"/>
    </row>
    <row r="326" spans="3:3">
      <c r="C326" s="221"/>
    </row>
    <row r="327" spans="3:3">
      <c r="C327" s="221"/>
    </row>
    <row r="328" spans="3:3">
      <c r="C328" s="221"/>
    </row>
    <row r="329" spans="3:3">
      <c r="C329" s="221"/>
    </row>
    <row r="330" spans="3:3">
      <c r="C330" s="221"/>
    </row>
    <row r="331" spans="3:3">
      <c r="C331" s="221"/>
    </row>
    <row r="332" spans="3:3">
      <c r="C332" s="221"/>
    </row>
    <row r="333" spans="3:3">
      <c r="C333" s="221"/>
    </row>
    <row r="334" spans="3:3">
      <c r="C334" s="221"/>
    </row>
    <row r="335" spans="3:3">
      <c r="C335" s="221"/>
    </row>
    <row r="336" spans="3:3">
      <c r="C336" s="221"/>
    </row>
    <row r="337" spans="3:3">
      <c r="C337" s="221"/>
    </row>
    <row r="338" spans="3:3">
      <c r="C338" s="221"/>
    </row>
    <row r="339" spans="3:3">
      <c r="C339" s="221"/>
    </row>
    <row r="340" spans="3:3">
      <c r="C340" s="221"/>
    </row>
    <row r="341" spans="3:3">
      <c r="C341" s="221"/>
    </row>
    <row r="342" spans="3:3">
      <c r="C342" s="221"/>
    </row>
    <row r="343" spans="3:3">
      <c r="C343" s="221"/>
    </row>
    <row r="344" spans="3:3">
      <c r="C344" s="221"/>
    </row>
    <row r="345" spans="3:3">
      <c r="C345" s="221"/>
    </row>
    <row r="346" spans="3:3">
      <c r="C346" s="221"/>
    </row>
    <row r="347" spans="3:3">
      <c r="C347" s="221"/>
    </row>
    <row r="348" spans="3:3">
      <c r="C348" s="221"/>
    </row>
    <row r="349" spans="3:3">
      <c r="C349" s="221"/>
    </row>
    <row r="350" spans="3:3">
      <c r="C350" s="221"/>
    </row>
    <row r="351" spans="3:3">
      <c r="C351" s="221"/>
    </row>
    <row r="352" spans="3:3">
      <c r="C352" s="221"/>
    </row>
    <row r="353" spans="3:3">
      <c r="C353" s="221"/>
    </row>
    <row r="354" spans="3:3">
      <c r="C354" s="221"/>
    </row>
    <row r="355" spans="3:3">
      <c r="C355" s="221"/>
    </row>
    <row r="356" spans="3:3">
      <c r="C356" s="221"/>
    </row>
    <row r="357" spans="3:3">
      <c r="C357" s="221"/>
    </row>
    <row r="358" spans="3:3">
      <c r="C358" s="221"/>
    </row>
    <row r="359" spans="3:3">
      <c r="C359" s="221"/>
    </row>
    <row r="360" spans="3:3">
      <c r="C360" s="221"/>
    </row>
    <row r="361" spans="3:3">
      <c r="C361" s="221"/>
    </row>
    <row r="362" spans="3:3">
      <c r="C362" s="221"/>
    </row>
    <row r="363" spans="3:3">
      <c r="C363" s="221"/>
    </row>
    <row r="364" spans="3:3">
      <c r="C364" s="221"/>
    </row>
    <row r="365" spans="3:3">
      <c r="C365" s="221"/>
    </row>
    <row r="366" spans="3:3">
      <c r="C366" s="221"/>
    </row>
    <row r="367" spans="3:3">
      <c r="C367" s="221"/>
    </row>
    <row r="368" spans="3:3">
      <c r="C368" s="221"/>
    </row>
    <row r="369" spans="3:3">
      <c r="C369" s="221"/>
    </row>
    <row r="370" spans="3:3">
      <c r="C370" s="221"/>
    </row>
    <row r="371" spans="3:3">
      <c r="C371" s="221"/>
    </row>
    <row r="372" spans="3:3">
      <c r="C372" s="221"/>
    </row>
    <row r="373" spans="3:3">
      <c r="C373" s="221"/>
    </row>
    <row r="374" spans="3:3">
      <c r="C374" s="221"/>
    </row>
    <row r="375" spans="3:3">
      <c r="C375" s="221"/>
    </row>
    <row r="376" spans="3:3">
      <c r="C376" s="221"/>
    </row>
    <row r="377" spans="3:3">
      <c r="C377" s="221"/>
    </row>
    <row r="378" spans="3:3">
      <c r="C378" s="221"/>
    </row>
    <row r="379" spans="3:3">
      <c r="C379" s="221"/>
    </row>
    <row r="380" spans="3:3">
      <c r="C380" s="221"/>
    </row>
    <row r="381" spans="3:3">
      <c r="C381" s="221"/>
    </row>
    <row r="382" spans="3:3">
      <c r="C382" s="221"/>
    </row>
    <row r="383" spans="3:3">
      <c r="C383" s="221"/>
    </row>
    <row r="384" spans="3:3">
      <c r="C384" s="221"/>
    </row>
    <row r="385" spans="3:3">
      <c r="C385" s="221"/>
    </row>
    <row r="386" spans="3:3">
      <c r="C386" s="221"/>
    </row>
    <row r="387" spans="3:3">
      <c r="C387" s="221"/>
    </row>
    <row r="388" spans="3:3">
      <c r="C388" s="221"/>
    </row>
    <row r="389" spans="3:3">
      <c r="C389" s="221"/>
    </row>
    <row r="390" spans="3:3">
      <c r="C390" s="221"/>
    </row>
    <row r="391" spans="3:3">
      <c r="C391" s="221"/>
    </row>
    <row r="392" spans="3:3">
      <c r="C392" s="221"/>
    </row>
    <row r="393" spans="3:3">
      <c r="C393" s="221"/>
    </row>
    <row r="394" spans="3:3">
      <c r="C394" s="221"/>
    </row>
    <row r="395" spans="3:3">
      <c r="C395" s="221"/>
    </row>
    <row r="396" spans="3:3">
      <c r="C396" s="221"/>
    </row>
    <row r="397" spans="3:3">
      <c r="C397" s="221"/>
    </row>
    <row r="398" spans="3:3">
      <c r="C398" s="221"/>
    </row>
    <row r="399" spans="3:3">
      <c r="C399" s="221"/>
    </row>
    <row r="400" spans="3:3">
      <c r="C400" s="221"/>
    </row>
    <row r="401" spans="3:3">
      <c r="C401" s="221"/>
    </row>
    <row r="402" spans="3:3">
      <c r="C402" s="221"/>
    </row>
    <row r="403" spans="3:3">
      <c r="C403" s="221"/>
    </row>
    <row r="404" spans="3:3">
      <c r="C404" s="221"/>
    </row>
    <row r="405" spans="3:3">
      <c r="C405" s="221"/>
    </row>
    <row r="406" spans="3:3">
      <c r="C406" s="221"/>
    </row>
    <row r="407" spans="3:3">
      <c r="C407" s="221"/>
    </row>
    <row r="408" spans="3:3">
      <c r="C408" s="221"/>
    </row>
    <row r="409" spans="3:3">
      <c r="C409" s="221"/>
    </row>
    <row r="410" spans="3:3">
      <c r="C410" s="221"/>
    </row>
    <row r="411" spans="3:3">
      <c r="C411" s="221"/>
    </row>
    <row r="412" spans="3:3">
      <c r="C412" s="221"/>
    </row>
    <row r="413" spans="3:3">
      <c r="C413" s="221"/>
    </row>
    <row r="414" spans="3:3">
      <c r="C414" s="221"/>
    </row>
    <row r="415" spans="3:3">
      <c r="C415" s="221"/>
    </row>
    <row r="416" spans="3:3">
      <c r="C416" s="221"/>
    </row>
    <row r="417" spans="3:3">
      <c r="C417" s="221"/>
    </row>
    <row r="418" spans="3:3">
      <c r="C418" s="221"/>
    </row>
    <row r="419" spans="3:3">
      <c r="C419" s="221"/>
    </row>
    <row r="420" spans="3:3">
      <c r="C420" s="221"/>
    </row>
    <row r="421" spans="3:3">
      <c r="C421" s="221"/>
    </row>
    <row r="422" spans="3:3">
      <c r="C422" s="221"/>
    </row>
    <row r="423" spans="3:3">
      <c r="C423" s="221"/>
    </row>
    <row r="424" spans="3:3">
      <c r="C424" s="221"/>
    </row>
    <row r="425" spans="3:3">
      <c r="C425" s="221"/>
    </row>
    <row r="426" spans="3:3">
      <c r="C426" s="221"/>
    </row>
    <row r="427" spans="3:3">
      <c r="C427" s="221"/>
    </row>
    <row r="428" spans="3:3">
      <c r="C428" s="221"/>
    </row>
    <row r="429" spans="3:3">
      <c r="C429" s="221"/>
    </row>
    <row r="430" spans="3:3">
      <c r="C430" s="221"/>
    </row>
    <row r="431" spans="3:3">
      <c r="C431" s="221"/>
    </row>
    <row r="432" spans="3:3">
      <c r="C432" s="221"/>
    </row>
    <row r="433" spans="3:3">
      <c r="C433" s="221"/>
    </row>
    <row r="434" spans="3:3">
      <c r="C434" s="221"/>
    </row>
    <row r="435" spans="3:3">
      <c r="C435" s="221"/>
    </row>
    <row r="436" spans="3:3">
      <c r="C436" s="221"/>
    </row>
    <row r="437" spans="3:3">
      <c r="C437" s="221"/>
    </row>
    <row r="438" spans="3:3">
      <c r="C438" s="221"/>
    </row>
    <row r="439" spans="3:3">
      <c r="C439" s="221"/>
    </row>
    <row r="440" spans="3:3">
      <c r="C440" s="221"/>
    </row>
    <row r="441" spans="3:3">
      <c r="C441" s="221"/>
    </row>
    <row r="442" spans="3:3">
      <c r="C442" s="221"/>
    </row>
    <row r="443" spans="3:3">
      <c r="C443" s="221"/>
    </row>
    <row r="444" spans="3:3">
      <c r="C444" s="221"/>
    </row>
    <row r="445" spans="3:3">
      <c r="C445" s="221"/>
    </row>
    <row r="446" spans="3:3">
      <c r="C446" s="221"/>
    </row>
    <row r="447" spans="3:3">
      <c r="C447" s="221"/>
    </row>
    <row r="448" spans="3:3">
      <c r="C448" s="221"/>
    </row>
    <row r="449" spans="3:3">
      <c r="C449" s="221"/>
    </row>
    <row r="450" spans="3:3">
      <c r="C450" s="221"/>
    </row>
    <row r="451" spans="3:3">
      <c r="C451" s="221"/>
    </row>
    <row r="452" spans="3:3">
      <c r="C452" s="221"/>
    </row>
    <row r="453" spans="3:3">
      <c r="C453" s="221"/>
    </row>
    <row r="454" spans="3:3">
      <c r="C454" s="221"/>
    </row>
    <row r="455" spans="3:3">
      <c r="C455" s="221"/>
    </row>
    <row r="456" spans="3:3">
      <c r="C456" s="221"/>
    </row>
    <row r="457" spans="3:3">
      <c r="C457" s="221"/>
    </row>
    <row r="458" spans="3:3">
      <c r="C458" s="221"/>
    </row>
    <row r="459" spans="3:3">
      <c r="C459" s="221"/>
    </row>
    <row r="460" spans="3:3">
      <c r="C460" s="221"/>
    </row>
    <row r="461" spans="3:3">
      <c r="C461" s="221"/>
    </row>
    <row r="462" spans="3:3">
      <c r="C462" s="221"/>
    </row>
    <row r="463" spans="3:3">
      <c r="C463" s="221"/>
    </row>
    <row r="464" spans="3:3">
      <c r="C464" s="221"/>
    </row>
    <row r="465" spans="3:3">
      <c r="C465" s="221"/>
    </row>
    <row r="466" spans="3:3">
      <c r="C466" s="221"/>
    </row>
    <row r="467" spans="3:3">
      <c r="C467" s="221"/>
    </row>
    <row r="468" spans="3:3">
      <c r="C468" s="221"/>
    </row>
    <row r="469" spans="3:3">
      <c r="C469" s="221"/>
    </row>
    <row r="470" spans="3:3">
      <c r="C470" s="221"/>
    </row>
    <row r="471" spans="3:3">
      <c r="C471" s="221"/>
    </row>
    <row r="472" spans="3:3">
      <c r="C472" s="221"/>
    </row>
    <row r="473" spans="3:3">
      <c r="C473" s="221"/>
    </row>
    <row r="474" spans="3:3">
      <c r="C474" s="221"/>
    </row>
    <row r="475" spans="3:3">
      <c r="C475" s="221"/>
    </row>
    <row r="476" spans="3:3">
      <c r="C476" s="221"/>
    </row>
    <row r="477" spans="3:3">
      <c r="C477" s="221"/>
    </row>
    <row r="478" spans="3:3">
      <c r="C478" s="221"/>
    </row>
    <row r="479" spans="3:3">
      <c r="C479" s="221"/>
    </row>
    <row r="480" spans="3:3">
      <c r="C480" s="221"/>
    </row>
    <row r="481" spans="3:3">
      <c r="C481" s="221"/>
    </row>
    <row r="482" spans="3:3">
      <c r="C482" s="221"/>
    </row>
    <row r="483" spans="3:3">
      <c r="C483" s="221"/>
    </row>
    <row r="484" spans="3:3">
      <c r="C484" s="221"/>
    </row>
    <row r="485" spans="3:3">
      <c r="C485" s="221"/>
    </row>
    <row r="486" spans="3:3">
      <c r="C486" s="221"/>
    </row>
    <row r="487" spans="3:3">
      <c r="C487" s="221"/>
    </row>
    <row r="488" spans="3:3">
      <c r="C488" s="221"/>
    </row>
    <row r="489" spans="3:3">
      <c r="C489" s="221"/>
    </row>
    <row r="490" spans="3:3">
      <c r="C490" s="221"/>
    </row>
    <row r="491" spans="3:3">
      <c r="C491" s="221"/>
    </row>
    <row r="492" spans="3:3">
      <c r="C492" s="221"/>
    </row>
    <row r="493" spans="3:3">
      <c r="C493" s="221"/>
    </row>
    <row r="494" spans="3:3">
      <c r="C494" s="221"/>
    </row>
    <row r="495" spans="3:3">
      <c r="C495" s="221"/>
    </row>
    <row r="496" spans="3:3">
      <c r="C496" s="221"/>
    </row>
    <row r="497" spans="3:3">
      <c r="C497" s="221"/>
    </row>
    <row r="498" spans="3:3">
      <c r="C498" s="221"/>
    </row>
    <row r="499" spans="3:3">
      <c r="C499" s="221"/>
    </row>
    <row r="500" spans="3:3">
      <c r="C500" s="221"/>
    </row>
    <row r="501" spans="3:3">
      <c r="C501" s="221"/>
    </row>
    <row r="502" spans="3:3">
      <c r="C502" s="221"/>
    </row>
    <row r="503" spans="3:3">
      <c r="C503" s="221"/>
    </row>
    <row r="504" spans="3:3">
      <c r="C504" s="221"/>
    </row>
    <row r="505" spans="3:3">
      <c r="C505" s="221"/>
    </row>
    <row r="506" spans="3:3">
      <c r="C506" s="221"/>
    </row>
    <row r="507" spans="3:3">
      <c r="C507" s="221"/>
    </row>
    <row r="508" spans="3:3">
      <c r="C508" s="221"/>
    </row>
    <row r="509" spans="3:3">
      <c r="C509" s="221"/>
    </row>
    <row r="510" spans="3:3">
      <c r="C510" s="221"/>
    </row>
    <row r="511" spans="3:3">
      <c r="C511" s="221"/>
    </row>
    <row r="512" spans="3:3">
      <c r="C512" s="221"/>
    </row>
    <row r="513" spans="3:3">
      <c r="C513" s="221"/>
    </row>
    <row r="514" spans="3:3">
      <c r="C514" s="221"/>
    </row>
    <row r="515" spans="3:3">
      <c r="C515" s="221"/>
    </row>
    <row r="516" spans="3:3">
      <c r="C516" s="221"/>
    </row>
    <row r="517" spans="3:3">
      <c r="C517" s="221"/>
    </row>
    <row r="518" spans="3:3">
      <c r="C518" s="221"/>
    </row>
    <row r="519" spans="3:3">
      <c r="C519" s="221"/>
    </row>
    <row r="520" spans="3:3">
      <c r="C520" s="221"/>
    </row>
    <row r="521" spans="3:3">
      <c r="C521" s="221"/>
    </row>
    <row r="522" spans="3:3">
      <c r="C522" s="221"/>
    </row>
    <row r="523" spans="3:3">
      <c r="C523" s="221"/>
    </row>
    <row r="524" spans="3:3">
      <c r="C524" s="221"/>
    </row>
    <row r="525" spans="3:3">
      <c r="C525" s="221"/>
    </row>
    <row r="526" spans="3:3">
      <c r="C526" s="221"/>
    </row>
    <row r="527" spans="3:3">
      <c r="C527" s="221"/>
    </row>
    <row r="528" spans="3:3">
      <c r="C528" s="221"/>
    </row>
    <row r="529" spans="3:3">
      <c r="C529" s="221"/>
    </row>
    <row r="530" spans="3:3">
      <c r="C530" s="221"/>
    </row>
    <row r="531" spans="3:3">
      <c r="C531" s="221"/>
    </row>
    <row r="532" spans="3:3">
      <c r="C532" s="221"/>
    </row>
    <row r="533" spans="3:3">
      <c r="C533" s="221"/>
    </row>
    <row r="534" spans="3:3">
      <c r="C534" s="221"/>
    </row>
    <row r="535" spans="3:3">
      <c r="C535" s="221"/>
    </row>
    <row r="536" spans="3:3">
      <c r="C536" s="221"/>
    </row>
    <row r="537" spans="3:3">
      <c r="C537" s="221"/>
    </row>
    <row r="538" spans="3:3">
      <c r="C538" s="221"/>
    </row>
    <row r="539" spans="3:3">
      <c r="C539" s="221"/>
    </row>
    <row r="540" spans="3:3">
      <c r="C540" s="221"/>
    </row>
    <row r="541" spans="3:3">
      <c r="C541" s="221"/>
    </row>
    <row r="542" spans="3:3">
      <c r="C542" s="221"/>
    </row>
    <row r="543" spans="3:3">
      <c r="C543" s="221"/>
    </row>
    <row r="544" spans="3:3">
      <c r="C544" s="221"/>
    </row>
    <row r="545" spans="3:3">
      <c r="C545" s="221"/>
    </row>
    <row r="546" spans="3:3">
      <c r="C546" s="221"/>
    </row>
    <row r="547" spans="3:3">
      <c r="C547" s="221"/>
    </row>
    <row r="548" spans="3:3">
      <c r="C548" s="221"/>
    </row>
    <row r="549" spans="3:3">
      <c r="C549" s="221"/>
    </row>
    <row r="550" spans="3:3">
      <c r="C550" s="221"/>
    </row>
    <row r="551" spans="3:3">
      <c r="C551" s="221"/>
    </row>
    <row r="552" spans="3:3">
      <c r="C552" s="221"/>
    </row>
    <row r="553" spans="3:3">
      <c r="C553" s="221"/>
    </row>
    <row r="554" spans="3:3">
      <c r="C554" s="221"/>
    </row>
    <row r="555" spans="3:3">
      <c r="C555" s="221"/>
    </row>
    <row r="556" spans="3:3">
      <c r="C556" s="221"/>
    </row>
    <row r="557" spans="3:3">
      <c r="C557" s="221"/>
    </row>
    <row r="558" spans="3:3">
      <c r="C558" s="221"/>
    </row>
    <row r="559" spans="3:3">
      <c r="C559" s="221"/>
    </row>
    <row r="560" spans="3:3">
      <c r="C560" s="221"/>
    </row>
    <row r="561" spans="3:3">
      <c r="C561" s="221"/>
    </row>
    <row r="562" spans="3:3">
      <c r="C562" s="221"/>
    </row>
    <row r="563" spans="3:3">
      <c r="C563" s="221"/>
    </row>
    <row r="564" spans="3:3">
      <c r="C564" s="221"/>
    </row>
    <row r="565" spans="3:3">
      <c r="C565" s="221"/>
    </row>
    <row r="566" spans="3:3">
      <c r="C566" s="221"/>
    </row>
    <row r="567" spans="3:3">
      <c r="C567" s="221"/>
    </row>
    <row r="568" spans="3:3">
      <c r="C568" s="221"/>
    </row>
    <row r="569" spans="3:3">
      <c r="C569" s="221"/>
    </row>
    <row r="570" spans="3:3">
      <c r="C570" s="221"/>
    </row>
    <row r="571" spans="3:3">
      <c r="C571" s="221"/>
    </row>
    <row r="572" spans="3:3">
      <c r="C572" s="221"/>
    </row>
    <row r="573" spans="3:3">
      <c r="C573" s="221"/>
    </row>
    <row r="574" spans="3:3">
      <c r="C574" s="221"/>
    </row>
    <row r="575" spans="3:3">
      <c r="C575" s="221"/>
    </row>
    <row r="576" spans="3:3">
      <c r="C576" s="221"/>
    </row>
    <row r="577" spans="3:3">
      <c r="C577" s="221"/>
    </row>
    <row r="578" spans="3:3">
      <c r="C578" s="221"/>
    </row>
    <row r="579" spans="3:3">
      <c r="C579" s="221"/>
    </row>
    <row r="580" spans="3:3">
      <c r="C580" s="221"/>
    </row>
    <row r="581" spans="3:3">
      <c r="C581" s="221"/>
    </row>
    <row r="582" spans="3:3">
      <c r="C582" s="221"/>
    </row>
    <row r="583" spans="3:3">
      <c r="C583" s="221"/>
    </row>
    <row r="584" spans="3:3">
      <c r="C584" s="221"/>
    </row>
    <row r="585" spans="3:3">
      <c r="C585" s="221"/>
    </row>
    <row r="586" spans="3:3">
      <c r="C586" s="221"/>
    </row>
    <row r="587" spans="3:3">
      <c r="C587" s="221"/>
    </row>
    <row r="588" spans="3:3">
      <c r="C588" s="221"/>
    </row>
    <row r="589" spans="3:3">
      <c r="C589" s="221"/>
    </row>
    <row r="590" spans="3:3">
      <c r="C590" s="221"/>
    </row>
    <row r="591" spans="3:3">
      <c r="C591" s="221"/>
    </row>
    <row r="592" spans="3:3">
      <c r="C592" s="221"/>
    </row>
    <row r="593" spans="3:3">
      <c r="C593" s="221"/>
    </row>
    <row r="594" spans="3:3">
      <c r="C594" s="221"/>
    </row>
    <row r="595" spans="3:3">
      <c r="C595" s="221"/>
    </row>
    <row r="596" spans="3:3">
      <c r="C596" s="221"/>
    </row>
    <row r="597" spans="3:3">
      <c r="C597" s="221"/>
    </row>
    <row r="598" spans="3:3">
      <c r="C598" s="221"/>
    </row>
    <row r="599" spans="3:3">
      <c r="C599" s="221"/>
    </row>
    <row r="600" spans="3:3">
      <c r="C600" s="221"/>
    </row>
    <row r="601" spans="3:3">
      <c r="C601" s="221"/>
    </row>
    <row r="602" spans="3:3">
      <c r="C602" s="221"/>
    </row>
    <row r="603" spans="3:3">
      <c r="C603" s="221"/>
    </row>
    <row r="604" spans="3:3">
      <c r="C604" s="221"/>
    </row>
    <row r="605" spans="3:3">
      <c r="C605" s="221"/>
    </row>
    <row r="606" spans="3:3">
      <c r="C606" s="221"/>
    </row>
    <row r="607" spans="3:3">
      <c r="C607" s="221"/>
    </row>
    <row r="608" spans="3:3">
      <c r="C608" s="221"/>
    </row>
    <row r="609" spans="3:3">
      <c r="C609" s="221"/>
    </row>
    <row r="610" spans="3:3">
      <c r="C610" s="221"/>
    </row>
    <row r="611" spans="3:3">
      <c r="C611" s="221"/>
    </row>
    <row r="612" spans="3:3">
      <c r="C612" s="221"/>
    </row>
    <row r="613" spans="3:3">
      <c r="C613" s="221"/>
    </row>
    <row r="614" spans="3:3">
      <c r="C614" s="221"/>
    </row>
    <row r="615" spans="3:3">
      <c r="C615" s="221"/>
    </row>
    <row r="616" spans="3:3">
      <c r="C616" s="221"/>
    </row>
    <row r="617" spans="3:3">
      <c r="C617" s="221"/>
    </row>
    <row r="618" spans="3:3">
      <c r="C618" s="221"/>
    </row>
    <row r="619" spans="3:3">
      <c r="C619" s="221"/>
    </row>
    <row r="620" spans="3:3">
      <c r="C620" s="221"/>
    </row>
    <row r="621" spans="3:3">
      <c r="C621" s="221"/>
    </row>
    <row r="622" spans="3:3">
      <c r="C622" s="221"/>
    </row>
    <row r="623" spans="3:3">
      <c r="C623" s="221"/>
    </row>
    <row r="624" spans="3:3">
      <c r="C624" s="221"/>
    </row>
    <row r="625" spans="3:3">
      <c r="C625" s="221"/>
    </row>
    <row r="626" spans="3:3">
      <c r="C626" s="221"/>
    </row>
    <row r="627" spans="3:3">
      <c r="C627" s="221"/>
    </row>
    <row r="628" spans="3:3">
      <c r="C628" s="221"/>
    </row>
    <row r="629" spans="3:3">
      <c r="C629" s="221"/>
    </row>
    <row r="630" spans="3:3">
      <c r="C630" s="221"/>
    </row>
    <row r="631" spans="3:3">
      <c r="C631" s="221"/>
    </row>
    <row r="632" spans="3:3">
      <c r="C632" s="221"/>
    </row>
    <row r="633" spans="3:3">
      <c r="C633" s="221"/>
    </row>
    <row r="634" spans="3:3">
      <c r="C634" s="221"/>
    </row>
    <row r="635" spans="3:3">
      <c r="C635" s="221"/>
    </row>
    <row r="636" spans="3:3">
      <c r="C636" s="221"/>
    </row>
    <row r="637" spans="3:3">
      <c r="C637" s="221"/>
    </row>
    <row r="638" spans="3:3">
      <c r="C638" s="221"/>
    </row>
    <row r="639" spans="3:3">
      <c r="C639" s="221"/>
    </row>
    <row r="640" spans="3:3">
      <c r="C640" s="221"/>
    </row>
    <row r="641" spans="3:3">
      <c r="C641" s="221"/>
    </row>
    <row r="642" spans="3:3">
      <c r="C642" s="221"/>
    </row>
    <row r="643" spans="3:3">
      <c r="C643" s="221"/>
    </row>
    <row r="644" spans="3:3">
      <c r="C644" s="221"/>
    </row>
    <row r="645" spans="3:3">
      <c r="C645" s="221"/>
    </row>
    <row r="646" spans="3:3">
      <c r="C646" s="221"/>
    </row>
    <row r="647" spans="3:3">
      <c r="C647" s="221"/>
    </row>
    <row r="648" spans="3:3">
      <c r="C648" s="221"/>
    </row>
    <row r="649" spans="3:3">
      <c r="C649" s="221"/>
    </row>
    <row r="650" spans="3:3">
      <c r="C650" s="221"/>
    </row>
    <row r="651" spans="3:3">
      <c r="C651" s="221"/>
    </row>
    <row r="652" spans="3:3">
      <c r="C652" s="221"/>
    </row>
    <row r="653" spans="3:3">
      <c r="C653" s="221"/>
    </row>
    <row r="654" spans="3:3">
      <c r="C654" s="221"/>
    </row>
    <row r="655" spans="3:3">
      <c r="C655" s="221"/>
    </row>
    <row r="656" spans="3:3">
      <c r="C656" s="221"/>
    </row>
    <row r="657" spans="3:3">
      <c r="C657" s="221"/>
    </row>
    <row r="658" spans="3:3">
      <c r="C658" s="221"/>
    </row>
    <row r="659" spans="3:3">
      <c r="C659" s="221"/>
    </row>
    <row r="660" spans="3:3">
      <c r="C660" s="221"/>
    </row>
    <row r="661" spans="3:3">
      <c r="C661" s="221"/>
    </row>
    <row r="662" spans="3:3">
      <c r="C662" s="221"/>
    </row>
    <row r="663" spans="3:3">
      <c r="C663" s="221"/>
    </row>
    <row r="664" spans="3:3">
      <c r="C664" s="221"/>
    </row>
    <row r="665" spans="3:3">
      <c r="C665" s="221"/>
    </row>
    <row r="666" spans="3:3">
      <c r="C666" s="221"/>
    </row>
    <row r="667" spans="3:3">
      <c r="C667" s="221"/>
    </row>
    <row r="668" spans="3:3">
      <c r="C668" s="221"/>
    </row>
    <row r="669" spans="3:3">
      <c r="C669" s="221"/>
    </row>
    <row r="670" spans="3:3">
      <c r="C670" s="221"/>
    </row>
    <row r="671" spans="3:3">
      <c r="C671" s="221"/>
    </row>
    <row r="672" spans="3:3">
      <c r="C672" s="221"/>
    </row>
    <row r="673" spans="3:3">
      <c r="C673" s="221"/>
    </row>
    <row r="674" spans="3:3">
      <c r="C674" s="221"/>
    </row>
    <row r="675" spans="3:3">
      <c r="C675" s="221"/>
    </row>
    <row r="676" spans="3:3">
      <c r="C676" s="221"/>
    </row>
    <row r="677" spans="3:3">
      <c r="C677" s="221"/>
    </row>
    <row r="678" spans="3:3">
      <c r="C678" s="221"/>
    </row>
    <row r="679" spans="3:3">
      <c r="C679" s="221"/>
    </row>
    <row r="680" spans="3:3">
      <c r="C680" s="221"/>
    </row>
    <row r="681" spans="3:3">
      <c r="C681" s="221"/>
    </row>
    <row r="682" spans="3:3">
      <c r="C682" s="221"/>
    </row>
    <row r="683" spans="3:3">
      <c r="C683" s="221"/>
    </row>
    <row r="684" spans="3:3">
      <c r="C684" s="221"/>
    </row>
    <row r="685" spans="3:3">
      <c r="C685" s="221"/>
    </row>
    <row r="686" spans="3:3">
      <c r="C686" s="221"/>
    </row>
    <row r="687" spans="3:3">
      <c r="C687" s="221"/>
    </row>
    <row r="688" spans="3:3">
      <c r="C688" s="221"/>
    </row>
    <row r="689" spans="3:3">
      <c r="C689" s="221"/>
    </row>
    <row r="690" spans="3:3">
      <c r="C690" s="221"/>
    </row>
    <row r="691" spans="3:3">
      <c r="C691" s="221"/>
    </row>
    <row r="692" spans="3:3">
      <c r="C692" s="221"/>
    </row>
    <row r="693" spans="3:3">
      <c r="C693" s="221"/>
    </row>
    <row r="694" spans="3:3">
      <c r="C694" s="221"/>
    </row>
    <row r="695" spans="3:3">
      <c r="C695" s="221"/>
    </row>
    <row r="696" spans="3:3">
      <c r="C696" s="221"/>
    </row>
    <row r="697" spans="3:3">
      <c r="C697" s="221"/>
    </row>
    <row r="698" spans="3:3">
      <c r="C698" s="221"/>
    </row>
    <row r="699" spans="3:3">
      <c r="C699" s="221"/>
    </row>
    <row r="700" spans="3:3">
      <c r="C700" s="221"/>
    </row>
    <row r="701" spans="3:3">
      <c r="C701" s="221"/>
    </row>
    <row r="702" spans="3:3">
      <c r="C702" s="221"/>
    </row>
    <row r="703" spans="3:3">
      <c r="C703" s="221"/>
    </row>
    <row r="704" spans="3:3">
      <c r="C704" s="221"/>
    </row>
    <row r="705" spans="3:3">
      <c r="C705" s="221"/>
    </row>
    <row r="706" spans="3:3">
      <c r="C706" s="221"/>
    </row>
    <row r="707" spans="3:3">
      <c r="C707" s="221"/>
    </row>
    <row r="708" spans="3:3">
      <c r="C708" s="221"/>
    </row>
    <row r="709" spans="3:3">
      <c r="C709" s="221"/>
    </row>
    <row r="710" spans="3:3">
      <c r="C710" s="221"/>
    </row>
    <row r="711" spans="3:3">
      <c r="C711" s="221"/>
    </row>
    <row r="712" spans="3:3">
      <c r="C712" s="221"/>
    </row>
    <row r="713" spans="3:3">
      <c r="C713" s="221"/>
    </row>
    <row r="714" spans="3:3">
      <c r="C714" s="221"/>
    </row>
    <row r="715" spans="3:3">
      <c r="C715" s="221"/>
    </row>
    <row r="716" spans="3:3">
      <c r="C716" s="221"/>
    </row>
    <row r="717" spans="3:3">
      <c r="C717" s="221"/>
    </row>
    <row r="718" spans="3:3">
      <c r="C718" s="221"/>
    </row>
    <row r="719" spans="3:3">
      <c r="C719" s="221"/>
    </row>
    <row r="720" spans="3:3">
      <c r="C720" s="221"/>
    </row>
    <row r="721" spans="3:3">
      <c r="C721" s="221"/>
    </row>
    <row r="722" spans="3:3">
      <c r="C722" s="221"/>
    </row>
    <row r="723" spans="3:3">
      <c r="C723" s="221"/>
    </row>
    <row r="724" spans="3:3">
      <c r="C724" s="221"/>
    </row>
    <row r="725" spans="3:3">
      <c r="C725" s="221"/>
    </row>
    <row r="726" spans="3:3">
      <c r="C726" s="221"/>
    </row>
    <row r="727" spans="3:3">
      <c r="C727" s="221"/>
    </row>
    <row r="728" spans="3:3">
      <c r="C728" s="221"/>
    </row>
    <row r="729" spans="3:3">
      <c r="C729" s="221"/>
    </row>
    <row r="730" spans="3:3">
      <c r="C730" s="221"/>
    </row>
    <row r="731" spans="3:3">
      <c r="C731" s="221"/>
    </row>
    <row r="732" spans="3:3">
      <c r="C732" s="221"/>
    </row>
    <row r="733" spans="3:3">
      <c r="C733" s="221"/>
    </row>
    <row r="734" spans="3:3">
      <c r="C734" s="221"/>
    </row>
    <row r="735" spans="3:3">
      <c r="C735" s="221"/>
    </row>
    <row r="736" spans="3:3">
      <c r="C736" s="221"/>
    </row>
    <row r="737" spans="3:3">
      <c r="C737" s="221"/>
    </row>
    <row r="738" spans="3:3">
      <c r="C738" s="221"/>
    </row>
    <row r="739" spans="3:3">
      <c r="C739" s="221"/>
    </row>
    <row r="740" spans="3:3">
      <c r="C740" s="221"/>
    </row>
    <row r="741" spans="3:3">
      <c r="C741" s="221"/>
    </row>
    <row r="742" spans="3:3">
      <c r="C742" s="221"/>
    </row>
    <row r="743" spans="3:3">
      <c r="C743" s="221"/>
    </row>
    <row r="744" spans="3:3">
      <c r="C744" s="221"/>
    </row>
    <row r="745" spans="3:3">
      <c r="C745" s="221"/>
    </row>
    <row r="746" spans="3:3">
      <c r="C746" s="221"/>
    </row>
    <row r="747" spans="3:3">
      <c r="C747" s="221"/>
    </row>
    <row r="748" spans="3:3">
      <c r="C748" s="221"/>
    </row>
    <row r="749" spans="3:3">
      <c r="C749" s="221"/>
    </row>
    <row r="750" spans="3:3">
      <c r="C750" s="221"/>
    </row>
    <row r="751" spans="3:3">
      <c r="C751" s="221"/>
    </row>
    <row r="752" spans="3:3">
      <c r="C752" s="221"/>
    </row>
    <row r="753" spans="3:3">
      <c r="C753" s="221"/>
    </row>
    <row r="754" spans="3:3">
      <c r="C754" s="221"/>
    </row>
    <row r="755" spans="3:3">
      <c r="C755" s="221"/>
    </row>
    <row r="756" spans="3:3">
      <c r="C756" s="221"/>
    </row>
    <row r="757" spans="3:3">
      <c r="C757" s="221"/>
    </row>
    <row r="758" spans="3:3">
      <c r="C758" s="221"/>
    </row>
    <row r="759" spans="3:3">
      <c r="C759" s="221"/>
    </row>
    <row r="760" spans="3:3">
      <c r="C760" s="221"/>
    </row>
    <row r="761" spans="3:3">
      <c r="C761" s="221"/>
    </row>
    <row r="762" spans="3:3">
      <c r="C762" s="221"/>
    </row>
    <row r="763" spans="3:3">
      <c r="C763" s="221"/>
    </row>
    <row r="764" spans="3:3">
      <c r="C764" s="221"/>
    </row>
    <row r="765" spans="3:3">
      <c r="C765" s="221"/>
    </row>
    <row r="766" spans="3:3">
      <c r="C766" s="221"/>
    </row>
    <row r="767" spans="3:3">
      <c r="C767" s="221"/>
    </row>
    <row r="768" spans="3:3">
      <c r="C768" s="221"/>
    </row>
    <row r="769" spans="3:3">
      <c r="C769" s="221"/>
    </row>
    <row r="770" spans="3:3">
      <c r="C770" s="221"/>
    </row>
    <row r="771" spans="3:3">
      <c r="C771" s="221"/>
    </row>
    <row r="772" spans="3:3">
      <c r="C772" s="221"/>
    </row>
    <row r="773" spans="3:3">
      <c r="C773" s="221"/>
    </row>
    <row r="774" spans="3:3">
      <c r="C774" s="221"/>
    </row>
    <row r="775" spans="3:3">
      <c r="C775" s="221"/>
    </row>
    <row r="776" spans="3:3">
      <c r="C776" s="221"/>
    </row>
    <row r="777" spans="3:3">
      <c r="C777" s="221"/>
    </row>
    <row r="778" spans="3:3">
      <c r="C778" s="221"/>
    </row>
    <row r="779" spans="3:3">
      <c r="C779" s="221"/>
    </row>
    <row r="780" spans="3:3">
      <c r="C780" s="221"/>
    </row>
    <row r="781" spans="3:3">
      <c r="C781" s="221"/>
    </row>
    <row r="782" spans="3:3">
      <c r="C782" s="221"/>
    </row>
    <row r="783" spans="3:3">
      <c r="C783" s="221"/>
    </row>
    <row r="784" spans="3:3">
      <c r="C784" s="221"/>
    </row>
    <row r="785" spans="3:3">
      <c r="C785" s="221"/>
    </row>
    <row r="786" spans="3:3">
      <c r="C786" s="221"/>
    </row>
    <row r="787" spans="3:3">
      <c r="C787" s="221"/>
    </row>
    <row r="788" spans="3:3">
      <c r="C788" s="221"/>
    </row>
    <row r="789" spans="3:3">
      <c r="C789" s="221"/>
    </row>
    <row r="790" spans="3:3">
      <c r="C790" s="221"/>
    </row>
    <row r="791" spans="3:3">
      <c r="C791" s="221"/>
    </row>
    <row r="792" spans="3:3">
      <c r="C792" s="221"/>
    </row>
    <row r="793" spans="3:3">
      <c r="C793" s="221"/>
    </row>
    <row r="794" spans="3:3">
      <c r="C794" s="221"/>
    </row>
    <row r="795" spans="3:3">
      <c r="C795" s="221"/>
    </row>
    <row r="796" spans="3:3">
      <c r="C796" s="221"/>
    </row>
    <row r="797" spans="3:3">
      <c r="C797" s="221"/>
    </row>
    <row r="798" spans="3:3">
      <c r="C798" s="221"/>
    </row>
    <row r="799" spans="3:3">
      <c r="C799" s="221"/>
    </row>
    <row r="800" spans="3:3">
      <c r="C800" s="221"/>
    </row>
    <row r="801" spans="3:3">
      <c r="C801" s="221"/>
    </row>
    <row r="802" spans="3:3">
      <c r="C802" s="221"/>
    </row>
    <row r="803" spans="3:3">
      <c r="C803" s="221"/>
    </row>
    <row r="804" spans="3:3">
      <c r="C804" s="221"/>
    </row>
    <row r="805" spans="3:3">
      <c r="C805" s="221"/>
    </row>
    <row r="806" spans="3:3">
      <c r="C806" s="221"/>
    </row>
    <row r="807" spans="3:3">
      <c r="C807" s="221"/>
    </row>
    <row r="808" spans="3:3">
      <c r="C808" s="221"/>
    </row>
    <row r="809" spans="3:3">
      <c r="C809" s="221"/>
    </row>
    <row r="810" spans="3:3">
      <c r="C810" s="221"/>
    </row>
    <row r="811" spans="3:3">
      <c r="C811" s="221"/>
    </row>
    <row r="812" spans="3:3">
      <c r="C812" s="221"/>
    </row>
    <row r="813" spans="3:3">
      <c r="C813" s="221"/>
    </row>
    <row r="814" spans="3:3">
      <c r="C814" s="221"/>
    </row>
    <row r="815" spans="3:3">
      <c r="C815" s="221"/>
    </row>
    <row r="816" spans="3:3">
      <c r="C816" s="221"/>
    </row>
    <row r="817" spans="3:3">
      <c r="C817" s="221"/>
    </row>
    <row r="818" spans="3:3">
      <c r="C818" s="221"/>
    </row>
    <row r="819" spans="3:3">
      <c r="C819" s="221"/>
    </row>
    <row r="820" spans="3:3">
      <c r="C820" s="221"/>
    </row>
    <row r="821" spans="3:3">
      <c r="C821" s="221"/>
    </row>
    <row r="822" spans="3:3">
      <c r="C822" s="221"/>
    </row>
    <row r="823" spans="3:3">
      <c r="C823" s="221"/>
    </row>
    <row r="824" spans="3:3">
      <c r="C824" s="221"/>
    </row>
    <row r="825" spans="3:3">
      <c r="C825" s="221"/>
    </row>
    <row r="826" spans="3:3">
      <c r="C826" s="221"/>
    </row>
    <row r="827" spans="3:3">
      <c r="C827" s="221"/>
    </row>
    <row r="828" spans="3:3">
      <c r="C828" s="221"/>
    </row>
    <row r="829" spans="3:3">
      <c r="C829" s="221"/>
    </row>
    <row r="830" spans="3:3">
      <c r="C830" s="221"/>
    </row>
    <row r="831" spans="3:3">
      <c r="C831" s="221"/>
    </row>
    <row r="832" spans="3:3">
      <c r="C832" s="221"/>
    </row>
    <row r="833" spans="3:3">
      <c r="C833" s="221"/>
    </row>
    <row r="834" spans="3:3">
      <c r="C834" s="221"/>
    </row>
    <row r="835" spans="3:3">
      <c r="C835" s="221"/>
    </row>
    <row r="836" spans="3:3">
      <c r="C836" s="221"/>
    </row>
    <row r="837" spans="3:3">
      <c r="C837" s="221"/>
    </row>
    <row r="838" spans="3:3">
      <c r="C838" s="221"/>
    </row>
    <row r="839" spans="3:3">
      <c r="C839" s="221"/>
    </row>
    <row r="840" spans="3:3">
      <c r="C840" s="221"/>
    </row>
    <row r="841" spans="3:3">
      <c r="C841" s="221"/>
    </row>
    <row r="842" spans="3:3">
      <c r="C842" s="221"/>
    </row>
    <row r="843" spans="3:3">
      <c r="C843" s="221"/>
    </row>
    <row r="844" spans="3:3">
      <c r="C844" s="221"/>
    </row>
    <row r="845" spans="3:3">
      <c r="C845" s="221"/>
    </row>
    <row r="846" spans="3:3">
      <c r="C846" s="221"/>
    </row>
    <row r="847" spans="3:3">
      <c r="C847" s="221"/>
    </row>
    <row r="848" spans="3:3">
      <c r="C848" s="221"/>
    </row>
    <row r="849" spans="3:3">
      <c r="C849" s="221"/>
    </row>
    <row r="850" spans="3:3">
      <c r="C850" s="221"/>
    </row>
    <row r="851" spans="3:3">
      <c r="C851" s="221"/>
    </row>
    <row r="852" spans="3:3">
      <c r="C852" s="221"/>
    </row>
    <row r="853" spans="3:3">
      <c r="C853" s="221"/>
    </row>
    <row r="854" spans="3:3">
      <c r="C854" s="221"/>
    </row>
    <row r="855" spans="3:3">
      <c r="C855" s="221"/>
    </row>
    <row r="856" spans="3:3">
      <c r="C856" s="221"/>
    </row>
    <row r="857" spans="3:3">
      <c r="C857" s="221"/>
    </row>
    <row r="858" spans="3:3">
      <c r="C858" s="221"/>
    </row>
    <row r="859" spans="3:3">
      <c r="C859" s="221"/>
    </row>
    <row r="860" spans="3:3">
      <c r="C860" s="221"/>
    </row>
    <row r="861" spans="3:3">
      <c r="C861" s="221"/>
    </row>
    <row r="862" spans="3:3">
      <c r="C862" s="221"/>
    </row>
    <row r="863" spans="3:3">
      <c r="C863" s="221"/>
    </row>
    <row r="864" spans="3:3">
      <c r="C864" s="221"/>
    </row>
    <row r="865" spans="3:3">
      <c r="C865" s="221"/>
    </row>
    <row r="866" spans="3:3">
      <c r="C866" s="221"/>
    </row>
    <row r="867" spans="3:3">
      <c r="C867" s="221"/>
    </row>
    <row r="868" spans="3:3">
      <c r="C868" s="221"/>
    </row>
    <row r="869" spans="3:3">
      <c r="C869" s="221"/>
    </row>
    <row r="870" spans="3:3">
      <c r="C870" s="221"/>
    </row>
    <row r="871" spans="3:3">
      <c r="C871" s="221"/>
    </row>
    <row r="872" spans="3:3">
      <c r="C872" s="221"/>
    </row>
    <row r="873" spans="3:3">
      <c r="C873" s="221"/>
    </row>
    <row r="874" spans="3:3">
      <c r="C874" s="221"/>
    </row>
    <row r="875" spans="3:3">
      <c r="C875" s="221"/>
    </row>
    <row r="876" spans="3:3">
      <c r="C876" s="221"/>
    </row>
    <row r="877" spans="3:3">
      <c r="C877" s="221"/>
    </row>
    <row r="878" spans="3:3">
      <c r="C878" s="221"/>
    </row>
    <row r="879" spans="3:3">
      <c r="C879" s="221"/>
    </row>
    <row r="880" spans="3:3">
      <c r="C880" s="221"/>
    </row>
    <row r="881" spans="3:3">
      <c r="C881" s="221"/>
    </row>
    <row r="882" spans="3:3">
      <c r="C882" s="221"/>
    </row>
    <row r="883" spans="3:3">
      <c r="C883" s="221"/>
    </row>
    <row r="884" spans="3:3">
      <c r="C884" s="221"/>
    </row>
    <row r="885" spans="3:3">
      <c r="C885" s="221"/>
    </row>
    <row r="886" spans="3:3">
      <c r="C886" s="221"/>
    </row>
    <row r="887" spans="3:3">
      <c r="C887" s="221"/>
    </row>
    <row r="888" spans="3:3">
      <c r="C888" s="221"/>
    </row>
    <row r="889" spans="3:3">
      <c r="C889" s="221"/>
    </row>
    <row r="890" spans="3:3">
      <c r="C890" s="221"/>
    </row>
    <row r="891" spans="3:3">
      <c r="C891" s="221"/>
    </row>
    <row r="892" spans="3:3">
      <c r="C892" s="221"/>
    </row>
    <row r="893" spans="3:3">
      <c r="C893" s="221"/>
    </row>
    <row r="894" spans="3:3">
      <c r="C894" s="221"/>
    </row>
    <row r="895" spans="3:3">
      <c r="C895" s="221"/>
    </row>
    <row r="896" spans="3:3">
      <c r="C896" s="221"/>
    </row>
    <row r="897" spans="3:3">
      <c r="C897" s="221"/>
    </row>
    <row r="898" spans="3:3">
      <c r="C898" s="221"/>
    </row>
    <row r="899" spans="3:3">
      <c r="C899" s="221"/>
    </row>
    <row r="900" spans="3:3">
      <c r="C900" s="221"/>
    </row>
    <row r="901" spans="3:3">
      <c r="C901" s="221"/>
    </row>
    <row r="902" spans="3:3">
      <c r="C902" s="221"/>
    </row>
    <row r="903" spans="3:3">
      <c r="C903" s="221"/>
    </row>
    <row r="904" spans="3:3">
      <c r="C904" s="221"/>
    </row>
    <row r="905" spans="3:3">
      <c r="C905" s="221"/>
    </row>
    <row r="906" spans="3:3">
      <c r="C906" s="221"/>
    </row>
    <row r="907" spans="3:3">
      <c r="C907" s="221"/>
    </row>
    <row r="908" spans="3:3">
      <c r="C908" s="221"/>
    </row>
    <row r="909" spans="3:3">
      <c r="C909" s="221"/>
    </row>
    <row r="910" spans="3:3">
      <c r="C910" s="221"/>
    </row>
    <row r="911" spans="3:3">
      <c r="C911" s="221"/>
    </row>
    <row r="912" spans="3:3">
      <c r="C912" s="221"/>
    </row>
    <row r="913" spans="3:3">
      <c r="C913" s="221"/>
    </row>
    <row r="914" spans="3:3">
      <c r="C914" s="221"/>
    </row>
    <row r="915" spans="3:3">
      <c r="C915" s="221"/>
    </row>
    <row r="916" spans="3:3">
      <c r="C916" s="221"/>
    </row>
    <row r="917" spans="3:3">
      <c r="C917" s="221"/>
    </row>
    <row r="918" spans="3:3">
      <c r="C918" s="221"/>
    </row>
    <row r="919" spans="3:3">
      <c r="C919" s="221"/>
    </row>
    <row r="920" spans="3:3">
      <c r="C920" s="221"/>
    </row>
    <row r="921" spans="3:3">
      <c r="C921" s="221"/>
    </row>
    <row r="922" spans="3:3">
      <c r="C922" s="221"/>
    </row>
    <row r="923" spans="3:3">
      <c r="C923" s="221"/>
    </row>
    <row r="924" spans="3:3">
      <c r="C924" s="221"/>
    </row>
    <row r="925" spans="3:3">
      <c r="C925" s="221"/>
    </row>
    <row r="926" spans="3:3">
      <c r="C926" s="221"/>
    </row>
    <row r="927" spans="3:3">
      <c r="C927" s="221"/>
    </row>
    <row r="928" spans="3:3">
      <c r="C928" s="221"/>
    </row>
    <row r="929" spans="3:3">
      <c r="C929" s="221"/>
    </row>
    <row r="930" spans="3:3">
      <c r="C930" s="221"/>
    </row>
    <row r="931" spans="3:3">
      <c r="C931" s="221"/>
    </row>
    <row r="932" spans="3:3">
      <c r="C932" s="221"/>
    </row>
    <row r="933" spans="3:3">
      <c r="C933" s="221"/>
    </row>
    <row r="934" spans="3:3">
      <c r="C934" s="221"/>
    </row>
    <row r="935" spans="3:3">
      <c r="C935" s="221"/>
    </row>
    <row r="936" spans="3:3">
      <c r="C936" s="221"/>
    </row>
    <row r="937" spans="3:3">
      <c r="C937" s="221"/>
    </row>
    <row r="938" spans="3:3">
      <c r="C938" s="221"/>
    </row>
    <row r="939" spans="3:3">
      <c r="C939" s="221"/>
    </row>
    <row r="940" spans="3:3">
      <c r="C940" s="221"/>
    </row>
    <row r="941" spans="3:3">
      <c r="C941" s="221"/>
    </row>
    <row r="942" spans="3:3">
      <c r="C942" s="221"/>
    </row>
    <row r="943" spans="3:3">
      <c r="C943" s="221"/>
    </row>
    <row r="944" spans="3:3">
      <c r="C944" s="221"/>
    </row>
    <row r="945" spans="3:3">
      <c r="C945" s="221"/>
    </row>
    <row r="946" spans="3:3">
      <c r="C946" s="221"/>
    </row>
    <row r="947" spans="3:3">
      <c r="C947" s="221"/>
    </row>
    <row r="948" spans="3:3">
      <c r="C948" s="221"/>
    </row>
    <row r="949" spans="3:3">
      <c r="C949" s="221"/>
    </row>
    <row r="950" spans="3:3">
      <c r="C950" s="221"/>
    </row>
    <row r="951" spans="3:3">
      <c r="C951" s="221"/>
    </row>
    <row r="952" spans="3:3">
      <c r="C952" s="221"/>
    </row>
    <row r="953" spans="3:3">
      <c r="C953" s="221"/>
    </row>
    <row r="954" spans="3:3">
      <c r="C954" s="221"/>
    </row>
    <row r="955" spans="3:3">
      <c r="C955" s="221"/>
    </row>
    <row r="956" spans="3:3">
      <c r="C956" s="221"/>
    </row>
    <row r="957" spans="3:3">
      <c r="C957" s="221"/>
    </row>
    <row r="958" spans="3:3">
      <c r="C958" s="221"/>
    </row>
    <row r="959" spans="3:3">
      <c r="C959" s="221"/>
    </row>
    <row r="960" spans="3:3">
      <c r="C960" s="221"/>
    </row>
    <row r="961" spans="3:3">
      <c r="C961" s="221"/>
    </row>
    <row r="962" spans="3:3">
      <c r="C962" s="221"/>
    </row>
    <row r="963" spans="3:3">
      <c r="C963" s="221"/>
    </row>
    <row r="964" spans="3:3">
      <c r="C964" s="221"/>
    </row>
    <row r="965" spans="3:3">
      <c r="C965" s="221"/>
    </row>
    <row r="966" spans="3:3">
      <c r="C966" s="221"/>
    </row>
    <row r="967" spans="3:3">
      <c r="C967" s="221"/>
    </row>
    <row r="968" spans="3:3">
      <c r="C968" s="221"/>
    </row>
    <row r="969" spans="3:3">
      <c r="C969" s="221"/>
    </row>
    <row r="970" spans="3:3">
      <c r="C970" s="221"/>
    </row>
    <row r="971" spans="3:3">
      <c r="C971" s="221"/>
    </row>
    <row r="972" spans="3:3">
      <c r="C972" s="221"/>
    </row>
    <row r="973" spans="3:3">
      <c r="C973" s="221"/>
    </row>
    <row r="974" spans="3:3">
      <c r="C974" s="221"/>
    </row>
    <row r="975" spans="3:3">
      <c r="C975" s="221"/>
    </row>
    <row r="976" spans="3:3">
      <c r="C976" s="221"/>
    </row>
    <row r="977" spans="3:3">
      <c r="C977" s="221"/>
    </row>
    <row r="978" spans="3:3">
      <c r="C978" s="221"/>
    </row>
    <row r="979" spans="3:3">
      <c r="C979" s="221"/>
    </row>
    <row r="980" spans="3:3">
      <c r="C980" s="221"/>
    </row>
    <row r="981" spans="3:3">
      <c r="C981" s="221"/>
    </row>
    <row r="982" spans="3:3">
      <c r="C982" s="221"/>
    </row>
    <row r="983" spans="3:3">
      <c r="C983" s="221"/>
    </row>
    <row r="984" spans="3:3">
      <c r="C984" s="221"/>
    </row>
    <row r="985" spans="3:3">
      <c r="C985" s="221"/>
    </row>
    <row r="986" spans="3:3">
      <c r="C986" s="221"/>
    </row>
    <row r="987" spans="3:3">
      <c r="C987" s="221"/>
    </row>
    <row r="988" spans="3:3">
      <c r="C988" s="221"/>
    </row>
    <row r="989" spans="3:3">
      <c r="C989" s="221"/>
    </row>
    <row r="990" spans="3:3">
      <c r="C990" s="221"/>
    </row>
    <row r="991" spans="3:3">
      <c r="C991" s="221"/>
    </row>
    <row r="992" spans="3:3">
      <c r="C992" s="221"/>
    </row>
    <row r="993" spans="3:3">
      <c r="C993" s="221"/>
    </row>
    <row r="994" spans="3:3">
      <c r="C994" s="221"/>
    </row>
    <row r="995" spans="3:3">
      <c r="C995" s="221"/>
    </row>
    <row r="996" spans="3:3">
      <c r="C996" s="221"/>
    </row>
    <row r="997" spans="3:3">
      <c r="C997" s="221"/>
    </row>
    <row r="998" spans="3:3">
      <c r="C998" s="221"/>
    </row>
    <row r="999" spans="3:3">
      <c r="C999" s="221"/>
    </row>
    <row r="1000" spans="3:3">
      <c r="C1000" s="221"/>
    </row>
    <row r="1001" spans="3:3">
      <c r="C1001" s="221"/>
    </row>
    <row r="1002" spans="3:3">
      <c r="C1002" s="221"/>
    </row>
    <row r="1003" spans="3:3">
      <c r="C1003" s="221"/>
    </row>
    <row r="1004" spans="3:3">
      <c r="C1004" s="221"/>
    </row>
    <row r="1005" spans="3:3">
      <c r="C1005" s="221"/>
    </row>
    <row r="1006" spans="3:3">
      <c r="C1006" s="221"/>
    </row>
    <row r="1007" spans="3:3">
      <c r="C1007" s="221"/>
    </row>
    <row r="1008" spans="3:3">
      <c r="C1008" s="221"/>
    </row>
    <row r="1009" spans="3:3">
      <c r="C1009" s="221"/>
    </row>
    <row r="1010" spans="3:3">
      <c r="C1010" s="221"/>
    </row>
    <row r="1011" spans="3:3">
      <c r="C1011" s="221"/>
    </row>
    <row r="1012" spans="3:3">
      <c r="C1012" s="221"/>
    </row>
    <row r="1013" spans="3:3">
      <c r="C1013" s="221"/>
    </row>
    <row r="1014" spans="3:3">
      <c r="C1014" s="221"/>
    </row>
    <row r="1015" spans="3:3">
      <c r="C1015" s="221"/>
    </row>
    <row r="1016" spans="3:3">
      <c r="C1016" s="221"/>
    </row>
    <row r="1017" spans="3:3">
      <c r="C1017" s="221"/>
    </row>
    <row r="1018" spans="3:3">
      <c r="C1018" s="221"/>
    </row>
    <row r="1019" spans="3:3">
      <c r="C1019" s="221"/>
    </row>
    <row r="1020" spans="3:3">
      <c r="C1020" s="221"/>
    </row>
    <row r="1021" spans="3:3">
      <c r="C1021" s="221"/>
    </row>
    <row r="1022" spans="3:3">
      <c r="C1022" s="221"/>
    </row>
    <row r="1023" spans="3:3">
      <c r="C1023" s="221"/>
    </row>
    <row r="1024" spans="3:3">
      <c r="C1024" s="221"/>
    </row>
    <row r="1025" spans="3:3">
      <c r="C1025" s="221"/>
    </row>
    <row r="1026" spans="3:3">
      <c r="C1026" s="221"/>
    </row>
    <row r="1027" spans="3:3">
      <c r="C1027" s="221"/>
    </row>
    <row r="1028" spans="3:3">
      <c r="C1028" s="221"/>
    </row>
    <row r="1029" spans="3:3">
      <c r="C1029" s="221"/>
    </row>
    <row r="1030" spans="3:3">
      <c r="C1030" s="221"/>
    </row>
    <row r="1031" spans="3:3">
      <c r="C1031" s="221"/>
    </row>
    <row r="1032" spans="3:3">
      <c r="C1032" s="221"/>
    </row>
    <row r="1033" spans="3:3">
      <c r="C1033" s="221"/>
    </row>
    <row r="1034" spans="3:3">
      <c r="C1034" s="221"/>
    </row>
    <row r="1035" spans="3:3">
      <c r="C1035" s="221"/>
    </row>
    <row r="1036" spans="3:3">
      <c r="C1036" s="221"/>
    </row>
    <row r="1037" spans="3:3">
      <c r="C1037" s="221"/>
    </row>
    <row r="1038" spans="3:3">
      <c r="C1038" s="221"/>
    </row>
    <row r="1039" spans="3:3">
      <c r="C1039" s="221"/>
    </row>
    <row r="1040" spans="3:3">
      <c r="C1040" s="221"/>
    </row>
    <row r="1041" spans="3:3">
      <c r="C1041" s="221"/>
    </row>
    <row r="1042" spans="3:3">
      <c r="C1042" s="221"/>
    </row>
    <row r="1043" spans="3:3">
      <c r="C1043" s="221"/>
    </row>
    <row r="1044" spans="3:3">
      <c r="C1044" s="221"/>
    </row>
    <row r="1045" spans="3:3">
      <c r="C1045" s="221"/>
    </row>
    <row r="1046" spans="3:3">
      <c r="C1046" s="221"/>
    </row>
    <row r="1047" spans="3:3">
      <c r="C1047" s="221"/>
    </row>
    <row r="1048" spans="3:3">
      <c r="C1048" s="221"/>
    </row>
    <row r="1049" spans="3:3">
      <c r="C1049" s="221"/>
    </row>
    <row r="1050" spans="3:3">
      <c r="C1050" s="221"/>
    </row>
    <row r="1051" spans="3:3">
      <c r="C1051" s="221"/>
    </row>
    <row r="1052" spans="3:3">
      <c r="C1052" s="221"/>
    </row>
    <row r="1053" spans="3:3">
      <c r="C1053" s="221"/>
    </row>
    <row r="1054" spans="3:3">
      <c r="C1054" s="221"/>
    </row>
    <row r="1055" spans="3:3">
      <c r="C1055" s="221"/>
    </row>
    <row r="1056" spans="3:3">
      <c r="C1056" s="221"/>
    </row>
    <row r="1057" spans="3:3">
      <c r="C1057" s="221"/>
    </row>
    <row r="1058" spans="3:3">
      <c r="C1058" s="221"/>
    </row>
    <row r="1059" spans="3:3">
      <c r="C1059" s="221"/>
    </row>
    <row r="1060" spans="3:3">
      <c r="C1060" s="221"/>
    </row>
    <row r="1061" spans="3:3">
      <c r="C1061" s="221"/>
    </row>
    <row r="1062" spans="3:3">
      <c r="C1062" s="221"/>
    </row>
    <row r="1063" spans="3:3">
      <c r="C1063" s="221"/>
    </row>
    <row r="1064" spans="3:3">
      <c r="C1064" s="221"/>
    </row>
    <row r="1065" spans="3:3">
      <c r="C1065" s="221"/>
    </row>
    <row r="1066" spans="3:3">
      <c r="C1066" s="221"/>
    </row>
    <row r="1067" spans="3:3">
      <c r="C1067" s="221"/>
    </row>
    <row r="1068" spans="3:3">
      <c r="C1068" s="221"/>
    </row>
    <row r="1069" spans="3:3">
      <c r="C1069" s="221"/>
    </row>
    <row r="1070" spans="3:3">
      <c r="C1070" s="221"/>
    </row>
    <row r="1071" spans="3:3">
      <c r="C1071" s="221"/>
    </row>
    <row r="1072" spans="3:3">
      <c r="C1072" s="221"/>
    </row>
    <row r="1073" spans="3:3">
      <c r="C1073" s="221"/>
    </row>
    <row r="1074" spans="3:3">
      <c r="C1074" s="221"/>
    </row>
    <row r="1075" spans="3:3">
      <c r="C1075" s="221"/>
    </row>
    <row r="1076" spans="3:3">
      <c r="C1076" s="221"/>
    </row>
    <row r="1077" spans="3:3">
      <c r="C1077" s="221"/>
    </row>
    <row r="1078" spans="3:3">
      <c r="C1078" s="221"/>
    </row>
    <row r="1079" spans="3:3">
      <c r="C1079" s="221"/>
    </row>
    <row r="1080" spans="3:3">
      <c r="C1080" s="221"/>
    </row>
    <row r="1081" spans="3:3">
      <c r="C1081" s="221"/>
    </row>
    <row r="1082" spans="3:3">
      <c r="C1082" s="221"/>
    </row>
    <row r="1083" spans="3:3">
      <c r="C1083" s="221"/>
    </row>
    <row r="1084" spans="3:3">
      <c r="C1084" s="221"/>
    </row>
    <row r="1085" spans="3:3">
      <c r="C1085" s="221"/>
    </row>
    <row r="1086" spans="3:3">
      <c r="C1086" s="221"/>
    </row>
    <row r="1087" spans="3:3">
      <c r="C1087" s="221"/>
    </row>
    <row r="1088" spans="3:3">
      <c r="C1088" s="221"/>
    </row>
    <row r="1089" spans="3:3">
      <c r="C1089" s="221"/>
    </row>
    <row r="1090" spans="3:3">
      <c r="C1090" s="221"/>
    </row>
    <row r="1091" spans="3:3">
      <c r="C1091" s="221"/>
    </row>
    <row r="1092" spans="3:3">
      <c r="C1092" s="221"/>
    </row>
    <row r="1093" spans="3:3">
      <c r="C1093" s="221"/>
    </row>
    <row r="1094" spans="3:3">
      <c r="C1094" s="221"/>
    </row>
    <row r="1095" spans="3:3">
      <c r="C1095" s="221"/>
    </row>
    <row r="1096" spans="3:3">
      <c r="C1096" s="221"/>
    </row>
    <row r="1097" spans="3:3">
      <c r="C1097" s="221"/>
    </row>
    <row r="1098" spans="3:3">
      <c r="C1098" s="221"/>
    </row>
    <row r="1099" spans="3:3">
      <c r="C1099" s="221"/>
    </row>
    <row r="1100" spans="3:3">
      <c r="C1100" s="221"/>
    </row>
    <row r="1101" spans="3:3">
      <c r="C1101" s="221"/>
    </row>
    <row r="1102" spans="3:3">
      <c r="C1102" s="221"/>
    </row>
    <row r="1103" spans="3:3">
      <c r="C1103" s="221"/>
    </row>
    <row r="1104" spans="3:3">
      <c r="C1104" s="221"/>
    </row>
    <row r="1105" spans="3:3">
      <c r="C1105" s="221"/>
    </row>
    <row r="1106" spans="3:3">
      <c r="C1106" s="221"/>
    </row>
    <row r="1107" spans="3:3">
      <c r="C1107" s="221"/>
    </row>
    <row r="1108" spans="3:3">
      <c r="C1108" s="221"/>
    </row>
    <row r="1109" spans="3:3">
      <c r="C1109" s="221"/>
    </row>
    <row r="1110" spans="3:3">
      <c r="C1110" s="221"/>
    </row>
    <row r="1111" spans="3:3">
      <c r="C1111" s="221"/>
    </row>
    <row r="1112" spans="3:3">
      <c r="C1112" s="221"/>
    </row>
    <row r="1113" spans="3:3">
      <c r="C1113" s="221"/>
    </row>
    <row r="1114" spans="3:3">
      <c r="C1114" s="221"/>
    </row>
    <row r="1115" spans="3:3">
      <c r="C1115" s="221"/>
    </row>
    <row r="1116" spans="3:3">
      <c r="C1116" s="221"/>
    </row>
    <row r="1117" spans="3:3">
      <c r="C1117" s="221"/>
    </row>
    <row r="1118" spans="3:3">
      <c r="C1118" s="221"/>
    </row>
    <row r="1119" spans="3:3">
      <c r="C1119" s="221"/>
    </row>
    <row r="1120" spans="3:3">
      <c r="C1120" s="221"/>
    </row>
    <row r="1121" spans="3:3">
      <c r="C1121" s="221"/>
    </row>
    <row r="1122" spans="3:3">
      <c r="C1122" s="221"/>
    </row>
    <row r="1123" spans="3:3">
      <c r="C1123" s="221"/>
    </row>
    <row r="1124" spans="3:3">
      <c r="C1124" s="221"/>
    </row>
    <row r="1125" spans="3:3">
      <c r="C1125" s="221"/>
    </row>
    <row r="1126" spans="3:3">
      <c r="C1126" s="221"/>
    </row>
    <row r="1127" spans="3:3">
      <c r="C1127" s="221"/>
    </row>
    <row r="1128" spans="3:3">
      <c r="C1128" s="221"/>
    </row>
    <row r="1129" spans="3:3">
      <c r="C1129" s="221"/>
    </row>
    <row r="1130" spans="3:3">
      <c r="C1130" s="221"/>
    </row>
    <row r="1131" spans="3:3">
      <c r="C1131" s="221"/>
    </row>
    <row r="1132" spans="3:3">
      <c r="C1132" s="221"/>
    </row>
    <row r="1133" spans="3:3">
      <c r="C1133" s="221"/>
    </row>
    <row r="1134" spans="3:3">
      <c r="C1134" s="221"/>
    </row>
    <row r="1135" spans="3:3">
      <c r="C1135" s="221"/>
    </row>
    <row r="1136" spans="3:3">
      <c r="C1136" s="221"/>
    </row>
    <row r="1137" spans="3:3">
      <c r="C1137" s="221"/>
    </row>
    <row r="1138" spans="3:3">
      <c r="C1138" s="221"/>
    </row>
    <row r="1139" spans="3:3">
      <c r="C1139" s="221"/>
    </row>
    <row r="1140" spans="3:3">
      <c r="C1140" s="221"/>
    </row>
    <row r="1141" spans="3:3">
      <c r="C1141" s="221"/>
    </row>
    <row r="1142" spans="3:3">
      <c r="C1142" s="221"/>
    </row>
    <row r="1143" spans="3:3">
      <c r="C1143" s="221"/>
    </row>
    <row r="1144" spans="3:3">
      <c r="C1144" s="221"/>
    </row>
    <row r="1145" spans="3:3">
      <c r="C1145" s="221"/>
    </row>
    <row r="1146" spans="3:3">
      <c r="C1146" s="221"/>
    </row>
    <row r="1147" spans="3:3">
      <c r="C1147" s="221"/>
    </row>
    <row r="1148" spans="3:3">
      <c r="C1148" s="221"/>
    </row>
    <row r="1149" spans="3:3">
      <c r="C1149" s="221"/>
    </row>
    <row r="1150" spans="3:3">
      <c r="C1150" s="221"/>
    </row>
    <row r="1151" spans="3:3">
      <c r="C1151" s="221"/>
    </row>
    <row r="1152" spans="3:3">
      <c r="C1152" s="221"/>
    </row>
    <row r="1153" spans="3:3">
      <c r="C1153" s="221"/>
    </row>
    <row r="1154" spans="3:3">
      <c r="C1154" s="221"/>
    </row>
    <row r="1155" spans="3:3">
      <c r="C1155" s="221"/>
    </row>
    <row r="1156" spans="3:3">
      <c r="C1156" s="221"/>
    </row>
    <row r="1157" spans="3:3">
      <c r="C1157" s="221"/>
    </row>
    <row r="1158" spans="3:3">
      <c r="C1158" s="221"/>
    </row>
    <row r="1159" spans="3:3">
      <c r="C1159" s="221"/>
    </row>
    <row r="1160" spans="3:3">
      <c r="C1160" s="221"/>
    </row>
    <row r="1161" spans="3:3">
      <c r="C1161" s="221"/>
    </row>
    <row r="1162" spans="3:3">
      <c r="C1162" s="221"/>
    </row>
    <row r="1163" spans="3:3">
      <c r="C1163" s="221"/>
    </row>
    <row r="1164" spans="3:3">
      <c r="C1164" s="221"/>
    </row>
    <row r="1165" spans="3:3">
      <c r="C1165" s="221"/>
    </row>
    <row r="1166" spans="3:3">
      <c r="C1166" s="221"/>
    </row>
    <row r="1167" spans="3:3">
      <c r="C1167" s="221"/>
    </row>
    <row r="1168" spans="3:3">
      <c r="C1168" s="221"/>
    </row>
    <row r="1169" spans="3:3">
      <c r="C1169" s="221"/>
    </row>
    <row r="1170" spans="3:3">
      <c r="C1170" s="221"/>
    </row>
    <row r="1171" spans="3:3">
      <c r="C1171" s="221"/>
    </row>
    <row r="1172" spans="3:3">
      <c r="C1172" s="221"/>
    </row>
    <row r="1173" spans="3:3">
      <c r="C1173" s="221"/>
    </row>
    <row r="1174" spans="3:3">
      <c r="C1174" s="221"/>
    </row>
    <row r="1175" spans="3:3">
      <c r="C1175" s="221"/>
    </row>
    <row r="1176" spans="3:3">
      <c r="C1176" s="221"/>
    </row>
    <row r="1177" spans="3:3">
      <c r="C1177" s="221"/>
    </row>
    <row r="1178" spans="3:3">
      <c r="C1178" s="221"/>
    </row>
    <row r="1179" spans="3:3">
      <c r="C1179" s="221"/>
    </row>
    <row r="1180" spans="3:3">
      <c r="C1180" s="221"/>
    </row>
    <row r="1181" spans="3:3">
      <c r="C1181" s="221"/>
    </row>
    <row r="1182" spans="3:3">
      <c r="C1182" s="221"/>
    </row>
    <row r="1183" spans="3:3">
      <c r="C1183" s="221"/>
    </row>
    <row r="1184" spans="3:3">
      <c r="C1184" s="221"/>
    </row>
    <row r="1185" spans="3:3">
      <c r="C1185" s="221"/>
    </row>
    <row r="1186" spans="3:3">
      <c r="C1186" s="221"/>
    </row>
    <row r="1187" spans="3:3">
      <c r="C1187" s="221"/>
    </row>
    <row r="1188" spans="3:3">
      <c r="C1188" s="221"/>
    </row>
    <row r="1189" spans="3:3">
      <c r="C1189" s="221"/>
    </row>
    <row r="1190" spans="3:3">
      <c r="C1190" s="221"/>
    </row>
    <row r="1191" spans="3:3">
      <c r="C1191" s="221"/>
    </row>
    <row r="1192" spans="3:3">
      <c r="C1192" s="221"/>
    </row>
    <row r="1193" spans="3:3">
      <c r="C1193" s="221"/>
    </row>
    <row r="1194" spans="3:3">
      <c r="C1194" s="221"/>
    </row>
    <row r="1195" spans="3:3">
      <c r="C1195" s="221"/>
    </row>
    <row r="1196" spans="3:3">
      <c r="C1196" s="221"/>
    </row>
    <row r="1197" spans="3:3">
      <c r="C1197" s="221"/>
    </row>
    <row r="1198" spans="3:3">
      <c r="C1198" s="221"/>
    </row>
    <row r="1199" spans="3:3">
      <c r="C1199" s="221"/>
    </row>
    <row r="1200" spans="3:3">
      <c r="C1200" s="221"/>
    </row>
    <row r="1201" spans="3:3">
      <c r="C1201" s="221"/>
    </row>
    <row r="1202" spans="3:3">
      <c r="C1202" s="221"/>
    </row>
    <row r="1203" spans="3:3">
      <c r="C1203" s="221"/>
    </row>
    <row r="1204" spans="3:3">
      <c r="C1204" s="221"/>
    </row>
    <row r="1205" spans="3:3">
      <c r="C1205" s="221"/>
    </row>
    <row r="1206" spans="3:3">
      <c r="C1206" s="221"/>
    </row>
    <row r="1207" spans="3:3">
      <c r="C1207" s="221"/>
    </row>
    <row r="1208" spans="3:3">
      <c r="C1208" s="221"/>
    </row>
    <row r="1209" spans="3:3">
      <c r="C1209" s="221"/>
    </row>
    <row r="1210" spans="3:3">
      <c r="C1210" s="221"/>
    </row>
    <row r="1211" spans="3:3">
      <c r="C1211" s="221"/>
    </row>
    <row r="1212" spans="3:3">
      <c r="C1212" s="221"/>
    </row>
    <row r="1213" spans="3:3">
      <c r="C1213" s="221"/>
    </row>
    <row r="1214" spans="3:3">
      <c r="C1214" s="221"/>
    </row>
    <row r="1215" spans="3:3">
      <c r="C1215" s="221"/>
    </row>
    <row r="1216" spans="3:3">
      <c r="C1216" s="221"/>
    </row>
    <row r="1217" spans="3:3">
      <c r="C1217" s="221"/>
    </row>
    <row r="1218" spans="3:3">
      <c r="C1218" s="221"/>
    </row>
    <row r="1219" spans="3:3">
      <c r="C1219" s="221"/>
    </row>
    <row r="1220" spans="3:3">
      <c r="C1220" s="221"/>
    </row>
    <row r="1221" spans="3:3">
      <c r="C1221" s="221"/>
    </row>
    <row r="1222" spans="3:3">
      <c r="C1222" s="221"/>
    </row>
    <row r="1223" spans="3:3">
      <c r="C1223" s="221"/>
    </row>
    <row r="1224" spans="3:3">
      <c r="C1224" s="221"/>
    </row>
    <row r="1225" spans="3:3">
      <c r="C1225" s="221"/>
    </row>
    <row r="1226" spans="3:3">
      <c r="C1226" s="221"/>
    </row>
    <row r="1227" spans="3:3">
      <c r="C1227" s="221"/>
    </row>
    <row r="1228" spans="3:3">
      <c r="C1228" s="221"/>
    </row>
    <row r="1229" spans="3:3">
      <c r="C1229" s="221"/>
    </row>
    <row r="1230" spans="3:3">
      <c r="C1230" s="221"/>
    </row>
    <row r="1231" spans="3:3">
      <c r="C1231" s="221"/>
    </row>
    <row r="1232" spans="3:3">
      <c r="C1232" s="221"/>
    </row>
    <row r="1233" spans="3:3">
      <c r="C1233" s="221"/>
    </row>
    <row r="1234" spans="3:3">
      <c r="C1234" s="221"/>
    </row>
    <row r="1235" spans="3:3">
      <c r="C1235" s="221"/>
    </row>
    <row r="1236" spans="3:3">
      <c r="C1236" s="221"/>
    </row>
    <row r="1237" spans="3:3">
      <c r="C1237" s="221"/>
    </row>
    <row r="1238" spans="3:3">
      <c r="C1238" s="221"/>
    </row>
    <row r="1239" spans="3:3">
      <c r="C1239" s="221"/>
    </row>
    <row r="1240" spans="3:3">
      <c r="C1240" s="221"/>
    </row>
    <row r="1241" spans="3:3">
      <c r="C1241" s="221"/>
    </row>
    <row r="1242" spans="3:3">
      <c r="C1242" s="221"/>
    </row>
    <row r="1243" spans="3:3">
      <c r="C1243" s="221"/>
    </row>
    <row r="1244" spans="3:3">
      <c r="C1244" s="221"/>
    </row>
    <row r="1245" spans="3:3">
      <c r="C1245" s="221"/>
    </row>
    <row r="1246" spans="3:3">
      <c r="C1246" s="221"/>
    </row>
    <row r="1247" spans="3:3">
      <c r="C1247" s="221"/>
    </row>
    <row r="1248" spans="3:3">
      <c r="C1248" s="221"/>
    </row>
    <row r="1249" spans="3:3">
      <c r="C1249" s="221"/>
    </row>
    <row r="1250" spans="3:3">
      <c r="C1250" s="221"/>
    </row>
    <row r="1251" spans="3:3">
      <c r="C1251" s="221"/>
    </row>
    <row r="1252" spans="3:3">
      <c r="C1252" s="221"/>
    </row>
    <row r="1253" spans="3:3">
      <c r="C1253" s="221"/>
    </row>
    <row r="1254" spans="3:3">
      <c r="C1254" s="221"/>
    </row>
    <row r="1255" spans="3:3">
      <c r="C1255" s="221"/>
    </row>
    <row r="1256" spans="3:3">
      <c r="C1256" s="221"/>
    </row>
    <row r="1257" spans="3:3">
      <c r="C1257" s="221"/>
    </row>
    <row r="1258" spans="3:3">
      <c r="C1258" s="221"/>
    </row>
    <row r="1259" spans="3:3">
      <c r="C1259" s="221"/>
    </row>
    <row r="1260" spans="3:3">
      <c r="C1260" s="221"/>
    </row>
    <row r="1261" spans="3:3">
      <c r="C1261" s="221"/>
    </row>
    <row r="1262" spans="3:3">
      <c r="C1262" s="221"/>
    </row>
    <row r="1263" spans="3:3">
      <c r="C1263" s="221"/>
    </row>
    <row r="1264" spans="3:3">
      <c r="C1264" s="221"/>
    </row>
    <row r="1265" spans="3:3">
      <c r="C1265" s="221"/>
    </row>
    <row r="1266" spans="3:3">
      <c r="C1266" s="221"/>
    </row>
    <row r="1267" spans="3:3">
      <c r="C1267" s="221"/>
    </row>
    <row r="1268" spans="3:3">
      <c r="C1268" s="221"/>
    </row>
    <row r="1269" spans="3:3">
      <c r="C1269" s="221"/>
    </row>
    <row r="1270" spans="3:3">
      <c r="C1270" s="221"/>
    </row>
    <row r="1271" spans="3:3">
      <c r="C1271" s="221"/>
    </row>
    <row r="1272" spans="3:3">
      <c r="C1272" s="221"/>
    </row>
    <row r="1273" spans="3:3">
      <c r="C1273" s="221"/>
    </row>
    <row r="1274" spans="3:3">
      <c r="C1274" s="221"/>
    </row>
    <row r="1275" spans="3:3">
      <c r="C1275" s="221"/>
    </row>
    <row r="1276" spans="3:3">
      <c r="C1276" s="221"/>
    </row>
    <row r="1277" spans="3:3">
      <c r="C1277" s="221"/>
    </row>
    <row r="1278" spans="3:3">
      <c r="C1278" s="221"/>
    </row>
    <row r="1279" spans="3:3">
      <c r="C1279" s="221"/>
    </row>
    <row r="1280" spans="3:3">
      <c r="C1280" s="221"/>
    </row>
    <row r="1281" spans="3:3">
      <c r="C1281" s="221"/>
    </row>
    <row r="1282" spans="3:3">
      <c r="C1282" s="221"/>
    </row>
    <row r="1283" spans="3:3">
      <c r="C1283" s="221"/>
    </row>
    <row r="1284" spans="3:3">
      <c r="C1284" s="221"/>
    </row>
    <row r="1285" spans="3:3">
      <c r="C1285" s="221"/>
    </row>
    <row r="1286" spans="3:3">
      <c r="C1286" s="221"/>
    </row>
    <row r="1287" spans="3:3">
      <c r="C1287" s="221"/>
    </row>
    <row r="1288" spans="3:3">
      <c r="C1288" s="221"/>
    </row>
    <row r="1289" spans="3:3">
      <c r="C1289" s="221"/>
    </row>
    <row r="1290" spans="3:3">
      <c r="C1290" s="221"/>
    </row>
    <row r="1291" spans="3:3">
      <c r="C1291" s="221"/>
    </row>
    <row r="1292" spans="3:3">
      <c r="C1292" s="221"/>
    </row>
    <row r="1293" spans="3:3">
      <c r="C1293" s="221"/>
    </row>
    <row r="1294" spans="3:3">
      <c r="C1294" s="221"/>
    </row>
    <row r="1295" spans="3:3">
      <c r="C1295" s="221"/>
    </row>
    <row r="1296" spans="3:3">
      <c r="C1296" s="221"/>
    </row>
    <row r="1297" spans="3:3">
      <c r="C1297" s="221"/>
    </row>
    <row r="1298" spans="3:3">
      <c r="C1298" s="221"/>
    </row>
    <row r="1299" spans="3:3">
      <c r="C1299" s="221"/>
    </row>
    <row r="1300" spans="3:3">
      <c r="C1300" s="221"/>
    </row>
    <row r="1301" spans="3:3">
      <c r="C1301" s="221"/>
    </row>
    <row r="1302" spans="3:3">
      <c r="C1302" s="221"/>
    </row>
    <row r="1303" spans="3:3">
      <c r="C1303" s="221"/>
    </row>
    <row r="1304" spans="3:3">
      <c r="C1304" s="221"/>
    </row>
    <row r="1305" spans="3:3">
      <c r="C1305" s="221"/>
    </row>
    <row r="1306" spans="3:3">
      <c r="C1306" s="221"/>
    </row>
    <row r="1307" spans="3:3">
      <c r="C1307" s="221"/>
    </row>
    <row r="1308" spans="3:3">
      <c r="C1308" s="221"/>
    </row>
    <row r="1309" spans="3:3">
      <c r="C1309" s="221"/>
    </row>
    <row r="1310" spans="3:3">
      <c r="C1310" s="221"/>
    </row>
    <row r="1311" spans="3:3">
      <c r="C1311" s="221"/>
    </row>
    <row r="1312" spans="3:3">
      <c r="C1312" s="221"/>
    </row>
    <row r="1313" spans="3:3">
      <c r="C1313" s="221"/>
    </row>
    <row r="1314" spans="3:3">
      <c r="C1314" s="221"/>
    </row>
    <row r="1315" spans="3:3">
      <c r="C1315" s="221"/>
    </row>
    <row r="1316" spans="3:3">
      <c r="C1316" s="221"/>
    </row>
    <row r="1317" spans="3:3">
      <c r="C1317" s="221"/>
    </row>
    <row r="1318" spans="3:3">
      <c r="C1318" s="221"/>
    </row>
    <row r="1319" spans="3:3">
      <c r="C1319" s="221"/>
    </row>
    <row r="1320" spans="3:3">
      <c r="C1320" s="221"/>
    </row>
    <row r="1321" spans="3:3">
      <c r="C1321" s="221"/>
    </row>
    <row r="1322" spans="3:3">
      <c r="C1322" s="221"/>
    </row>
    <row r="1323" spans="3:3">
      <c r="C1323" s="221"/>
    </row>
    <row r="1324" spans="3:3">
      <c r="C1324" s="221"/>
    </row>
    <row r="1325" spans="3:3">
      <c r="C1325" s="221"/>
    </row>
    <row r="1326" spans="3:3">
      <c r="C1326" s="221"/>
    </row>
    <row r="1327" spans="3:3">
      <c r="C1327" s="221"/>
    </row>
    <row r="1328" spans="3:3">
      <c r="C1328" s="221"/>
    </row>
    <row r="1329" spans="3:3">
      <c r="C1329" s="221"/>
    </row>
    <row r="1330" spans="3:3">
      <c r="C1330" s="221"/>
    </row>
    <row r="1331" spans="3:3">
      <c r="C1331" s="221"/>
    </row>
    <row r="1332" spans="3:3">
      <c r="C1332" s="221"/>
    </row>
    <row r="1333" spans="3:3">
      <c r="C1333" s="221"/>
    </row>
    <row r="1334" spans="3:3">
      <c r="C1334" s="221"/>
    </row>
    <row r="1335" spans="3:3">
      <c r="C1335" s="221"/>
    </row>
    <row r="1336" spans="3:3">
      <c r="C1336" s="221"/>
    </row>
    <row r="1337" spans="3:3">
      <c r="C1337" s="221"/>
    </row>
    <row r="1338" spans="3:3">
      <c r="C1338" s="221"/>
    </row>
    <row r="1339" spans="3:3">
      <c r="C1339" s="221"/>
    </row>
    <row r="1340" spans="3:3">
      <c r="C1340" s="221"/>
    </row>
    <row r="1341" spans="3:3">
      <c r="C1341" s="221"/>
    </row>
    <row r="1342" spans="3:3">
      <c r="C1342" s="221"/>
    </row>
    <row r="1343" spans="3:3">
      <c r="C1343" s="221"/>
    </row>
    <row r="1344" spans="3:3">
      <c r="C1344" s="221"/>
    </row>
    <row r="1345" spans="3:3">
      <c r="C1345" s="221"/>
    </row>
    <row r="1346" spans="3:3">
      <c r="C1346" s="221"/>
    </row>
    <row r="1347" spans="3:3">
      <c r="C1347" s="221"/>
    </row>
    <row r="1348" spans="3:3">
      <c r="C1348" s="221"/>
    </row>
    <row r="1349" spans="3:3">
      <c r="C1349" s="221"/>
    </row>
    <row r="1350" spans="3:3">
      <c r="C1350" s="221"/>
    </row>
    <row r="1351" spans="3:3">
      <c r="C1351" s="221"/>
    </row>
    <row r="1352" spans="3:3">
      <c r="C1352" s="221"/>
    </row>
    <row r="1353" spans="3:3">
      <c r="C1353" s="221"/>
    </row>
    <row r="1354" spans="3:3">
      <c r="C1354" s="221"/>
    </row>
    <row r="1355" spans="3:3">
      <c r="C1355" s="221"/>
    </row>
    <row r="1356" spans="3:3">
      <c r="C1356" s="221"/>
    </row>
    <row r="1357" spans="3:3">
      <c r="C1357" s="221"/>
    </row>
    <row r="1358" spans="3:3">
      <c r="C1358" s="221"/>
    </row>
    <row r="1359" spans="3:3">
      <c r="C1359" s="221"/>
    </row>
    <row r="1360" spans="3:3">
      <c r="C1360" s="221"/>
    </row>
    <row r="1361" spans="3:3">
      <c r="C1361" s="221"/>
    </row>
    <row r="1362" spans="3:3">
      <c r="C1362" s="221"/>
    </row>
    <row r="1363" spans="3:3">
      <c r="C1363" s="221"/>
    </row>
    <row r="1364" spans="3:3">
      <c r="C1364" s="221"/>
    </row>
    <row r="1365" spans="3:3">
      <c r="C1365" s="221"/>
    </row>
    <row r="1366" spans="3:3">
      <c r="C1366" s="221"/>
    </row>
    <row r="1367" spans="3:3">
      <c r="C1367" s="221"/>
    </row>
    <row r="1368" spans="3:3">
      <c r="C1368" s="221"/>
    </row>
    <row r="1369" spans="3:3">
      <c r="C1369" s="221"/>
    </row>
    <row r="1370" spans="3:3">
      <c r="C1370" s="221"/>
    </row>
    <row r="1371" spans="3:3">
      <c r="C1371" s="221"/>
    </row>
    <row r="1372" spans="3:3">
      <c r="C1372" s="221"/>
    </row>
    <row r="1373" spans="3:3">
      <c r="C1373" s="221"/>
    </row>
    <row r="1374" spans="3:3">
      <c r="C1374" s="221"/>
    </row>
    <row r="1375" spans="3:3">
      <c r="C1375" s="221"/>
    </row>
    <row r="1376" spans="3:3">
      <c r="C1376" s="221"/>
    </row>
    <row r="1377" spans="3:3">
      <c r="C1377" s="221"/>
    </row>
    <row r="1378" spans="3:3">
      <c r="C1378" s="221"/>
    </row>
    <row r="1379" spans="3:3">
      <c r="C1379" s="221"/>
    </row>
    <row r="1380" spans="3:3">
      <c r="C1380" s="221"/>
    </row>
    <row r="1381" spans="3:3">
      <c r="C1381" s="221"/>
    </row>
    <row r="1382" spans="3:3">
      <c r="C1382" s="221"/>
    </row>
    <row r="1383" spans="3:3">
      <c r="C1383" s="221"/>
    </row>
    <row r="1384" spans="3:3">
      <c r="C1384" s="221"/>
    </row>
    <row r="1385" spans="3:3">
      <c r="C1385" s="221"/>
    </row>
    <row r="1386" spans="3:3">
      <c r="C1386" s="221"/>
    </row>
    <row r="1387" spans="3:3">
      <c r="C1387" s="221"/>
    </row>
    <row r="1388" spans="3:3">
      <c r="C1388" s="221"/>
    </row>
    <row r="1389" spans="3:3">
      <c r="C1389" s="221"/>
    </row>
    <row r="1390" spans="3:3">
      <c r="C1390" s="221"/>
    </row>
    <row r="1391" spans="3:3">
      <c r="C1391" s="221"/>
    </row>
    <row r="1392" spans="3:3">
      <c r="C1392" s="221"/>
    </row>
    <row r="1393" spans="3:3">
      <c r="C1393" s="221"/>
    </row>
    <row r="1394" spans="3:3">
      <c r="C1394" s="221"/>
    </row>
    <row r="1395" spans="3:3">
      <c r="C1395" s="221"/>
    </row>
    <row r="1396" spans="3:3">
      <c r="C1396" s="221"/>
    </row>
    <row r="1397" spans="3:3">
      <c r="C1397" s="221"/>
    </row>
    <row r="1398" spans="3:3">
      <c r="C1398" s="221"/>
    </row>
    <row r="1399" spans="3:3">
      <c r="C1399" s="221"/>
    </row>
    <row r="1400" spans="3:3">
      <c r="C1400" s="221"/>
    </row>
    <row r="1401" spans="3:3">
      <c r="C1401" s="221"/>
    </row>
    <row r="1402" spans="3:3">
      <c r="C1402" s="221"/>
    </row>
    <row r="1403" spans="3:3">
      <c r="C1403" s="221"/>
    </row>
    <row r="1404" spans="3:3">
      <c r="C1404" s="221"/>
    </row>
    <row r="1405" spans="3:3">
      <c r="C1405" s="221"/>
    </row>
    <row r="1406" spans="3:3">
      <c r="C1406" s="221"/>
    </row>
    <row r="1407" spans="3:3">
      <c r="C1407" s="221"/>
    </row>
    <row r="1408" spans="3:3">
      <c r="C1408" s="221"/>
    </row>
    <row r="1409" spans="3:3">
      <c r="C1409" s="221"/>
    </row>
    <row r="1410" spans="3:3">
      <c r="C1410" s="221"/>
    </row>
    <row r="1411" spans="3:3">
      <c r="C1411" s="221"/>
    </row>
    <row r="1412" spans="3:3">
      <c r="C1412" s="221"/>
    </row>
    <row r="1413" spans="3:3">
      <c r="C1413" s="221"/>
    </row>
    <row r="1414" spans="3:3">
      <c r="C1414" s="221"/>
    </row>
    <row r="1415" spans="3:3">
      <c r="C1415" s="221"/>
    </row>
    <row r="1416" spans="3:3">
      <c r="C1416" s="221"/>
    </row>
    <row r="1417" spans="3:3">
      <c r="C1417" s="221"/>
    </row>
    <row r="1418" spans="3:3">
      <c r="C1418" s="221"/>
    </row>
    <row r="1419" spans="3:3">
      <c r="C1419" s="221"/>
    </row>
    <row r="1420" spans="3:3">
      <c r="C1420" s="221"/>
    </row>
    <row r="1421" spans="3:3">
      <c r="C1421" s="221"/>
    </row>
    <row r="1422" spans="3:3">
      <c r="C1422" s="221"/>
    </row>
    <row r="1423" spans="3:3">
      <c r="C1423" s="221"/>
    </row>
    <row r="1424" spans="3:3">
      <c r="C1424" s="221"/>
    </row>
    <row r="1425" spans="3:3">
      <c r="C1425" s="221"/>
    </row>
    <row r="1426" spans="3:3">
      <c r="C1426" s="221"/>
    </row>
    <row r="1427" spans="3:3">
      <c r="C1427" s="221"/>
    </row>
    <row r="1428" spans="3:3">
      <c r="C1428" s="221"/>
    </row>
    <row r="1429" spans="3:3">
      <c r="C1429" s="221"/>
    </row>
    <row r="1430" spans="3:3">
      <c r="C1430" s="221"/>
    </row>
    <row r="1431" spans="3:3">
      <c r="C1431" s="221"/>
    </row>
    <row r="1432" spans="3:3">
      <c r="C1432" s="221"/>
    </row>
    <row r="1433" spans="3:3">
      <c r="C1433" s="221"/>
    </row>
    <row r="1434" spans="3:3">
      <c r="C1434" s="221"/>
    </row>
    <row r="1435" spans="3:3">
      <c r="C1435" s="221"/>
    </row>
    <row r="1436" spans="3:3">
      <c r="C1436" s="221"/>
    </row>
    <row r="1437" spans="3:3">
      <c r="C1437" s="221"/>
    </row>
    <row r="1438" spans="3:3">
      <c r="C1438" s="221"/>
    </row>
    <row r="1439" spans="3:3">
      <c r="C1439" s="221"/>
    </row>
    <row r="1440" spans="3:3">
      <c r="C1440" s="221"/>
    </row>
    <row r="1441" spans="3:3">
      <c r="C1441" s="221"/>
    </row>
    <row r="1442" spans="3:3">
      <c r="C1442" s="221"/>
    </row>
    <row r="1443" spans="3:3">
      <c r="C1443" s="221"/>
    </row>
    <row r="1444" spans="3:3">
      <c r="C1444" s="221"/>
    </row>
    <row r="1445" spans="3:3">
      <c r="C1445" s="221"/>
    </row>
    <row r="1446" spans="3:3">
      <c r="C1446" s="221"/>
    </row>
    <row r="1447" spans="3:3">
      <c r="C1447" s="221"/>
    </row>
    <row r="1448" spans="3:3">
      <c r="C1448" s="221"/>
    </row>
    <row r="1449" spans="3:3">
      <c r="C1449" s="221"/>
    </row>
    <row r="1450" spans="3:3">
      <c r="C1450" s="221"/>
    </row>
    <row r="1451" spans="3:3">
      <c r="C1451" s="221"/>
    </row>
    <row r="1452" spans="3:3">
      <c r="C1452" s="221"/>
    </row>
    <row r="1453" spans="3:3">
      <c r="C1453" s="221"/>
    </row>
    <row r="1454" spans="3:3">
      <c r="C1454" s="221"/>
    </row>
    <row r="1455" spans="3:3">
      <c r="C1455" s="221"/>
    </row>
    <row r="1456" spans="3:3">
      <c r="C1456" s="221"/>
    </row>
    <row r="1457" spans="3:3">
      <c r="C1457" s="221"/>
    </row>
    <row r="1458" spans="3:3">
      <c r="C1458" s="221"/>
    </row>
    <row r="1459" spans="3:3">
      <c r="C1459" s="221"/>
    </row>
    <row r="1460" spans="3:3">
      <c r="C1460" s="221"/>
    </row>
    <row r="1461" spans="3:3">
      <c r="C1461" s="221"/>
    </row>
    <row r="1462" spans="3:3">
      <c r="C1462" s="221"/>
    </row>
    <row r="1463" spans="3:3">
      <c r="C1463" s="221"/>
    </row>
    <row r="1464" spans="3:3">
      <c r="C1464" s="221"/>
    </row>
    <row r="1465" spans="3:3">
      <c r="C1465" s="221"/>
    </row>
    <row r="1466" spans="3:3">
      <c r="C1466" s="221"/>
    </row>
    <row r="1467" spans="3:3">
      <c r="C1467" s="221"/>
    </row>
    <row r="1468" spans="3:3">
      <c r="C1468" s="221"/>
    </row>
    <row r="1469" spans="3:3">
      <c r="C1469" s="221"/>
    </row>
    <row r="1470" spans="3:3">
      <c r="C1470" s="221"/>
    </row>
    <row r="1471" spans="3:3">
      <c r="C1471" s="221"/>
    </row>
    <row r="1472" spans="3:3">
      <c r="C1472" s="221"/>
    </row>
    <row r="1473" spans="3:3">
      <c r="C1473" s="221"/>
    </row>
    <row r="1474" spans="3:3">
      <c r="C1474" s="221"/>
    </row>
    <row r="1475" spans="3:3">
      <c r="C1475" s="221"/>
    </row>
    <row r="1476" spans="3:3">
      <c r="C1476" s="221"/>
    </row>
    <row r="1477" spans="3:3">
      <c r="C1477" s="221"/>
    </row>
    <row r="1478" spans="3:3">
      <c r="C1478" s="221"/>
    </row>
    <row r="1479" spans="3:3">
      <c r="C1479" s="221"/>
    </row>
    <row r="1480" spans="3:3">
      <c r="C1480" s="221"/>
    </row>
    <row r="1481" spans="3:3">
      <c r="C1481" s="221"/>
    </row>
    <row r="1482" spans="3:3">
      <c r="C1482" s="221"/>
    </row>
    <row r="1483" spans="3:3">
      <c r="C1483" s="221"/>
    </row>
    <row r="1484" spans="3:3">
      <c r="C1484" s="221"/>
    </row>
    <row r="1485" spans="3:3">
      <c r="C1485" s="221"/>
    </row>
    <row r="1486" spans="3:3">
      <c r="C1486" s="221"/>
    </row>
    <row r="1487" spans="3:3">
      <c r="C1487" s="221"/>
    </row>
    <row r="1488" spans="3:3">
      <c r="C1488" s="221"/>
    </row>
    <row r="1489" spans="3:3">
      <c r="C1489" s="221"/>
    </row>
    <row r="1490" spans="3:3">
      <c r="C1490" s="221"/>
    </row>
    <row r="1491" spans="3:3">
      <c r="C1491" s="221"/>
    </row>
    <row r="1492" spans="3:3">
      <c r="C1492" s="221"/>
    </row>
    <row r="1493" spans="3:3">
      <c r="C1493" s="221"/>
    </row>
    <row r="1494" spans="3:3">
      <c r="C1494" s="221"/>
    </row>
    <row r="1495" spans="3:3">
      <c r="C1495" s="221"/>
    </row>
    <row r="1496" spans="3:3">
      <c r="C1496" s="221"/>
    </row>
    <row r="1497" spans="3:3">
      <c r="C1497" s="221"/>
    </row>
    <row r="1498" spans="3:3">
      <c r="C1498" s="221"/>
    </row>
    <row r="1499" spans="3:3">
      <c r="C1499" s="221"/>
    </row>
    <row r="1500" spans="3:3">
      <c r="C1500" s="221"/>
    </row>
    <row r="1501" spans="3:3">
      <c r="C1501" s="221"/>
    </row>
    <row r="1502" spans="3:3">
      <c r="C1502" s="221"/>
    </row>
    <row r="1503" spans="3:3">
      <c r="C1503" s="221"/>
    </row>
    <row r="1504" spans="3:3">
      <c r="C1504" s="221"/>
    </row>
    <row r="1505" spans="3:3">
      <c r="C1505" s="221"/>
    </row>
    <row r="1506" spans="3:3">
      <c r="C1506" s="221"/>
    </row>
    <row r="1507" spans="3:3">
      <c r="C1507" s="221"/>
    </row>
    <row r="1508" spans="3:3">
      <c r="C1508" s="221"/>
    </row>
    <row r="1509" spans="3:3">
      <c r="C1509" s="221"/>
    </row>
    <row r="1510" spans="3:3">
      <c r="C1510" s="221"/>
    </row>
    <row r="1511" spans="3:3">
      <c r="C1511" s="221"/>
    </row>
    <row r="1512" spans="3:3">
      <c r="C1512" s="221"/>
    </row>
    <row r="1513" spans="3:3">
      <c r="C1513" s="221"/>
    </row>
    <row r="1514" spans="3:3">
      <c r="C1514" s="221"/>
    </row>
    <row r="1515" spans="3:3">
      <c r="C1515" s="221"/>
    </row>
    <row r="1516" spans="3:3">
      <c r="C1516" s="221"/>
    </row>
    <row r="1517" spans="3:3">
      <c r="C1517" s="221"/>
    </row>
    <row r="1518" spans="3:3">
      <c r="C1518" s="221"/>
    </row>
    <row r="1519" spans="3:3">
      <c r="C1519" s="221"/>
    </row>
    <row r="1520" spans="3:3">
      <c r="C1520" s="221"/>
    </row>
    <row r="1521" spans="3:3">
      <c r="C1521" s="221"/>
    </row>
    <row r="1522" spans="3:3">
      <c r="C1522" s="221"/>
    </row>
    <row r="1523" spans="3:3">
      <c r="C1523" s="221"/>
    </row>
    <row r="1524" spans="3:3">
      <c r="C1524" s="221"/>
    </row>
    <row r="1525" spans="3:3">
      <c r="C1525" s="221"/>
    </row>
    <row r="1526" spans="3:3">
      <c r="C1526" s="221"/>
    </row>
    <row r="1527" spans="3:3">
      <c r="C1527" s="221"/>
    </row>
    <row r="1528" spans="3:3">
      <c r="C1528" s="221"/>
    </row>
    <row r="1529" spans="3:3">
      <c r="C1529" s="221"/>
    </row>
    <row r="1530" spans="3:3">
      <c r="C1530" s="221"/>
    </row>
    <row r="1531" spans="3:3">
      <c r="C1531" s="221"/>
    </row>
    <row r="1532" spans="3:3">
      <c r="C1532" s="221"/>
    </row>
    <row r="1533" spans="3:3">
      <c r="C1533" s="221"/>
    </row>
    <row r="1534" spans="3:3">
      <c r="C1534" s="221"/>
    </row>
    <row r="1535" spans="3:3">
      <c r="C1535" s="221"/>
    </row>
    <row r="1536" spans="3:3">
      <c r="C1536" s="221"/>
    </row>
    <row r="1537" spans="3:3">
      <c r="C1537" s="221"/>
    </row>
    <row r="1538" spans="3:3">
      <c r="C1538" s="221"/>
    </row>
    <row r="1539" spans="3:3">
      <c r="C1539" s="221"/>
    </row>
    <row r="1540" spans="3:3">
      <c r="C1540" s="221"/>
    </row>
    <row r="1541" spans="3:3">
      <c r="C1541" s="221"/>
    </row>
    <row r="1542" spans="3:3">
      <c r="C1542" s="221"/>
    </row>
    <row r="1543" spans="3:3">
      <c r="C1543" s="221"/>
    </row>
    <row r="1544" spans="3:3">
      <c r="C1544" s="221"/>
    </row>
    <row r="1545" spans="3:3">
      <c r="C1545" s="221"/>
    </row>
    <row r="1546" spans="3:3">
      <c r="C1546" s="221"/>
    </row>
    <row r="1547" spans="3:3">
      <c r="C1547" s="221"/>
    </row>
    <row r="1548" spans="3:3">
      <c r="C1548" s="221"/>
    </row>
    <row r="1549" spans="3:3">
      <c r="C1549" s="221"/>
    </row>
    <row r="1550" spans="3:3">
      <c r="C1550" s="221"/>
    </row>
    <row r="1551" spans="3:3">
      <c r="C1551" s="221"/>
    </row>
    <row r="1552" spans="3:3">
      <c r="C1552" s="221"/>
    </row>
    <row r="1553" spans="3:3">
      <c r="C1553" s="221"/>
    </row>
    <row r="1554" spans="3:3">
      <c r="C1554" s="221"/>
    </row>
    <row r="1555" spans="3:3">
      <c r="C1555" s="221"/>
    </row>
    <row r="1556" spans="3:3">
      <c r="C1556" s="221"/>
    </row>
    <row r="1557" spans="3:3">
      <c r="C1557" s="221"/>
    </row>
    <row r="1558" spans="3:3">
      <c r="C1558" s="221"/>
    </row>
    <row r="1559" spans="3:3">
      <c r="C1559" s="221"/>
    </row>
    <row r="1560" spans="3:3">
      <c r="C1560" s="221"/>
    </row>
    <row r="1561" spans="3:3">
      <c r="C1561" s="221"/>
    </row>
    <row r="1562" spans="3:3">
      <c r="C1562" s="221"/>
    </row>
    <row r="1563" spans="3:3">
      <c r="C1563" s="221"/>
    </row>
    <row r="1564" spans="3:3">
      <c r="C1564" s="221"/>
    </row>
    <row r="1565" spans="3:3">
      <c r="C1565" s="221"/>
    </row>
    <row r="1566" spans="3:3">
      <c r="C1566" s="221"/>
    </row>
    <row r="1567" spans="3:3">
      <c r="C1567" s="221"/>
    </row>
    <row r="1568" spans="3:3">
      <c r="C1568" s="221"/>
    </row>
    <row r="1569" spans="3:3">
      <c r="C1569" s="221"/>
    </row>
    <row r="1570" spans="3:3">
      <c r="C1570" s="221"/>
    </row>
    <row r="1571" spans="3:3">
      <c r="C1571" s="221"/>
    </row>
    <row r="1572" spans="3:3">
      <c r="C1572" s="221"/>
    </row>
    <row r="1573" spans="3:3">
      <c r="C1573" s="221"/>
    </row>
    <row r="1574" spans="3:3">
      <c r="C1574" s="221"/>
    </row>
    <row r="1575" spans="3:3">
      <c r="C1575" s="221"/>
    </row>
    <row r="1576" spans="3:3">
      <c r="C1576" s="221"/>
    </row>
    <row r="1577" spans="3:3">
      <c r="C1577" s="221"/>
    </row>
    <row r="1578" spans="3:3">
      <c r="C1578" s="221"/>
    </row>
    <row r="1579" spans="3:3">
      <c r="C1579" s="221"/>
    </row>
    <row r="1580" spans="3:3">
      <c r="C1580" s="221"/>
    </row>
    <row r="1581" spans="3:3">
      <c r="C1581" s="221"/>
    </row>
    <row r="1582" spans="3:3">
      <c r="C1582" s="221"/>
    </row>
    <row r="1583" spans="3:3">
      <c r="C1583" s="221"/>
    </row>
    <row r="1584" spans="3:3">
      <c r="C1584" s="221"/>
    </row>
    <row r="1585" spans="3:3">
      <c r="C1585" s="221"/>
    </row>
    <row r="1586" spans="3:3">
      <c r="C1586" s="221"/>
    </row>
    <row r="1587" spans="3:3">
      <c r="C1587" s="221"/>
    </row>
    <row r="1588" spans="3:3">
      <c r="C1588" s="221"/>
    </row>
    <row r="1589" spans="3:3">
      <c r="C1589" s="221"/>
    </row>
    <row r="1590" spans="3:3">
      <c r="C1590" s="221"/>
    </row>
    <row r="1591" spans="3:3">
      <c r="C1591" s="221"/>
    </row>
    <row r="1592" spans="3:3">
      <c r="C1592" s="221"/>
    </row>
    <row r="1593" spans="3:3">
      <c r="C1593" s="221"/>
    </row>
    <row r="1594" spans="3:3">
      <c r="C1594" s="221"/>
    </row>
    <row r="1595" spans="3:3">
      <c r="C1595" s="221"/>
    </row>
    <row r="1596" spans="3:3">
      <c r="C1596" s="221"/>
    </row>
    <row r="1597" spans="3:3">
      <c r="C1597" s="221"/>
    </row>
    <row r="1598" spans="3:3">
      <c r="C1598" s="221"/>
    </row>
    <row r="1599" spans="3:3">
      <c r="C1599" s="221"/>
    </row>
    <row r="1600" spans="3:3">
      <c r="C1600" s="221"/>
    </row>
    <row r="1601" spans="3:3">
      <c r="C1601" s="221"/>
    </row>
    <row r="1602" spans="3:3">
      <c r="C1602" s="221"/>
    </row>
    <row r="1603" spans="3:3">
      <c r="C1603" s="221"/>
    </row>
    <row r="1604" spans="3:3">
      <c r="C1604" s="221"/>
    </row>
    <row r="1605" spans="3:3">
      <c r="C1605" s="221"/>
    </row>
    <row r="1606" spans="3:3">
      <c r="C1606" s="221"/>
    </row>
    <row r="1607" spans="3:3">
      <c r="C1607" s="221"/>
    </row>
    <row r="1608" spans="3:3">
      <c r="C1608" s="221"/>
    </row>
    <row r="1609" spans="3:3">
      <c r="C1609" s="221"/>
    </row>
    <row r="1610" spans="3:3">
      <c r="C1610" s="221"/>
    </row>
    <row r="1611" spans="3:3">
      <c r="C1611" s="221"/>
    </row>
    <row r="1612" spans="3:3">
      <c r="C1612" s="221"/>
    </row>
    <row r="1613" spans="3:3">
      <c r="C1613" s="221"/>
    </row>
    <row r="1614" spans="3:3">
      <c r="C1614" s="221"/>
    </row>
    <row r="1615" spans="3:3">
      <c r="C1615" s="221"/>
    </row>
    <row r="1616" spans="3:3">
      <c r="C1616" s="221"/>
    </row>
    <row r="1617" spans="3:3">
      <c r="C1617" s="221"/>
    </row>
    <row r="1618" spans="3:3">
      <c r="C1618" s="221"/>
    </row>
    <row r="1619" spans="3:3">
      <c r="C1619" s="221"/>
    </row>
    <row r="1620" spans="3:3">
      <c r="C1620" s="221"/>
    </row>
    <row r="1621" spans="3:3">
      <c r="C1621" s="221"/>
    </row>
    <row r="1622" spans="3:3">
      <c r="C1622" s="221"/>
    </row>
    <row r="1623" spans="3:3">
      <c r="C1623" s="221"/>
    </row>
    <row r="1624" spans="3:3">
      <c r="C1624" s="221"/>
    </row>
    <row r="1625" spans="3:3">
      <c r="C1625" s="221"/>
    </row>
    <row r="1626" spans="3:3">
      <c r="C1626" s="221"/>
    </row>
    <row r="1627" spans="3:3">
      <c r="C1627" s="221"/>
    </row>
    <row r="1628" spans="3:3">
      <c r="C1628" s="221"/>
    </row>
    <row r="1629" spans="3:3">
      <c r="C1629" s="221"/>
    </row>
    <row r="1630" spans="3:3">
      <c r="C1630" s="221"/>
    </row>
    <row r="1631" spans="3:3">
      <c r="C1631" s="221"/>
    </row>
    <row r="1632" spans="3:3">
      <c r="C1632" s="221"/>
    </row>
    <row r="1633" spans="3:3">
      <c r="C1633" s="221"/>
    </row>
    <row r="1634" spans="3:3">
      <c r="C1634" s="221"/>
    </row>
    <row r="1635" spans="3:3">
      <c r="C1635" s="221"/>
    </row>
    <row r="1636" spans="3:3">
      <c r="C1636" s="221"/>
    </row>
    <row r="1637" spans="3:3">
      <c r="C1637" s="221"/>
    </row>
    <row r="1638" spans="3:3">
      <c r="C1638" s="221"/>
    </row>
    <row r="1639" spans="3:3">
      <c r="C1639" s="221"/>
    </row>
    <row r="1640" spans="3:3">
      <c r="C1640" s="221"/>
    </row>
    <row r="1641" spans="3:3">
      <c r="C1641" s="221"/>
    </row>
    <row r="1642" spans="3:3">
      <c r="C1642" s="221"/>
    </row>
    <row r="1643" spans="3:3">
      <c r="C1643" s="221"/>
    </row>
    <row r="1644" spans="3:3">
      <c r="C1644" s="221"/>
    </row>
    <row r="1645" spans="3:3">
      <c r="C1645" s="221"/>
    </row>
    <row r="1646" spans="3:3">
      <c r="C1646" s="221"/>
    </row>
    <row r="1647" spans="3:3">
      <c r="C1647" s="221"/>
    </row>
    <row r="1648" spans="3:3">
      <c r="C1648" s="221"/>
    </row>
    <row r="1649" spans="3:3">
      <c r="C1649" s="221"/>
    </row>
    <row r="1650" spans="3:3">
      <c r="C1650" s="221"/>
    </row>
    <row r="1651" spans="3:3">
      <c r="C1651" s="221"/>
    </row>
    <row r="1652" spans="3:3">
      <c r="C1652" s="221"/>
    </row>
    <row r="1653" spans="3:3">
      <c r="C1653" s="221"/>
    </row>
    <row r="1654" spans="3:3">
      <c r="C1654" s="221"/>
    </row>
    <row r="1655" spans="3:3">
      <c r="C1655" s="221"/>
    </row>
    <row r="1656" spans="3:3">
      <c r="C1656" s="221"/>
    </row>
    <row r="1657" spans="3:3">
      <c r="C1657" s="221"/>
    </row>
    <row r="1658" spans="3:3">
      <c r="C1658" s="221"/>
    </row>
    <row r="1659" spans="3:3">
      <c r="C1659" s="221"/>
    </row>
    <row r="1660" spans="3:3">
      <c r="C1660" s="221"/>
    </row>
    <row r="1661" spans="3:3">
      <c r="C1661" s="221"/>
    </row>
    <row r="1662" spans="3:3">
      <c r="C1662" s="221"/>
    </row>
    <row r="1663" spans="3:3">
      <c r="C1663" s="221"/>
    </row>
    <row r="1664" spans="3:3">
      <c r="C1664" s="221"/>
    </row>
    <row r="1665" spans="3:3">
      <c r="C1665" s="221"/>
    </row>
    <row r="1666" spans="3:3">
      <c r="C1666" s="221"/>
    </row>
    <row r="1667" spans="3:3">
      <c r="C1667" s="221"/>
    </row>
    <row r="1668" spans="3:3">
      <c r="C1668" s="221"/>
    </row>
    <row r="1669" spans="3:3">
      <c r="C1669" s="221"/>
    </row>
    <row r="1670" spans="3:3">
      <c r="C1670" s="221"/>
    </row>
    <row r="1671" spans="3:3">
      <c r="C1671" s="221"/>
    </row>
    <row r="1672" spans="3:3">
      <c r="C1672" s="221"/>
    </row>
    <row r="1673" spans="3:3">
      <c r="C1673" s="221"/>
    </row>
    <row r="1674" spans="3:3">
      <c r="C1674" s="221"/>
    </row>
    <row r="1675" spans="3:3">
      <c r="C1675" s="221"/>
    </row>
    <row r="1676" spans="3:3">
      <c r="C1676" s="221"/>
    </row>
    <row r="1677" spans="3:3">
      <c r="C1677" s="221"/>
    </row>
    <row r="1678" spans="3:3">
      <c r="C1678" s="221"/>
    </row>
    <row r="1679" spans="3:3">
      <c r="C1679" s="221"/>
    </row>
    <row r="1680" spans="3:3">
      <c r="C1680" s="221"/>
    </row>
    <row r="1681" spans="3:3">
      <c r="C1681" s="221"/>
    </row>
    <row r="1682" spans="3:3">
      <c r="C1682" s="221"/>
    </row>
    <row r="1683" spans="3:3">
      <c r="C1683" s="221"/>
    </row>
    <row r="1684" spans="3:3">
      <c r="C1684" s="221"/>
    </row>
    <row r="1685" spans="3:3">
      <c r="C1685" s="221"/>
    </row>
    <row r="1686" spans="3:3">
      <c r="C1686" s="221"/>
    </row>
    <row r="1687" spans="3:3">
      <c r="C1687" s="221"/>
    </row>
    <row r="1688" spans="3:3">
      <c r="C1688" s="221"/>
    </row>
    <row r="1689" spans="3:3">
      <c r="C1689" s="221"/>
    </row>
    <row r="1690" spans="3:3">
      <c r="C1690" s="221"/>
    </row>
    <row r="1691" spans="3:3">
      <c r="C1691" s="221"/>
    </row>
    <row r="1692" spans="3:3">
      <c r="C1692" s="221"/>
    </row>
    <row r="1693" spans="3:3">
      <c r="C1693" s="221"/>
    </row>
    <row r="1694" spans="3:3">
      <c r="C1694" s="221"/>
    </row>
    <row r="1695" spans="3:3">
      <c r="C1695" s="221"/>
    </row>
    <row r="1696" spans="3:3">
      <c r="C1696" s="221"/>
    </row>
    <row r="1697" spans="3:3">
      <c r="C1697" s="221"/>
    </row>
    <row r="1698" spans="3:3">
      <c r="C1698" s="221"/>
    </row>
    <row r="1699" spans="3:3">
      <c r="C1699" s="221"/>
    </row>
    <row r="1700" spans="3:3">
      <c r="C1700" s="221"/>
    </row>
    <row r="1701" spans="3:3">
      <c r="C1701" s="221"/>
    </row>
    <row r="1702" spans="3:3">
      <c r="C1702" s="221"/>
    </row>
    <row r="1703" spans="3:3">
      <c r="C1703" s="221"/>
    </row>
    <row r="1704" spans="3:3">
      <c r="C1704" s="221"/>
    </row>
    <row r="1705" spans="3:3">
      <c r="C1705" s="221"/>
    </row>
    <row r="1706" spans="3:3">
      <c r="C1706" s="221"/>
    </row>
    <row r="1707" spans="3:3">
      <c r="C1707" s="221"/>
    </row>
    <row r="1708" spans="3:3">
      <c r="C1708" s="221"/>
    </row>
    <row r="1709" spans="3:3">
      <c r="C1709" s="221"/>
    </row>
    <row r="1710" spans="3:3">
      <c r="C1710" s="221"/>
    </row>
    <row r="1711" spans="3:3">
      <c r="C1711" s="221"/>
    </row>
    <row r="1712" spans="3:3">
      <c r="C1712" s="221"/>
    </row>
    <row r="1713" spans="3:3">
      <c r="C1713" s="221"/>
    </row>
    <row r="1714" spans="3:3">
      <c r="C1714" s="221"/>
    </row>
    <row r="1715" spans="3:3">
      <c r="C1715" s="221"/>
    </row>
    <row r="1716" spans="3:3">
      <c r="C1716" s="221"/>
    </row>
    <row r="1717" spans="3:3">
      <c r="C1717" s="221"/>
    </row>
    <row r="1718" spans="3:3">
      <c r="C1718" s="221"/>
    </row>
    <row r="1719" spans="3:3">
      <c r="C1719" s="221"/>
    </row>
    <row r="1720" spans="3:3">
      <c r="C1720" s="221"/>
    </row>
    <row r="1721" spans="3:3">
      <c r="C1721" s="221"/>
    </row>
    <row r="1722" spans="3:3">
      <c r="C1722" s="221"/>
    </row>
    <row r="1723" spans="3:3">
      <c r="C1723" s="221"/>
    </row>
    <row r="1724" spans="3:3">
      <c r="C1724" s="221"/>
    </row>
    <row r="1725" spans="3:3">
      <c r="C1725" s="221"/>
    </row>
    <row r="1726" spans="3:3">
      <c r="C1726" s="221"/>
    </row>
    <row r="1727" spans="3:3">
      <c r="C1727" s="221"/>
    </row>
    <row r="1728" spans="3:3">
      <c r="C1728" s="221"/>
    </row>
    <row r="1729" spans="3:3">
      <c r="C1729" s="221"/>
    </row>
    <row r="1730" spans="3:3">
      <c r="C1730" s="221"/>
    </row>
    <row r="1731" spans="3:3">
      <c r="C1731" s="221"/>
    </row>
    <row r="1732" spans="3:3">
      <c r="C1732" s="221"/>
    </row>
    <row r="1733" spans="3:3">
      <c r="C1733" s="221"/>
    </row>
    <row r="1734" spans="3:3">
      <c r="C1734" s="221"/>
    </row>
    <row r="1735" spans="3:3">
      <c r="C1735" s="221"/>
    </row>
    <row r="1736" spans="3:3">
      <c r="C1736" s="221"/>
    </row>
    <row r="1737" spans="3:3">
      <c r="C1737" s="221"/>
    </row>
    <row r="1738" spans="3:3">
      <c r="C1738" s="221"/>
    </row>
    <row r="1739" spans="3:3">
      <c r="C1739" s="221"/>
    </row>
    <row r="1740" spans="3:3">
      <c r="C1740" s="221"/>
    </row>
    <row r="1741" spans="3:3">
      <c r="C1741" s="221"/>
    </row>
    <row r="1742" spans="3:3">
      <c r="C1742" s="221"/>
    </row>
    <row r="1743" spans="3:3">
      <c r="C1743" s="221"/>
    </row>
    <row r="1744" spans="3:3">
      <c r="C1744" s="221"/>
    </row>
    <row r="1745" spans="3:3">
      <c r="C1745" s="221"/>
    </row>
    <row r="1746" spans="3:3">
      <c r="C1746" s="221"/>
    </row>
    <row r="1747" spans="3:3">
      <c r="C1747" s="221"/>
    </row>
    <row r="1748" spans="3:3">
      <c r="C1748" s="221"/>
    </row>
    <row r="1749" spans="3:3">
      <c r="C1749" s="221"/>
    </row>
    <row r="1750" spans="3:3">
      <c r="C1750" s="221"/>
    </row>
    <row r="1751" spans="3:3">
      <c r="C1751" s="221"/>
    </row>
    <row r="1752" spans="3:3">
      <c r="C1752" s="221"/>
    </row>
    <row r="1753" spans="3:3">
      <c r="C1753" s="221"/>
    </row>
    <row r="1754" spans="3:3">
      <c r="C1754" s="221"/>
    </row>
    <row r="1755" spans="3:3">
      <c r="C1755" s="221"/>
    </row>
    <row r="1756" spans="3:3">
      <c r="C1756" s="221"/>
    </row>
    <row r="1757" spans="3:3">
      <c r="C1757" s="221"/>
    </row>
    <row r="1758" spans="3:3">
      <c r="C1758" s="221"/>
    </row>
    <row r="1759" spans="3:3">
      <c r="C1759" s="221"/>
    </row>
    <row r="1760" spans="3:3">
      <c r="C1760" s="221"/>
    </row>
    <row r="1761" spans="3:3">
      <c r="C1761" s="221"/>
    </row>
    <row r="1762" spans="3:3">
      <c r="C1762" s="221"/>
    </row>
    <row r="1763" spans="3:3">
      <c r="C1763" s="221"/>
    </row>
    <row r="1764" spans="3:3">
      <c r="C1764" s="221"/>
    </row>
    <row r="1765" spans="3:3">
      <c r="C1765" s="221"/>
    </row>
    <row r="1766" spans="3:3">
      <c r="C1766" s="221"/>
    </row>
    <row r="1767" spans="3:3">
      <c r="C1767" s="221"/>
    </row>
    <row r="1768" spans="3:3">
      <c r="C1768" s="221"/>
    </row>
    <row r="1769" spans="3:3">
      <c r="C1769" s="221"/>
    </row>
    <row r="1770" spans="3:3">
      <c r="C1770" s="221"/>
    </row>
    <row r="1771" spans="3:3">
      <c r="C1771" s="221"/>
    </row>
    <row r="1772" spans="3:3">
      <c r="C1772" s="221"/>
    </row>
    <row r="1773" spans="3:3">
      <c r="C1773" s="221"/>
    </row>
    <row r="1774" spans="3:3">
      <c r="C1774" s="221"/>
    </row>
    <row r="1775" spans="3:3">
      <c r="C1775" s="221"/>
    </row>
    <row r="1776" spans="3:3">
      <c r="C1776" s="221"/>
    </row>
    <row r="1777" spans="3:3">
      <c r="C1777" s="221"/>
    </row>
    <row r="1778" spans="3:3">
      <c r="C1778" s="221"/>
    </row>
    <row r="1779" spans="3:3">
      <c r="C1779" s="221"/>
    </row>
    <row r="1780" spans="3:3">
      <c r="C1780" s="221"/>
    </row>
    <row r="1781" spans="3:3">
      <c r="C1781" s="221"/>
    </row>
    <row r="1782" spans="3:3">
      <c r="C1782" s="221"/>
    </row>
    <row r="1783" spans="3:3">
      <c r="C1783" s="221"/>
    </row>
    <row r="1784" spans="3:3">
      <c r="C1784" s="221"/>
    </row>
    <row r="1785" spans="3:3">
      <c r="C1785" s="221"/>
    </row>
    <row r="1786" spans="3:3">
      <c r="C1786" s="221"/>
    </row>
    <row r="1787" spans="3:3">
      <c r="C1787" s="221"/>
    </row>
    <row r="1788" spans="3:3">
      <c r="C1788" s="221"/>
    </row>
    <row r="1789" spans="3:3">
      <c r="C1789" s="221"/>
    </row>
    <row r="1790" spans="3:3">
      <c r="C1790" s="221"/>
    </row>
    <row r="1791" spans="3:3">
      <c r="C1791" s="221"/>
    </row>
    <row r="1792" spans="3:3">
      <c r="C1792" s="221"/>
    </row>
    <row r="1793" spans="3:3">
      <c r="C1793" s="221"/>
    </row>
    <row r="1794" spans="3:3">
      <c r="C1794" s="221"/>
    </row>
    <row r="1795" spans="3:3">
      <c r="C1795" s="221"/>
    </row>
    <row r="1796" spans="3:3">
      <c r="C1796" s="221"/>
    </row>
    <row r="1797" spans="3:3">
      <c r="C1797" s="221"/>
    </row>
    <row r="1798" spans="3:3">
      <c r="C1798" s="221"/>
    </row>
    <row r="1799" spans="3:3">
      <c r="C1799" s="221"/>
    </row>
    <row r="1800" spans="3:3">
      <c r="C1800" s="221"/>
    </row>
    <row r="1801" spans="3:3">
      <c r="C1801" s="221"/>
    </row>
    <row r="1802" spans="3:3">
      <c r="C1802" s="221"/>
    </row>
    <row r="1803" spans="3:3">
      <c r="C1803" s="221"/>
    </row>
    <row r="1804" spans="3:3">
      <c r="C1804" s="221"/>
    </row>
    <row r="1805" spans="3:3">
      <c r="C1805" s="221"/>
    </row>
    <row r="1806" spans="3:3">
      <c r="C1806" s="221"/>
    </row>
    <row r="1807" spans="3:3">
      <c r="C1807" s="221"/>
    </row>
    <row r="1808" spans="3:3">
      <c r="C1808" s="221"/>
    </row>
    <row r="1809" spans="3:3">
      <c r="C1809" s="221"/>
    </row>
    <row r="1810" spans="3:3">
      <c r="C1810" s="221"/>
    </row>
    <row r="1811" spans="3:3">
      <c r="C1811" s="221"/>
    </row>
    <row r="1812" spans="3:3">
      <c r="C1812" s="221"/>
    </row>
    <row r="1813" spans="3:3">
      <c r="C1813" s="221"/>
    </row>
    <row r="1814" spans="3:3">
      <c r="C1814" s="221"/>
    </row>
    <row r="1815" spans="3:3">
      <c r="C1815" s="221"/>
    </row>
    <row r="1816" spans="3:3">
      <c r="C1816" s="221"/>
    </row>
    <row r="1817" spans="3:3">
      <c r="C1817" s="221"/>
    </row>
    <row r="1818" spans="3:3">
      <c r="C1818" s="221"/>
    </row>
    <row r="1819" spans="3:3">
      <c r="C1819" s="221"/>
    </row>
    <row r="1820" spans="3:3">
      <c r="C1820" s="221"/>
    </row>
    <row r="1821" spans="3:3">
      <c r="C1821" s="221"/>
    </row>
    <row r="1822" spans="3:3">
      <c r="C1822" s="221"/>
    </row>
    <row r="1823" spans="3:3">
      <c r="C1823" s="221"/>
    </row>
    <row r="1824" spans="3:3">
      <c r="C1824" s="221"/>
    </row>
    <row r="1825" spans="3:3">
      <c r="C1825" s="221"/>
    </row>
    <row r="1826" spans="3:3">
      <c r="C1826" s="221"/>
    </row>
    <row r="1827" spans="3:3">
      <c r="C1827" s="221"/>
    </row>
    <row r="1828" spans="3:3">
      <c r="C1828" s="221"/>
    </row>
    <row r="1829" spans="3:3">
      <c r="C1829" s="221"/>
    </row>
    <row r="1830" spans="3:3">
      <c r="C1830" s="221"/>
    </row>
    <row r="1831" spans="3:3">
      <c r="C1831" s="221"/>
    </row>
    <row r="1832" spans="3:3">
      <c r="C1832" s="221"/>
    </row>
    <row r="1833" spans="3:3">
      <c r="C1833" s="221"/>
    </row>
    <row r="1834" spans="3:3">
      <c r="C1834" s="221"/>
    </row>
    <row r="1835" spans="3:3">
      <c r="C1835" s="221"/>
    </row>
    <row r="1836" spans="3:3">
      <c r="C1836" s="221"/>
    </row>
    <row r="1837" spans="3:3">
      <c r="C1837" s="221"/>
    </row>
    <row r="1838" spans="3:3">
      <c r="C1838" s="221"/>
    </row>
    <row r="1839" spans="3:3">
      <c r="C1839" s="221"/>
    </row>
    <row r="1840" spans="3:3">
      <c r="C1840" s="221"/>
    </row>
    <row r="1841" spans="3:3">
      <c r="C1841" s="221"/>
    </row>
    <row r="1842" spans="3:3">
      <c r="C1842" s="221"/>
    </row>
    <row r="1843" spans="3:3">
      <c r="C1843" s="221"/>
    </row>
    <row r="1844" spans="3:3">
      <c r="C1844" s="221"/>
    </row>
    <row r="1845" spans="3:3">
      <c r="C1845" s="221"/>
    </row>
    <row r="1846" spans="3:3">
      <c r="C1846" s="221"/>
    </row>
    <row r="1847" spans="3:3">
      <c r="C1847" s="221"/>
    </row>
    <row r="1848" spans="3:3">
      <c r="C1848" s="221"/>
    </row>
    <row r="1849" spans="3:3">
      <c r="C1849" s="221"/>
    </row>
    <row r="1850" spans="3:3">
      <c r="C1850" s="221"/>
    </row>
    <row r="1851" spans="3:3">
      <c r="C1851" s="221"/>
    </row>
    <row r="1852" spans="3:3">
      <c r="C1852" s="221"/>
    </row>
    <row r="1853" spans="3:3">
      <c r="C1853" s="221"/>
    </row>
    <row r="1854" spans="3:3">
      <c r="C1854" s="221"/>
    </row>
    <row r="1855" spans="3:3">
      <c r="C1855" s="221"/>
    </row>
    <row r="1856" spans="3:3">
      <c r="C1856" s="221"/>
    </row>
    <row r="1857" spans="3:3">
      <c r="C1857" s="221"/>
    </row>
    <row r="1858" spans="3:3">
      <c r="C1858" s="221"/>
    </row>
    <row r="1859" spans="3:3">
      <c r="C1859" s="221"/>
    </row>
    <row r="1860" spans="3:3">
      <c r="C1860" s="221"/>
    </row>
    <row r="1861" spans="3:3">
      <c r="C1861" s="221"/>
    </row>
    <row r="1862" spans="3:3">
      <c r="C1862" s="221"/>
    </row>
    <row r="1863" spans="3:3">
      <c r="C1863" s="221"/>
    </row>
    <row r="1864" spans="3:3">
      <c r="C1864" s="221"/>
    </row>
    <row r="1865" spans="3:3">
      <c r="C1865" s="221"/>
    </row>
    <row r="1866" spans="3:3">
      <c r="C1866" s="221"/>
    </row>
    <row r="1867" spans="3:3">
      <c r="C1867" s="221"/>
    </row>
    <row r="1868" spans="3:3">
      <c r="C1868" s="221"/>
    </row>
    <row r="1869" spans="3:3">
      <c r="C1869" s="221"/>
    </row>
    <row r="1870" spans="3:3">
      <c r="C1870" s="221"/>
    </row>
    <row r="1871" spans="3:3">
      <c r="C1871" s="221"/>
    </row>
    <row r="1872" spans="3:3">
      <c r="C1872" s="221"/>
    </row>
    <row r="1873" spans="3:3">
      <c r="C1873" s="221"/>
    </row>
    <row r="1874" spans="3:3">
      <c r="C1874" s="221"/>
    </row>
    <row r="1875" spans="3:3">
      <c r="C1875" s="221"/>
    </row>
    <row r="1876" spans="3:3">
      <c r="C1876" s="221"/>
    </row>
    <row r="1877" spans="3:3">
      <c r="C1877" s="221"/>
    </row>
    <row r="1878" spans="3:3">
      <c r="C1878" s="221"/>
    </row>
    <row r="1879" spans="3:3">
      <c r="C1879" s="221"/>
    </row>
    <row r="1880" spans="3:3">
      <c r="C1880" s="221"/>
    </row>
    <row r="1881" spans="3:3">
      <c r="C1881" s="221"/>
    </row>
    <row r="1882" spans="3:3">
      <c r="C1882" s="221"/>
    </row>
    <row r="1883" spans="3:3">
      <c r="C1883" s="221"/>
    </row>
    <row r="1884" spans="3:3">
      <c r="C1884" s="221"/>
    </row>
    <row r="1885" spans="3:3">
      <c r="C1885" s="221"/>
    </row>
    <row r="1886" spans="3:3">
      <c r="C1886" s="221"/>
    </row>
    <row r="1887" spans="3:3">
      <c r="C1887" s="221"/>
    </row>
    <row r="1888" spans="3:3">
      <c r="C1888" s="221"/>
    </row>
    <row r="1889" spans="3:3">
      <c r="C1889" s="221"/>
    </row>
    <row r="1890" spans="3:3">
      <c r="C1890" s="221"/>
    </row>
    <row r="1891" spans="3:3">
      <c r="C1891" s="221"/>
    </row>
    <row r="1892" spans="3:3">
      <c r="C1892" s="221"/>
    </row>
    <row r="1893" spans="3:3">
      <c r="C1893" s="221"/>
    </row>
    <row r="1894" spans="3:3">
      <c r="C1894" s="221"/>
    </row>
    <row r="1895" spans="3:3">
      <c r="C1895" s="221"/>
    </row>
    <row r="1896" spans="3:3">
      <c r="C1896" s="221"/>
    </row>
    <row r="1897" spans="3:3">
      <c r="C1897" s="221"/>
    </row>
    <row r="1898" spans="3:3">
      <c r="C1898" s="221"/>
    </row>
    <row r="1899" spans="3:3">
      <c r="C1899" s="221"/>
    </row>
    <row r="1900" spans="3:3">
      <c r="C1900" s="221"/>
    </row>
    <row r="1901" spans="3:3">
      <c r="C1901" s="221"/>
    </row>
    <row r="1902" spans="3:3">
      <c r="C1902" s="221"/>
    </row>
    <row r="1903" spans="3:3">
      <c r="C1903" s="221"/>
    </row>
    <row r="1904" spans="3:3">
      <c r="C1904" s="221"/>
    </row>
    <row r="1905" spans="3:3">
      <c r="C1905" s="221"/>
    </row>
    <row r="1906" spans="3:3">
      <c r="C1906" s="221"/>
    </row>
    <row r="1907" spans="3:3">
      <c r="C1907" s="221"/>
    </row>
    <row r="1908" spans="3:3">
      <c r="C1908" s="221"/>
    </row>
    <row r="1909" spans="3:3">
      <c r="C1909" s="221"/>
    </row>
    <row r="1910" spans="3:3">
      <c r="C1910" s="221"/>
    </row>
    <row r="1911" spans="3:3">
      <c r="C1911" s="221"/>
    </row>
    <row r="1912" spans="3:3">
      <c r="C1912" s="221"/>
    </row>
    <row r="1913" spans="3:3">
      <c r="C1913" s="221"/>
    </row>
    <row r="1914" spans="3:3">
      <c r="C1914" s="221"/>
    </row>
    <row r="1915" spans="3:3">
      <c r="C1915" s="221"/>
    </row>
    <row r="1916" spans="3:3">
      <c r="C1916" s="221"/>
    </row>
    <row r="1917" spans="3:3">
      <c r="C1917" s="221"/>
    </row>
    <row r="1918" spans="3:3">
      <c r="C1918" s="221"/>
    </row>
    <row r="1919" spans="3:3">
      <c r="C1919" s="221"/>
    </row>
    <row r="1920" spans="3:3">
      <c r="C1920" s="221"/>
    </row>
    <row r="1921" spans="3:3">
      <c r="C1921" s="221"/>
    </row>
    <row r="1922" spans="3:3">
      <c r="C1922" s="221"/>
    </row>
    <row r="1923" spans="3:3">
      <c r="C1923" s="221"/>
    </row>
    <row r="1924" spans="3:3">
      <c r="C1924" s="221"/>
    </row>
    <row r="1925" spans="3:3">
      <c r="C1925" s="221"/>
    </row>
    <row r="1926" spans="3:3">
      <c r="C1926" s="221"/>
    </row>
    <row r="1927" spans="3:3">
      <c r="C1927" s="221"/>
    </row>
    <row r="1928" spans="3:3">
      <c r="C1928" s="221"/>
    </row>
    <row r="1929" spans="3:3">
      <c r="C1929" s="221"/>
    </row>
    <row r="1930" spans="3:3">
      <c r="C1930" s="221"/>
    </row>
    <row r="1931" spans="3:3">
      <c r="C1931" s="221"/>
    </row>
    <row r="1932" spans="3:3">
      <c r="C1932" s="221"/>
    </row>
    <row r="1933" spans="3:3">
      <c r="C1933" s="221"/>
    </row>
    <row r="1934" spans="3:3">
      <c r="C1934" s="221"/>
    </row>
    <row r="1935" spans="3:3">
      <c r="C1935" s="221"/>
    </row>
    <row r="1936" spans="3:3">
      <c r="C1936" s="221"/>
    </row>
    <row r="1937" spans="3:3">
      <c r="C1937" s="221"/>
    </row>
    <row r="1938" spans="3:3">
      <c r="C1938" s="221"/>
    </row>
    <row r="1939" spans="3:3">
      <c r="C1939" s="221"/>
    </row>
    <row r="1940" spans="3:3">
      <c r="C1940" s="221"/>
    </row>
    <row r="1941" spans="3:3">
      <c r="C1941" s="221"/>
    </row>
    <row r="1942" spans="3:3">
      <c r="C1942" s="221"/>
    </row>
    <row r="1943" spans="3:3">
      <c r="C1943" s="221"/>
    </row>
    <row r="1944" spans="3:3">
      <c r="C1944" s="221"/>
    </row>
    <row r="1945" spans="3:3">
      <c r="C1945" s="221"/>
    </row>
    <row r="1946" spans="3:3">
      <c r="C1946" s="221"/>
    </row>
    <row r="1947" spans="3:3">
      <c r="C1947" s="221"/>
    </row>
    <row r="1948" spans="3:3">
      <c r="C1948" s="221"/>
    </row>
    <row r="1949" spans="3:3">
      <c r="C1949" s="221"/>
    </row>
    <row r="1950" spans="3:3">
      <c r="C1950" s="221"/>
    </row>
    <row r="1951" spans="3:3">
      <c r="C1951" s="221"/>
    </row>
    <row r="1952" spans="3:3">
      <c r="C1952" s="221"/>
    </row>
    <row r="1953" spans="3:3">
      <c r="C1953" s="221"/>
    </row>
    <row r="1954" spans="3:3">
      <c r="C1954" s="221"/>
    </row>
    <row r="1955" spans="3:3">
      <c r="C1955" s="221"/>
    </row>
    <row r="1956" spans="3:3">
      <c r="C1956" s="221"/>
    </row>
    <row r="1957" spans="3:3">
      <c r="C1957" s="221"/>
    </row>
    <row r="1958" spans="3:3">
      <c r="C1958" s="221"/>
    </row>
    <row r="1959" spans="3:3">
      <c r="C1959" s="221"/>
    </row>
    <row r="1960" spans="3:3">
      <c r="C1960" s="221"/>
    </row>
    <row r="1961" spans="3:3">
      <c r="C1961" s="221"/>
    </row>
    <row r="1962" spans="3:3">
      <c r="C1962" s="221"/>
    </row>
    <row r="1963" spans="3:3">
      <c r="C1963" s="221"/>
    </row>
    <row r="1964" spans="3:3">
      <c r="C1964" s="221"/>
    </row>
    <row r="1965" spans="3:3">
      <c r="C1965" s="221"/>
    </row>
    <row r="1966" spans="3:3">
      <c r="C1966" s="221"/>
    </row>
    <row r="1967" spans="3:3">
      <c r="C1967" s="221"/>
    </row>
    <row r="1968" spans="3:3">
      <c r="C1968" s="221"/>
    </row>
    <row r="1969" spans="3:3">
      <c r="C1969" s="221"/>
    </row>
    <row r="1970" spans="3:3">
      <c r="C1970" s="221"/>
    </row>
    <row r="1971" spans="3:3">
      <c r="C1971" s="221"/>
    </row>
    <row r="1972" spans="3:3">
      <c r="C1972" s="221"/>
    </row>
    <row r="1973" spans="3:3">
      <c r="C1973" s="221"/>
    </row>
    <row r="1974" spans="3:3">
      <c r="C1974" s="221"/>
    </row>
    <row r="1975" spans="3:3">
      <c r="C1975" s="221"/>
    </row>
    <row r="1976" spans="3:3">
      <c r="C1976" s="221"/>
    </row>
    <row r="1977" spans="3:3">
      <c r="C1977" s="221"/>
    </row>
    <row r="1978" spans="3:3">
      <c r="C1978" s="221"/>
    </row>
    <row r="1979" spans="3:3">
      <c r="C1979" s="221"/>
    </row>
    <row r="1980" spans="3:3">
      <c r="C1980" s="221"/>
    </row>
    <row r="1981" spans="3:3">
      <c r="C1981" s="221"/>
    </row>
    <row r="1982" spans="3:3">
      <c r="C1982" s="221"/>
    </row>
    <row r="1983" spans="3:3">
      <c r="C1983" s="221"/>
    </row>
    <row r="1984" spans="3:3">
      <c r="C1984" s="221"/>
    </row>
    <row r="1985" spans="3:3">
      <c r="C1985" s="221"/>
    </row>
    <row r="1986" spans="3:3">
      <c r="C1986" s="221"/>
    </row>
    <row r="1987" spans="3:3">
      <c r="C1987" s="221"/>
    </row>
    <row r="1988" spans="3:3">
      <c r="C1988" s="221"/>
    </row>
    <row r="1989" spans="3:3">
      <c r="C1989" s="221"/>
    </row>
    <row r="1990" spans="3:3">
      <c r="C1990" s="221"/>
    </row>
    <row r="1991" spans="3:3">
      <c r="C1991" s="221"/>
    </row>
    <row r="1992" spans="3:3">
      <c r="C1992" s="221"/>
    </row>
    <row r="1993" spans="3:3">
      <c r="C1993" s="221"/>
    </row>
    <row r="1994" spans="3:3">
      <c r="C1994" s="221"/>
    </row>
    <row r="1995" spans="3:3">
      <c r="C1995" s="221"/>
    </row>
    <row r="1996" spans="3:3">
      <c r="C1996" s="221"/>
    </row>
    <row r="1997" spans="3:3">
      <c r="C1997" s="221"/>
    </row>
    <row r="1998" spans="3:3">
      <c r="C1998" s="221"/>
    </row>
    <row r="1999" spans="3:3">
      <c r="C1999" s="221"/>
    </row>
    <row r="2000" spans="3:3">
      <c r="C2000" s="221"/>
    </row>
    <row r="2001" spans="3:3">
      <c r="C2001" s="221"/>
    </row>
    <row r="2002" spans="3:3">
      <c r="C2002" s="221"/>
    </row>
    <row r="2003" spans="3:3">
      <c r="C2003" s="221"/>
    </row>
    <row r="2004" spans="3:3">
      <c r="C2004" s="221"/>
    </row>
    <row r="2005" spans="3:3">
      <c r="C2005" s="221"/>
    </row>
    <row r="2006" spans="3:3">
      <c r="C2006" s="221"/>
    </row>
    <row r="2007" spans="3:3">
      <c r="C2007" s="221"/>
    </row>
    <row r="2008" spans="3:3">
      <c r="C2008" s="221"/>
    </row>
    <row r="2009" spans="3:3">
      <c r="C2009" s="221"/>
    </row>
    <row r="2010" spans="3:3">
      <c r="C2010" s="221"/>
    </row>
    <row r="2011" spans="3:3">
      <c r="C2011" s="221"/>
    </row>
    <row r="2012" spans="3:3">
      <c r="C2012" s="221"/>
    </row>
    <row r="2013" spans="3:3">
      <c r="C2013" s="221"/>
    </row>
    <row r="2014" spans="3:3">
      <c r="C2014" s="221"/>
    </row>
    <row r="2015" spans="3:3">
      <c r="C2015" s="221"/>
    </row>
    <row r="2016" spans="3:3">
      <c r="C2016" s="221"/>
    </row>
    <row r="2017" spans="3:3">
      <c r="C2017" s="221"/>
    </row>
    <row r="2018" spans="3:3">
      <c r="C2018" s="221"/>
    </row>
    <row r="2019" spans="3:3">
      <c r="C2019" s="221"/>
    </row>
    <row r="2020" spans="3:3">
      <c r="C2020" s="221"/>
    </row>
    <row r="2021" spans="3:3">
      <c r="C2021" s="221"/>
    </row>
    <row r="2022" spans="3:3">
      <c r="C2022" s="221"/>
    </row>
    <row r="2023" spans="3:3">
      <c r="C2023" s="221"/>
    </row>
    <row r="2024" spans="3:3">
      <c r="C2024" s="221"/>
    </row>
    <row r="2025" spans="3:3">
      <c r="C2025" s="221"/>
    </row>
    <row r="2026" spans="3:3">
      <c r="C2026" s="221"/>
    </row>
    <row r="2027" spans="3:3">
      <c r="C2027" s="221"/>
    </row>
    <row r="2028" spans="3:3">
      <c r="C2028" s="221"/>
    </row>
    <row r="2029" spans="3:3">
      <c r="C2029" s="221"/>
    </row>
    <row r="2030" spans="3:3">
      <c r="C2030" s="221"/>
    </row>
    <row r="2031" spans="3:3">
      <c r="C2031" s="221"/>
    </row>
    <row r="2032" spans="3:3">
      <c r="C2032" s="221"/>
    </row>
    <row r="2033" spans="3:3">
      <c r="C2033" s="221"/>
    </row>
    <row r="2034" spans="3:3">
      <c r="C2034" s="221"/>
    </row>
    <row r="2035" spans="3:3">
      <c r="C2035" s="221"/>
    </row>
    <row r="2036" spans="3:3">
      <c r="C2036" s="221"/>
    </row>
    <row r="2037" spans="3:3">
      <c r="C2037" s="221"/>
    </row>
    <row r="2038" spans="3:3">
      <c r="C2038" s="221"/>
    </row>
    <row r="2039" spans="3:3">
      <c r="C2039" s="221"/>
    </row>
    <row r="2040" spans="3:3">
      <c r="C2040" s="221"/>
    </row>
    <row r="2041" spans="3:3">
      <c r="C2041" s="221"/>
    </row>
    <row r="2042" spans="3:3">
      <c r="C2042" s="221"/>
    </row>
    <row r="2043" spans="3:3">
      <c r="C2043" s="221"/>
    </row>
    <row r="2044" spans="3:3">
      <c r="C2044" s="221"/>
    </row>
    <row r="2045" spans="3:3">
      <c r="C2045" s="221"/>
    </row>
    <row r="2046" spans="3:3">
      <c r="C2046" s="221"/>
    </row>
    <row r="2047" spans="3:3">
      <c r="C2047" s="221"/>
    </row>
    <row r="2048" spans="3:3">
      <c r="C2048" s="221"/>
    </row>
    <row r="2049" spans="3:3">
      <c r="C2049" s="221"/>
    </row>
    <row r="2050" spans="3:3">
      <c r="C2050" s="221"/>
    </row>
    <row r="2051" spans="3:3">
      <c r="C2051" s="221"/>
    </row>
    <row r="2052" spans="3:3">
      <c r="C2052" s="221"/>
    </row>
    <row r="2053" spans="3:3">
      <c r="C2053" s="221"/>
    </row>
    <row r="2054" spans="3:3">
      <c r="C2054" s="221"/>
    </row>
    <row r="2055" spans="3:3">
      <c r="C2055" s="221"/>
    </row>
    <row r="2056" spans="3:3">
      <c r="C2056" s="221"/>
    </row>
    <row r="2057" spans="3:3">
      <c r="C2057" s="221"/>
    </row>
    <row r="2058" spans="3:3">
      <c r="C2058" s="221"/>
    </row>
    <row r="2059" spans="3:3">
      <c r="C2059" s="221"/>
    </row>
    <row r="2060" spans="3:3">
      <c r="C2060" s="221"/>
    </row>
    <row r="2061" spans="3:3">
      <c r="C2061" s="221"/>
    </row>
    <row r="2062" spans="3:3">
      <c r="C2062" s="221"/>
    </row>
    <row r="2063" spans="3:3">
      <c r="C2063" s="221"/>
    </row>
    <row r="2064" spans="3:3">
      <c r="C2064" s="221"/>
    </row>
    <row r="2065" spans="3:3">
      <c r="C2065" s="221"/>
    </row>
    <row r="2066" spans="3:3">
      <c r="C2066" s="221"/>
    </row>
    <row r="2067" spans="3:3">
      <c r="C2067" s="221"/>
    </row>
    <row r="2068" spans="3:3">
      <c r="C2068" s="221"/>
    </row>
    <row r="2069" spans="3:3">
      <c r="C2069" s="221"/>
    </row>
    <row r="2070" spans="3:3">
      <c r="C2070" s="221"/>
    </row>
    <row r="2071" spans="3:3">
      <c r="C2071" s="221"/>
    </row>
    <row r="2072" spans="3:3">
      <c r="C2072" s="221"/>
    </row>
    <row r="2073" spans="3:3">
      <c r="C2073" s="221"/>
    </row>
    <row r="2074" spans="3:3">
      <c r="C2074" s="221"/>
    </row>
    <row r="2075" spans="3:3">
      <c r="C2075" s="221"/>
    </row>
    <row r="2076" spans="3:3">
      <c r="C2076" s="221"/>
    </row>
    <row r="2077" spans="3:3">
      <c r="C2077" s="221"/>
    </row>
    <row r="2078" spans="3:3">
      <c r="C2078" s="221"/>
    </row>
    <row r="2079" spans="3:3">
      <c r="C2079" s="221"/>
    </row>
    <row r="2080" spans="3:3">
      <c r="C2080" s="221"/>
    </row>
    <row r="2081" spans="3:3">
      <c r="C2081" s="221"/>
    </row>
    <row r="2082" spans="3:3">
      <c r="C2082" s="221"/>
    </row>
    <row r="2083" spans="3:3">
      <c r="C2083" s="221"/>
    </row>
    <row r="2084" spans="3:3">
      <c r="C2084" s="221"/>
    </row>
    <row r="2085" spans="3:3">
      <c r="C2085" s="221"/>
    </row>
    <row r="2086" spans="3:3">
      <c r="C2086" s="221"/>
    </row>
    <row r="2087" spans="3:3">
      <c r="C2087" s="221"/>
    </row>
    <row r="2088" spans="3:3">
      <c r="C2088" s="221"/>
    </row>
    <row r="2089" spans="3:3">
      <c r="C2089" s="221"/>
    </row>
    <row r="2090" spans="3:3">
      <c r="C2090" s="221"/>
    </row>
    <row r="2091" spans="3:3">
      <c r="C2091" s="221"/>
    </row>
    <row r="2092" spans="3:3">
      <c r="C2092" s="221"/>
    </row>
    <row r="2093" spans="3:3">
      <c r="C2093" s="221"/>
    </row>
    <row r="2094" spans="3:3">
      <c r="C2094" s="221"/>
    </row>
    <row r="2095" spans="3:3">
      <c r="C2095" s="221"/>
    </row>
    <row r="2096" spans="3:3">
      <c r="C2096" s="221"/>
    </row>
    <row r="2097" spans="3:3">
      <c r="C2097" s="221"/>
    </row>
    <row r="2098" spans="3:3">
      <c r="C2098" s="221"/>
    </row>
    <row r="2099" spans="3:3">
      <c r="C2099" s="221"/>
    </row>
    <row r="2100" spans="3:3">
      <c r="C2100" s="221"/>
    </row>
    <row r="2101" spans="3:3">
      <c r="C2101" s="221"/>
    </row>
    <row r="2102" spans="3:3">
      <c r="C2102" s="221"/>
    </row>
    <row r="2103" spans="3:3">
      <c r="C2103" s="221"/>
    </row>
    <row r="2104" spans="3:3">
      <c r="C2104" s="221"/>
    </row>
    <row r="2105" spans="3:3">
      <c r="C2105" s="221"/>
    </row>
    <row r="2106" spans="3:3">
      <c r="C2106" s="221"/>
    </row>
    <row r="2107" spans="3:3">
      <c r="C2107" s="221"/>
    </row>
    <row r="2108" spans="3:3">
      <c r="C2108" s="221"/>
    </row>
    <row r="2109" spans="3:3">
      <c r="C2109" s="221"/>
    </row>
    <row r="2110" spans="3:3">
      <c r="C2110" s="221"/>
    </row>
    <row r="2111" spans="3:3">
      <c r="C2111" s="221"/>
    </row>
    <row r="2112" spans="3:3">
      <c r="C2112" s="221"/>
    </row>
    <row r="2113" spans="3:3">
      <c r="C2113" s="221"/>
    </row>
    <row r="2114" spans="3:3">
      <c r="C2114" s="221"/>
    </row>
    <row r="2115" spans="3:3">
      <c r="C2115" s="221"/>
    </row>
    <row r="2116" spans="3:3">
      <c r="C2116" s="221"/>
    </row>
    <row r="2117" spans="3:3">
      <c r="C2117" s="221"/>
    </row>
    <row r="2118" spans="3:3">
      <c r="C2118" s="221"/>
    </row>
    <row r="2119" spans="3:3">
      <c r="C2119" s="221"/>
    </row>
    <row r="2120" spans="3:3">
      <c r="C2120" s="221"/>
    </row>
    <row r="2121" spans="3:3">
      <c r="C2121" s="221"/>
    </row>
    <row r="2122" spans="3:3">
      <c r="C2122" s="221"/>
    </row>
    <row r="2123" spans="3:3">
      <c r="C2123" s="221"/>
    </row>
    <row r="2124" spans="3:3">
      <c r="C2124" s="221"/>
    </row>
    <row r="2125" spans="3:3">
      <c r="C2125" s="221"/>
    </row>
    <row r="2126" spans="3:3">
      <c r="C2126" s="221"/>
    </row>
    <row r="2127" spans="3:3">
      <c r="C2127" s="221"/>
    </row>
    <row r="2128" spans="3:3">
      <c r="C2128" s="221"/>
    </row>
    <row r="2129" spans="3:3">
      <c r="C2129" s="221"/>
    </row>
    <row r="2130" spans="3:3">
      <c r="C2130" s="221"/>
    </row>
    <row r="2131" spans="3:3">
      <c r="C2131" s="221"/>
    </row>
    <row r="2132" spans="3:3">
      <c r="C2132" s="221"/>
    </row>
    <row r="2133" spans="3:3">
      <c r="C2133" s="221"/>
    </row>
    <row r="2134" spans="3:3">
      <c r="C2134" s="221"/>
    </row>
    <row r="2135" spans="3:3">
      <c r="C2135" s="221"/>
    </row>
    <row r="2136" spans="3:3">
      <c r="C2136" s="221"/>
    </row>
    <row r="2137" spans="3:3">
      <c r="C2137" s="221"/>
    </row>
    <row r="2138" spans="3:3">
      <c r="C2138" s="221"/>
    </row>
    <row r="2139" spans="3:3">
      <c r="C2139" s="221"/>
    </row>
    <row r="2140" spans="3:3">
      <c r="C2140" s="221"/>
    </row>
    <row r="2141" spans="3:3">
      <c r="C2141" s="221"/>
    </row>
    <row r="2142" spans="3:3">
      <c r="C2142" s="221"/>
    </row>
    <row r="2143" spans="3:3">
      <c r="C2143" s="221"/>
    </row>
    <row r="2144" spans="3:3">
      <c r="C2144" s="221"/>
    </row>
    <row r="2145" spans="3:3">
      <c r="C2145" s="221"/>
    </row>
    <row r="2146" spans="3:3">
      <c r="C2146" s="221"/>
    </row>
    <row r="2147" spans="3:3">
      <c r="C2147" s="221"/>
    </row>
    <row r="2148" spans="3:3">
      <c r="C2148" s="221"/>
    </row>
    <row r="2149" spans="3:3">
      <c r="C2149" s="221"/>
    </row>
    <row r="2150" spans="3:3">
      <c r="C2150" s="221"/>
    </row>
    <row r="2151" spans="3:3">
      <c r="C2151" s="221"/>
    </row>
    <row r="2152" spans="3:3">
      <c r="C2152" s="221"/>
    </row>
    <row r="2153" spans="3:3">
      <c r="C2153" s="221"/>
    </row>
    <row r="2154" spans="3:3">
      <c r="C2154" s="221"/>
    </row>
    <row r="2155" spans="3:3">
      <c r="C2155" s="221"/>
    </row>
    <row r="2156" spans="3:3">
      <c r="C2156" s="221"/>
    </row>
    <row r="2157" spans="3:3">
      <c r="C2157" s="221"/>
    </row>
    <row r="2158" spans="3:3">
      <c r="C2158" s="221"/>
    </row>
    <row r="2159" spans="3:3">
      <c r="C2159" s="221"/>
    </row>
    <row r="2160" spans="3:3">
      <c r="C2160" s="221"/>
    </row>
    <row r="2161" spans="3:3">
      <c r="C2161" s="221"/>
    </row>
    <row r="2162" spans="3:3">
      <c r="C2162" s="221"/>
    </row>
    <row r="2163" spans="3:3">
      <c r="C2163" s="221"/>
    </row>
    <row r="2164" spans="3:3">
      <c r="C2164" s="221"/>
    </row>
    <row r="2165" spans="3:3">
      <c r="C2165" s="221"/>
    </row>
    <row r="2166" spans="3:3">
      <c r="C2166" s="221"/>
    </row>
    <row r="2167" spans="3:3">
      <c r="C2167" s="221"/>
    </row>
    <row r="2168" spans="3:3">
      <c r="C2168" s="221"/>
    </row>
    <row r="2169" spans="3:3">
      <c r="C2169" s="221"/>
    </row>
    <row r="2170" spans="3:3">
      <c r="C2170" s="221"/>
    </row>
    <row r="2171" spans="3:3">
      <c r="C2171" s="221"/>
    </row>
    <row r="2172" spans="3:3">
      <c r="C2172" s="221"/>
    </row>
    <row r="2173" spans="3:3">
      <c r="C2173" s="221"/>
    </row>
    <row r="2174" spans="3:3">
      <c r="C2174" s="221"/>
    </row>
    <row r="2175" spans="3:3">
      <c r="C2175" s="221"/>
    </row>
    <row r="2176" spans="3:3">
      <c r="C2176" s="221"/>
    </row>
    <row r="2177" spans="3:3">
      <c r="C2177" s="221"/>
    </row>
    <row r="2178" spans="3:3">
      <c r="C2178" s="221"/>
    </row>
    <row r="2179" spans="3:3">
      <c r="C2179" s="221"/>
    </row>
    <row r="2180" spans="3:3">
      <c r="C2180" s="221"/>
    </row>
    <row r="2181" spans="3:3">
      <c r="C2181" s="221"/>
    </row>
    <row r="2182" spans="3:3">
      <c r="C2182" s="221"/>
    </row>
    <row r="2183" spans="3:3">
      <c r="C2183" s="221"/>
    </row>
    <row r="2184" spans="3:3">
      <c r="C2184" s="221"/>
    </row>
    <row r="2185" spans="3:3">
      <c r="C2185" s="221"/>
    </row>
    <row r="2186" spans="3:3">
      <c r="C2186" s="221"/>
    </row>
    <row r="2187" spans="3:3">
      <c r="C2187" s="221"/>
    </row>
    <row r="2188" spans="3:3">
      <c r="C2188" s="221"/>
    </row>
    <row r="2189" spans="3:3">
      <c r="C2189" s="221"/>
    </row>
    <row r="2190" spans="3:3">
      <c r="C2190" s="221"/>
    </row>
    <row r="2191" spans="3:3">
      <c r="C2191" s="221"/>
    </row>
    <row r="2192" spans="3:3">
      <c r="C2192" s="221"/>
    </row>
    <row r="2193" spans="3:3">
      <c r="C2193" s="221"/>
    </row>
    <row r="2194" spans="3:3">
      <c r="C2194" s="221"/>
    </row>
    <row r="2195" spans="3:3">
      <c r="C2195" s="221"/>
    </row>
    <row r="2196" spans="3:3">
      <c r="C2196" s="221"/>
    </row>
    <row r="2197" spans="3:3">
      <c r="C2197" s="221"/>
    </row>
    <row r="2198" spans="3:3">
      <c r="C2198" s="221"/>
    </row>
    <row r="2199" spans="3:3">
      <c r="C2199" s="221"/>
    </row>
    <row r="2200" spans="3:3">
      <c r="C2200" s="221"/>
    </row>
    <row r="2201" spans="3:3">
      <c r="C2201" s="221"/>
    </row>
    <row r="2202" spans="3:3">
      <c r="C2202" s="221"/>
    </row>
    <row r="2203" spans="3:3">
      <c r="C2203" s="221"/>
    </row>
    <row r="2204" spans="3:3">
      <c r="C2204" s="221"/>
    </row>
    <row r="2205" spans="3:3">
      <c r="C2205" s="221"/>
    </row>
    <row r="2206" spans="3:3">
      <c r="C2206" s="221"/>
    </row>
    <row r="2207" spans="3:3">
      <c r="C2207" s="221"/>
    </row>
    <row r="2208" spans="3:3">
      <c r="C2208" s="221"/>
    </row>
    <row r="2209" spans="3:3">
      <c r="C2209" s="221"/>
    </row>
    <row r="2210" spans="3:3">
      <c r="C2210" s="221"/>
    </row>
    <row r="2211" spans="3:3">
      <c r="C2211" s="221"/>
    </row>
    <row r="2212" spans="3:3">
      <c r="C2212" s="221"/>
    </row>
    <row r="2213" spans="3:3">
      <c r="C2213" s="221"/>
    </row>
    <row r="2214" spans="3:3">
      <c r="C2214" s="221"/>
    </row>
    <row r="2215" spans="3:3">
      <c r="C2215" s="221"/>
    </row>
    <row r="2216" spans="3:3">
      <c r="C2216" s="221"/>
    </row>
    <row r="2217" spans="3:3">
      <c r="C2217" s="221"/>
    </row>
    <row r="2218" spans="3:3">
      <c r="C2218" s="221"/>
    </row>
    <row r="2219" spans="3:3">
      <c r="C2219" s="221"/>
    </row>
    <row r="2220" spans="3:3">
      <c r="C2220" s="221"/>
    </row>
    <row r="2221" spans="3:3">
      <c r="C2221" s="221"/>
    </row>
    <row r="2222" spans="3:3">
      <c r="C2222" s="221"/>
    </row>
    <row r="2223" spans="3:3">
      <c r="C2223" s="221"/>
    </row>
    <row r="2224" spans="3:3">
      <c r="C2224" s="221"/>
    </row>
    <row r="2225" spans="3:3">
      <c r="C2225" s="221"/>
    </row>
    <row r="2226" spans="3:3">
      <c r="C2226" s="221"/>
    </row>
    <row r="2227" spans="3:3">
      <c r="C2227" s="221"/>
    </row>
    <row r="2228" spans="3:3">
      <c r="C2228" s="221"/>
    </row>
    <row r="2229" spans="3:3">
      <c r="C2229" s="221"/>
    </row>
    <row r="2230" spans="3:3">
      <c r="C2230" s="221"/>
    </row>
    <row r="2231" spans="3:3">
      <c r="C2231" s="221"/>
    </row>
    <row r="2232" spans="3:3">
      <c r="C2232" s="221"/>
    </row>
    <row r="2233" spans="3:3">
      <c r="C2233" s="221"/>
    </row>
    <row r="2234" spans="3:3">
      <c r="C2234" s="221"/>
    </row>
    <row r="2235" spans="3:3">
      <c r="C2235" s="221"/>
    </row>
    <row r="2236" spans="3:3">
      <c r="C2236" s="221"/>
    </row>
    <row r="2237" spans="3:3">
      <c r="C2237" s="221"/>
    </row>
    <row r="2238" spans="3:3">
      <c r="C2238" s="221"/>
    </row>
    <row r="2239" spans="3:3">
      <c r="C2239" s="221"/>
    </row>
    <row r="2240" spans="3:3">
      <c r="C2240" s="221"/>
    </row>
    <row r="2241" spans="3:3">
      <c r="C2241" s="221"/>
    </row>
    <row r="2242" spans="3:3">
      <c r="C2242" s="221"/>
    </row>
    <row r="2243" spans="3:3">
      <c r="C2243" s="221"/>
    </row>
    <row r="2244" spans="3:3">
      <c r="C2244" s="221"/>
    </row>
    <row r="2245" spans="3:3">
      <c r="C2245" s="221"/>
    </row>
    <row r="2246" spans="3:3">
      <c r="C2246" s="221"/>
    </row>
    <row r="2247" spans="3:3">
      <c r="C2247" s="221"/>
    </row>
    <row r="2248" spans="3:3">
      <c r="C2248" s="221"/>
    </row>
    <row r="2249" spans="3:3">
      <c r="C2249" s="221"/>
    </row>
    <row r="2250" spans="3:3">
      <c r="C2250" s="221"/>
    </row>
    <row r="2251" spans="3:3">
      <c r="C2251" s="221"/>
    </row>
    <row r="2252" spans="3:3">
      <c r="C2252" s="221"/>
    </row>
    <row r="2253" spans="3:3">
      <c r="C2253" s="221"/>
    </row>
    <row r="2254" spans="3:3">
      <c r="C2254" s="221"/>
    </row>
    <row r="2255" spans="3:3">
      <c r="C2255" s="221"/>
    </row>
    <row r="2256" spans="3:3">
      <c r="C2256" s="221"/>
    </row>
    <row r="2257" spans="3:3">
      <c r="C2257" s="221"/>
    </row>
    <row r="2258" spans="3:3">
      <c r="C2258" s="221"/>
    </row>
    <row r="2259" spans="3:3">
      <c r="C2259" s="221"/>
    </row>
    <row r="2260" spans="3:3">
      <c r="C2260" s="221"/>
    </row>
    <row r="2261" spans="3:3">
      <c r="C2261" s="221"/>
    </row>
    <row r="2262" spans="3:3">
      <c r="C2262" s="221"/>
    </row>
    <row r="2263" spans="3:3">
      <c r="C2263" s="221"/>
    </row>
    <row r="2264" spans="3:3">
      <c r="C2264" s="221"/>
    </row>
    <row r="2265" spans="3:3">
      <c r="C2265" s="221"/>
    </row>
    <row r="2266" spans="3:3">
      <c r="C2266" s="221"/>
    </row>
    <row r="2267" spans="3:3">
      <c r="C2267" s="221"/>
    </row>
    <row r="2268" spans="3:3">
      <c r="C2268" s="221"/>
    </row>
    <row r="2269" spans="3:3">
      <c r="C2269" s="221"/>
    </row>
    <row r="2270" spans="3:3">
      <c r="C2270" s="221"/>
    </row>
    <row r="2271" spans="3:3">
      <c r="C2271" s="221"/>
    </row>
    <row r="2272" spans="3:3">
      <c r="C2272" s="221"/>
    </row>
    <row r="2273" spans="3:3">
      <c r="C2273" s="221"/>
    </row>
    <row r="2274" spans="3:3">
      <c r="C2274" s="221"/>
    </row>
    <row r="2275" spans="3:3">
      <c r="C2275" s="221"/>
    </row>
    <row r="2276" spans="3:3">
      <c r="C2276" s="221"/>
    </row>
    <row r="2277" spans="3:3">
      <c r="C2277" s="221"/>
    </row>
    <row r="2278" spans="3:3">
      <c r="C2278" s="221"/>
    </row>
    <row r="2279" spans="3:3">
      <c r="C2279" s="221"/>
    </row>
    <row r="2280" spans="3:3">
      <c r="C2280" s="221"/>
    </row>
    <row r="2281" spans="3:3">
      <c r="C2281" s="221"/>
    </row>
    <row r="2282" spans="3:3">
      <c r="C2282" s="221"/>
    </row>
    <row r="2283" spans="3:3">
      <c r="C2283" s="221"/>
    </row>
    <row r="2284" spans="3:3">
      <c r="C2284" s="221"/>
    </row>
    <row r="2285" spans="3:3">
      <c r="C2285" s="221"/>
    </row>
    <row r="2286" spans="3:3">
      <c r="C2286" s="221"/>
    </row>
    <row r="2287" spans="3:3">
      <c r="C2287" s="221"/>
    </row>
    <row r="2288" spans="3:3">
      <c r="C2288" s="221"/>
    </row>
    <row r="2289" spans="3:3">
      <c r="C2289" s="221"/>
    </row>
    <row r="2290" spans="3:3">
      <c r="C2290" s="221"/>
    </row>
    <row r="2291" spans="3:3">
      <c r="C2291" s="221"/>
    </row>
    <row r="2292" spans="3:3">
      <c r="C2292" s="221"/>
    </row>
    <row r="2293" spans="3:3">
      <c r="C2293" s="221"/>
    </row>
    <row r="2294" spans="3:3">
      <c r="C2294" s="221"/>
    </row>
    <row r="2295" spans="3:3">
      <c r="C2295" s="221"/>
    </row>
    <row r="2296" spans="3:3">
      <c r="C2296" s="221"/>
    </row>
    <row r="2297" spans="3:3">
      <c r="C2297" s="221"/>
    </row>
    <row r="2298" spans="3:3">
      <c r="C2298" s="221"/>
    </row>
    <row r="2299" spans="3:3">
      <c r="C2299" s="221"/>
    </row>
    <row r="2300" spans="3:3">
      <c r="C2300" s="221"/>
    </row>
    <row r="2301" spans="3:3">
      <c r="C2301" s="221"/>
    </row>
    <row r="2302" spans="3:3">
      <c r="C2302" s="221"/>
    </row>
    <row r="2303" spans="3:3">
      <c r="C2303" s="221"/>
    </row>
    <row r="2304" spans="3:3">
      <c r="C2304" s="221"/>
    </row>
    <row r="2305" spans="3:3">
      <c r="C2305" s="221"/>
    </row>
    <row r="2306" spans="3:3">
      <c r="C2306" s="221"/>
    </row>
    <row r="2307" spans="3:3">
      <c r="C2307" s="221"/>
    </row>
    <row r="2308" spans="3:3">
      <c r="C2308" s="221"/>
    </row>
    <row r="2309" spans="3:3">
      <c r="C2309" s="221"/>
    </row>
    <row r="2310" spans="3:3">
      <c r="C2310" s="221"/>
    </row>
    <row r="2311" spans="3:3">
      <c r="C2311" s="221"/>
    </row>
    <row r="2312" spans="3:3">
      <c r="C2312" s="221"/>
    </row>
    <row r="2313" spans="3:3">
      <c r="C2313" s="221"/>
    </row>
    <row r="2314" spans="3:3">
      <c r="C2314" s="221"/>
    </row>
    <row r="2315" spans="3:3">
      <c r="C2315" s="221"/>
    </row>
    <row r="2316" spans="3:3">
      <c r="C2316" s="221"/>
    </row>
    <row r="2317" spans="3:3">
      <c r="C2317" s="221"/>
    </row>
    <row r="2318" spans="3:3">
      <c r="C2318" s="221"/>
    </row>
    <row r="2319" spans="3:3">
      <c r="C2319" s="221"/>
    </row>
    <row r="2320" spans="3:3">
      <c r="C2320" s="221"/>
    </row>
    <row r="2321" spans="3:3">
      <c r="C2321" s="221"/>
    </row>
    <row r="2322" spans="3:3">
      <c r="C2322" s="221"/>
    </row>
    <row r="2323" spans="3:3">
      <c r="C2323" s="221"/>
    </row>
    <row r="2324" spans="3:3">
      <c r="C2324" s="221"/>
    </row>
    <row r="2325" spans="3:3">
      <c r="C2325" s="221"/>
    </row>
    <row r="2326" spans="3:3">
      <c r="C2326" s="221"/>
    </row>
    <row r="2327" spans="3:3">
      <c r="C2327" s="221"/>
    </row>
    <row r="2328" spans="3:3">
      <c r="C2328" s="221"/>
    </row>
    <row r="2329" spans="3:3">
      <c r="C2329" s="221"/>
    </row>
    <row r="2330" spans="3:3">
      <c r="C2330" s="221"/>
    </row>
    <row r="2331" spans="3:3">
      <c r="C2331" s="221"/>
    </row>
    <row r="2332" spans="3:3">
      <c r="C2332" s="221"/>
    </row>
    <row r="2333" spans="3:3">
      <c r="C2333" s="221"/>
    </row>
    <row r="2334" spans="3:3">
      <c r="C2334" s="221"/>
    </row>
    <row r="2335" spans="3:3">
      <c r="C2335" s="221"/>
    </row>
    <row r="2336" spans="3:3">
      <c r="C2336" s="221"/>
    </row>
    <row r="2337" spans="3:3">
      <c r="C2337" s="221"/>
    </row>
    <row r="2338" spans="3:3">
      <c r="C2338" s="221"/>
    </row>
    <row r="2339" spans="3:3">
      <c r="C2339" s="221"/>
    </row>
    <row r="2340" spans="3:3">
      <c r="C2340" s="221"/>
    </row>
    <row r="2341" spans="3:3">
      <c r="C2341" s="221"/>
    </row>
    <row r="2342" spans="3:3">
      <c r="C2342" s="221"/>
    </row>
    <row r="2343" spans="3:3">
      <c r="C2343" s="221"/>
    </row>
    <row r="2344" spans="3:3">
      <c r="C2344" s="221"/>
    </row>
    <row r="2345" spans="3:3">
      <c r="C2345" s="221"/>
    </row>
    <row r="2346" spans="3:3">
      <c r="C2346" s="221"/>
    </row>
    <row r="2347" spans="3:3">
      <c r="C2347" s="221"/>
    </row>
    <row r="2348" spans="3:3">
      <c r="C2348" s="221"/>
    </row>
    <row r="2349" spans="3:3">
      <c r="C2349" s="221"/>
    </row>
    <row r="2350" spans="3:3">
      <c r="C2350" s="221"/>
    </row>
    <row r="2351" spans="3:3">
      <c r="C2351" s="221"/>
    </row>
    <row r="2352" spans="3:3">
      <c r="C2352" s="221"/>
    </row>
    <row r="2353" spans="3:3">
      <c r="C2353" s="221"/>
    </row>
    <row r="2354" spans="3:3">
      <c r="C2354" s="221"/>
    </row>
    <row r="2355" spans="3:3">
      <c r="C2355" s="221"/>
    </row>
    <row r="2356" spans="3:3">
      <c r="C2356" s="221"/>
    </row>
    <row r="2357" spans="3:3">
      <c r="C2357" s="221"/>
    </row>
    <row r="2358" spans="3:3">
      <c r="C2358" s="221"/>
    </row>
    <row r="2359" spans="3:3">
      <c r="C2359" s="221"/>
    </row>
    <row r="2360" spans="3:3">
      <c r="C2360" s="221"/>
    </row>
    <row r="2361" spans="3:3">
      <c r="C2361" s="221"/>
    </row>
    <row r="2362" spans="3:3">
      <c r="C2362" s="221"/>
    </row>
    <row r="2363" spans="3:3">
      <c r="C2363" s="221"/>
    </row>
    <row r="2364" spans="3:3">
      <c r="C2364" s="221"/>
    </row>
    <row r="2365" spans="3:3">
      <c r="C2365" s="221"/>
    </row>
    <row r="2366" spans="3:3">
      <c r="C2366" s="221"/>
    </row>
    <row r="2367" spans="3:3">
      <c r="C2367" s="221"/>
    </row>
    <row r="2368" spans="3:3">
      <c r="C2368" s="221"/>
    </row>
    <row r="2369" spans="3:3">
      <c r="C2369" s="221"/>
    </row>
    <row r="2370" spans="3:3">
      <c r="C2370" s="221"/>
    </row>
    <row r="2371" spans="3:3">
      <c r="C2371" s="221"/>
    </row>
    <row r="2372" spans="3:3">
      <c r="C2372" s="221"/>
    </row>
    <row r="2373" spans="3:3">
      <c r="C2373" s="221"/>
    </row>
    <row r="2374" spans="3:3">
      <c r="C2374" s="221"/>
    </row>
    <row r="2375" spans="3:3">
      <c r="C2375" s="221"/>
    </row>
    <row r="2376" spans="3:3">
      <c r="C2376" s="221"/>
    </row>
    <row r="2377" spans="3:3">
      <c r="C2377" s="221"/>
    </row>
    <row r="2378" spans="3:3">
      <c r="C2378" s="221"/>
    </row>
    <row r="2379" spans="3:3">
      <c r="C2379" s="221"/>
    </row>
    <row r="2380" spans="3:3">
      <c r="C2380" s="221"/>
    </row>
    <row r="2381" spans="3:3">
      <c r="C2381" s="221"/>
    </row>
    <row r="2382" spans="3:3">
      <c r="C2382" s="221"/>
    </row>
    <row r="2383" spans="3:3">
      <c r="C2383" s="221"/>
    </row>
    <row r="2384" spans="3:3">
      <c r="C2384" s="221"/>
    </row>
    <row r="2385" spans="3:3">
      <c r="C2385" s="221"/>
    </row>
    <row r="2386" spans="3:3">
      <c r="C2386" s="221"/>
    </row>
    <row r="2387" spans="3:3">
      <c r="C2387" s="221"/>
    </row>
    <row r="2388" spans="3:3">
      <c r="C2388" s="221"/>
    </row>
    <row r="2389" spans="3:3">
      <c r="C2389" s="221"/>
    </row>
    <row r="2390" spans="3:3">
      <c r="C2390" s="221"/>
    </row>
    <row r="2391" spans="3:3">
      <c r="C2391" s="221"/>
    </row>
    <row r="2392" spans="3:3">
      <c r="C2392" s="221"/>
    </row>
    <row r="2393" spans="3:3">
      <c r="C2393" s="221"/>
    </row>
    <row r="2394" spans="3:3">
      <c r="C2394" s="221"/>
    </row>
    <row r="2395" spans="3:3">
      <c r="C2395" s="221"/>
    </row>
    <row r="2396" spans="3:3">
      <c r="C2396" s="221"/>
    </row>
    <row r="2397" spans="3:3">
      <c r="C2397" s="221"/>
    </row>
    <row r="2398" spans="3:3">
      <c r="C2398" s="221"/>
    </row>
    <row r="2399" spans="3:3">
      <c r="C2399" s="221"/>
    </row>
    <row r="2400" spans="3:3">
      <c r="C2400" s="221"/>
    </row>
    <row r="2401" spans="3:3">
      <c r="C2401" s="221"/>
    </row>
    <row r="2402" spans="3:3">
      <c r="C2402" s="221"/>
    </row>
    <row r="2403" spans="3:3">
      <c r="C2403" s="221"/>
    </row>
    <row r="2404" spans="3:3">
      <c r="C2404" s="221"/>
    </row>
    <row r="2405" spans="3:3">
      <c r="C2405" s="221"/>
    </row>
    <row r="2406" spans="3:3">
      <c r="C2406" s="221"/>
    </row>
    <row r="2407" spans="3:3">
      <c r="C2407" s="221"/>
    </row>
    <row r="2408" spans="3:3">
      <c r="C2408" s="221"/>
    </row>
    <row r="2409" spans="3:3">
      <c r="C2409" s="221"/>
    </row>
    <row r="2410" spans="3:3">
      <c r="C2410" s="221"/>
    </row>
    <row r="2411" spans="3:3">
      <c r="C2411" s="221"/>
    </row>
    <row r="2412" spans="3:3">
      <c r="C2412" s="221"/>
    </row>
    <row r="2413" spans="3:3">
      <c r="C2413" s="221"/>
    </row>
    <row r="2414" spans="3:3">
      <c r="C2414" s="221"/>
    </row>
    <row r="2415" spans="3:3">
      <c r="C2415" s="221"/>
    </row>
    <row r="2416" spans="3:3">
      <c r="C2416" s="221"/>
    </row>
    <row r="2417" spans="3:3">
      <c r="C2417" s="221"/>
    </row>
    <row r="2418" spans="3:3">
      <c r="C2418" s="221"/>
    </row>
    <row r="2419" spans="3:3">
      <c r="C2419" s="221"/>
    </row>
    <row r="2420" spans="3:3">
      <c r="C2420" s="221"/>
    </row>
    <row r="2421" spans="3:3">
      <c r="C2421" s="221"/>
    </row>
    <row r="2422" spans="3:3">
      <c r="C2422" s="221"/>
    </row>
    <row r="2423" spans="3:3">
      <c r="C2423" s="221"/>
    </row>
    <row r="2424" spans="3:3">
      <c r="C2424" s="221"/>
    </row>
    <row r="2425" spans="3:3">
      <c r="C2425" s="221"/>
    </row>
    <row r="2426" spans="3:3">
      <c r="C2426" s="221"/>
    </row>
    <row r="2427" spans="3:3">
      <c r="C2427" s="221"/>
    </row>
    <row r="2428" spans="3:3">
      <c r="C2428" s="221"/>
    </row>
    <row r="2429" spans="3:3">
      <c r="C2429" s="221"/>
    </row>
    <row r="2430" spans="3:3">
      <c r="C2430" s="221"/>
    </row>
    <row r="2431" spans="3:3">
      <c r="C2431" s="221"/>
    </row>
    <row r="2432" spans="3:3">
      <c r="C2432" s="221"/>
    </row>
    <row r="2433" spans="3:3">
      <c r="C2433" s="221"/>
    </row>
    <row r="2434" spans="3:3">
      <c r="C2434" s="221"/>
    </row>
    <row r="2435" spans="3:3">
      <c r="C2435" s="221"/>
    </row>
    <row r="2436" spans="3:3">
      <c r="C2436" s="221"/>
    </row>
    <row r="2437" spans="3:3">
      <c r="C2437" s="221"/>
    </row>
    <row r="2438" spans="3:3">
      <c r="C2438" s="221"/>
    </row>
    <row r="2439" spans="3:3">
      <c r="C2439" s="221"/>
    </row>
    <row r="2440" spans="3:3">
      <c r="C2440" s="221"/>
    </row>
    <row r="2441" spans="3:3">
      <c r="C2441" s="221"/>
    </row>
    <row r="2442" spans="3:3">
      <c r="C2442" s="221"/>
    </row>
    <row r="2443" spans="3:3">
      <c r="C2443" s="221"/>
    </row>
    <row r="2444" spans="3:3">
      <c r="C2444" s="221"/>
    </row>
    <row r="2445" spans="3:3">
      <c r="C2445" s="221"/>
    </row>
    <row r="2446" spans="3:3">
      <c r="C2446" s="221"/>
    </row>
    <row r="2447" spans="3:3">
      <c r="C2447" s="221"/>
    </row>
    <row r="2448" spans="3:3">
      <c r="C2448" s="221"/>
    </row>
    <row r="2449" spans="3:3">
      <c r="C2449" s="221"/>
    </row>
    <row r="2450" spans="3:3">
      <c r="C2450" s="221"/>
    </row>
    <row r="2451" spans="3:3">
      <c r="C2451" s="221"/>
    </row>
    <row r="2452" spans="3:3">
      <c r="C2452" s="221"/>
    </row>
    <row r="2453" spans="3:3">
      <c r="C2453" s="221"/>
    </row>
    <row r="2454" spans="3:3">
      <c r="C2454" s="221"/>
    </row>
    <row r="2455" spans="3:3">
      <c r="C2455" s="221"/>
    </row>
    <row r="2456" spans="3:3">
      <c r="C2456" s="221"/>
    </row>
    <row r="2457" spans="3:3">
      <c r="C2457" s="221"/>
    </row>
    <row r="2458" spans="3:3">
      <c r="C2458" s="221"/>
    </row>
    <row r="2459" spans="3:3">
      <c r="C2459" s="221"/>
    </row>
    <row r="2460" spans="3:3">
      <c r="C2460" s="221"/>
    </row>
    <row r="2461" spans="3:3">
      <c r="C2461" s="221"/>
    </row>
    <row r="2462" spans="3:3">
      <c r="C2462" s="221"/>
    </row>
    <row r="2463" spans="3:3">
      <c r="C2463" s="221"/>
    </row>
    <row r="2464" spans="3:3">
      <c r="C2464" s="221"/>
    </row>
    <row r="2465" spans="3:3">
      <c r="C2465" s="221"/>
    </row>
    <row r="2466" spans="3:3">
      <c r="C2466" s="221"/>
    </row>
    <row r="2467" spans="3:3">
      <c r="C2467" s="221"/>
    </row>
    <row r="2468" spans="3:3">
      <c r="C2468" s="221"/>
    </row>
    <row r="2469" spans="3:3">
      <c r="C2469" s="221"/>
    </row>
    <row r="2470" spans="3:3">
      <c r="C2470" s="221"/>
    </row>
    <row r="2471" spans="3:3">
      <c r="C2471" s="221"/>
    </row>
    <row r="2472" spans="3:3">
      <c r="C2472" s="221"/>
    </row>
    <row r="2473" spans="3:3">
      <c r="C2473" s="221"/>
    </row>
    <row r="2474" spans="3:3">
      <c r="C2474" s="221"/>
    </row>
    <row r="2475" spans="3:3">
      <c r="C2475" s="221"/>
    </row>
    <row r="2476" spans="3:3">
      <c r="C2476" s="221"/>
    </row>
    <row r="2477" spans="3:3">
      <c r="C2477" s="221"/>
    </row>
    <row r="2478" spans="3:3">
      <c r="C2478" s="221"/>
    </row>
    <row r="2479" spans="3:3">
      <c r="C2479" s="221"/>
    </row>
    <row r="2480" spans="3:3">
      <c r="C2480" s="221"/>
    </row>
    <row r="2481" spans="3:3">
      <c r="C2481" s="221"/>
    </row>
    <row r="2482" spans="3:3">
      <c r="C2482" s="221"/>
    </row>
    <row r="2483" spans="3:3">
      <c r="C2483" s="221"/>
    </row>
    <row r="2484" spans="3:3">
      <c r="C2484" s="221"/>
    </row>
    <row r="2485" spans="3:3">
      <c r="C2485" s="221"/>
    </row>
    <row r="2486" spans="3:3">
      <c r="C2486" s="221"/>
    </row>
    <row r="2487" spans="3:3">
      <c r="C2487" s="221"/>
    </row>
    <row r="2488" spans="3:3">
      <c r="C2488" s="221"/>
    </row>
    <row r="2489" spans="3:3">
      <c r="C2489" s="221"/>
    </row>
    <row r="2490" spans="3:3">
      <c r="C2490" s="221"/>
    </row>
    <row r="2491" spans="3:3">
      <c r="C2491" s="221"/>
    </row>
    <row r="2492" spans="3:3">
      <c r="C2492" s="221"/>
    </row>
    <row r="2493" spans="3:3">
      <c r="C2493" s="221"/>
    </row>
    <row r="2494" spans="3:3">
      <c r="C2494" s="221"/>
    </row>
    <row r="2495" spans="3:3">
      <c r="C2495" s="221"/>
    </row>
    <row r="2496" spans="3:3">
      <c r="C2496" s="221"/>
    </row>
    <row r="2497" spans="3:3">
      <c r="C2497" s="221"/>
    </row>
    <row r="2498" spans="3:3">
      <c r="C2498" s="221"/>
    </row>
    <row r="2499" spans="3:3">
      <c r="C2499" s="221"/>
    </row>
    <row r="2500" spans="3:3">
      <c r="C2500" s="221"/>
    </row>
    <row r="2501" spans="3:3">
      <c r="C2501" s="221"/>
    </row>
    <row r="2502" spans="3:3">
      <c r="C2502" s="221"/>
    </row>
    <row r="2503" spans="3:3">
      <c r="C2503" s="221"/>
    </row>
    <row r="2504" spans="3:3">
      <c r="C2504" s="221"/>
    </row>
    <row r="2505" spans="3:3">
      <c r="C2505" s="221"/>
    </row>
    <row r="2506" spans="3:3">
      <c r="C2506" s="221"/>
    </row>
    <row r="2507" spans="3:3">
      <c r="C2507" s="221"/>
    </row>
    <row r="2508" spans="3:3">
      <c r="C2508" s="221"/>
    </row>
    <row r="2509" spans="3:3">
      <c r="C2509" s="221"/>
    </row>
    <row r="2510" spans="3:3">
      <c r="C2510" s="221"/>
    </row>
    <row r="2511" spans="3:3">
      <c r="C2511" s="221"/>
    </row>
    <row r="2512" spans="3:3">
      <c r="C2512" s="221"/>
    </row>
    <row r="2513" spans="3:3">
      <c r="C2513" s="221"/>
    </row>
    <row r="2514" spans="3:3">
      <c r="C2514" s="221"/>
    </row>
    <row r="2515" spans="3:3">
      <c r="C2515" s="221"/>
    </row>
    <row r="2516" spans="3:3">
      <c r="C2516" s="221"/>
    </row>
    <row r="2517" spans="3:3">
      <c r="C2517" s="221"/>
    </row>
    <row r="2518" spans="3:3">
      <c r="C2518" s="221"/>
    </row>
    <row r="2519" spans="3:3">
      <c r="C2519" s="221"/>
    </row>
    <row r="2520" spans="3:3">
      <c r="C2520" s="221"/>
    </row>
    <row r="2521" spans="3:3">
      <c r="C2521" s="221"/>
    </row>
    <row r="2522" spans="3:3">
      <c r="C2522" s="221"/>
    </row>
    <row r="2523" spans="3:3">
      <c r="C2523" s="221"/>
    </row>
    <row r="2524" spans="3:3">
      <c r="C2524" s="221"/>
    </row>
    <row r="2525" spans="3:3">
      <c r="C2525" s="221"/>
    </row>
    <row r="2526" spans="3:3">
      <c r="C2526" s="221"/>
    </row>
    <row r="2527" spans="3:3">
      <c r="C2527" s="221"/>
    </row>
    <row r="2528" spans="3:3">
      <c r="C2528" s="221"/>
    </row>
    <row r="2529" spans="3:3">
      <c r="C2529" s="221"/>
    </row>
    <row r="2530" spans="3:3">
      <c r="C2530" s="221"/>
    </row>
    <row r="2531" spans="3:3">
      <c r="C2531" s="221"/>
    </row>
    <row r="2532" spans="3:3">
      <c r="C2532" s="221"/>
    </row>
    <row r="2533" spans="3:3">
      <c r="C2533" s="221"/>
    </row>
    <row r="2534" spans="3:3">
      <c r="C2534" s="221"/>
    </row>
    <row r="2535" spans="3:3">
      <c r="C2535" s="221"/>
    </row>
    <row r="2536" spans="3:3">
      <c r="C2536" s="221"/>
    </row>
    <row r="2537" spans="3:3">
      <c r="C2537" s="221"/>
    </row>
    <row r="2538" spans="3:3">
      <c r="C2538" s="221"/>
    </row>
    <row r="2539" spans="3:3">
      <c r="C2539" s="221"/>
    </row>
    <row r="2540" spans="3:3">
      <c r="C2540" s="221"/>
    </row>
    <row r="2541" spans="3:3">
      <c r="C2541" s="221"/>
    </row>
    <row r="2542" spans="3:3">
      <c r="C2542" s="221"/>
    </row>
    <row r="2543" spans="3:3">
      <c r="C2543" s="221"/>
    </row>
    <row r="2544" spans="3:3">
      <c r="C2544" s="221"/>
    </row>
    <row r="2545" spans="3:3">
      <c r="C2545" s="221"/>
    </row>
    <row r="2546" spans="3:3">
      <c r="C2546" s="221"/>
    </row>
    <row r="2547" spans="3:3">
      <c r="C2547" s="221"/>
    </row>
    <row r="2548" spans="3:3">
      <c r="C2548" s="221"/>
    </row>
    <row r="2549" spans="3:3">
      <c r="C2549" s="221"/>
    </row>
    <row r="2550" spans="3:3">
      <c r="C2550" s="221"/>
    </row>
    <row r="2551" spans="3:3">
      <c r="C2551" s="221"/>
    </row>
    <row r="2552" spans="3:3">
      <c r="C2552" s="221"/>
    </row>
    <row r="2553" spans="3:3">
      <c r="C2553" s="221"/>
    </row>
    <row r="2554" spans="3:3">
      <c r="C2554" s="221"/>
    </row>
    <row r="2555" spans="3:3">
      <c r="C2555" s="221"/>
    </row>
    <row r="2556" spans="3:3">
      <c r="C2556" s="221"/>
    </row>
    <row r="2557" spans="3:3">
      <c r="C2557" s="221"/>
    </row>
    <row r="2558" spans="3:3">
      <c r="C2558" s="221"/>
    </row>
    <row r="2559" spans="3:3">
      <c r="C2559" s="221"/>
    </row>
    <row r="2560" spans="3:3">
      <c r="C2560" s="221"/>
    </row>
    <row r="2561" spans="3:3">
      <c r="C2561" s="221"/>
    </row>
    <row r="2562" spans="3:3">
      <c r="C2562" s="221"/>
    </row>
    <row r="2563" spans="3:3">
      <c r="C2563" s="221"/>
    </row>
    <row r="2564" spans="3:3">
      <c r="C2564" s="221"/>
    </row>
    <row r="2565" spans="3:3">
      <c r="C2565" s="221"/>
    </row>
    <row r="2566" spans="3:3">
      <c r="C2566" s="221"/>
    </row>
    <row r="2567" spans="3:3">
      <c r="C2567" s="221"/>
    </row>
    <row r="2568" spans="3:3">
      <c r="C2568" s="221"/>
    </row>
    <row r="2569" spans="3:3">
      <c r="C2569" s="221"/>
    </row>
    <row r="2570" spans="3:3">
      <c r="C2570" s="221"/>
    </row>
    <row r="2571" spans="3:3">
      <c r="C2571" s="221"/>
    </row>
    <row r="2572" spans="3:3">
      <c r="C2572" s="221"/>
    </row>
    <row r="2573" spans="3:3">
      <c r="C2573" s="221"/>
    </row>
    <row r="2574" spans="3:3">
      <c r="C2574" s="221"/>
    </row>
    <row r="2575" spans="3:3">
      <c r="C2575" s="221"/>
    </row>
    <row r="2576" spans="3:3">
      <c r="C2576" s="221"/>
    </row>
    <row r="2577" spans="3:3">
      <c r="C2577" s="221"/>
    </row>
    <row r="2578" spans="3:3">
      <c r="C2578" s="221"/>
    </row>
    <row r="2579" spans="3:3">
      <c r="C2579" s="221"/>
    </row>
    <row r="2580" spans="3:3">
      <c r="C2580" s="221"/>
    </row>
    <row r="2581" spans="3:3">
      <c r="C2581" s="221"/>
    </row>
    <row r="2582" spans="3:3">
      <c r="C2582" s="221"/>
    </row>
    <row r="2583" spans="3:3">
      <c r="C2583" s="221"/>
    </row>
    <row r="2584" spans="3:3">
      <c r="C2584" s="221"/>
    </row>
    <row r="2585" spans="3:3">
      <c r="C2585" s="221"/>
    </row>
    <row r="2586" spans="3:3">
      <c r="C2586" s="221"/>
    </row>
    <row r="2587" spans="3:3">
      <c r="C2587" s="221"/>
    </row>
    <row r="2588" spans="3:3">
      <c r="C2588" s="221"/>
    </row>
    <row r="2589" spans="3:3">
      <c r="C2589" s="221"/>
    </row>
    <row r="2590" spans="3:3">
      <c r="C2590" s="221"/>
    </row>
    <row r="2591" spans="3:3">
      <c r="C2591" s="221"/>
    </row>
    <row r="2592" spans="3:3">
      <c r="C2592" s="221"/>
    </row>
    <row r="2593" spans="3:3">
      <c r="C2593" s="221"/>
    </row>
    <row r="2594" spans="3:3">
      <c r="C2594" s="221"/>
    </row>
    <row r="2595" spans="3:3">
      <c r="C2595" s="221"/>
    </row>
    <row r="2596" spans="3:3">
      <c r="C2596" s="221"/>
    </row>
    <row r="2597" spans="3:3">
      <c r="C2597" s="221"/>
    </row>
    <row r="2598" spans="3:3">
      <c r="C2598" s="221"/>
    </row>
    <row r="2599" spans="3:3">
      <c r="C2599" s="221"/>
    </row>
    <row r="2600" spans="3:3">
      <c r="C2600" s="221"/>
    </row>
    <row r="2601" spans="3:3">
      <c r="C2601" s="221"/>
    </row>
    <row r="2602" spans="3:3">
      <c r="C2602" s="221"/>
    </row>
    <row r="2603" spans="3:3">
      <c r="C2603" s="221"/>
    </row>
    <row r="2604" spans="3:3">
      <c r="C2604" s="221"/>
    </row>
    <row r="2605" spans="3:3">
      <c r="C2605" s="221"/>
    </row>
    <row r="2606" spans="3:3">
      <c r="C2606" s="221"/>
    </row>
    <row r="2607" spans="3:3">
      <c r="C2607" s="221"/>
    </row>
    <row r="2608" spans="3:3">
      <c r="C2608" s="221"/>
    </row>
    <row r="2609" spans="3:3">
      <c r="C2609" s="221"/>
    </row>
    <row r="2610" spans="3:3">
      <c r="C2610" s="221"/>
    </row>
    <row r="2611" spans="3:3">
      <c r="C2611" s="221"/>
    </row>
    <row r="2612" spans="3:3">
      <c r="C2612" s="221"/>
    </row>
    <row r="2613" spans="3:3">
      <c r="C2613" s="221"/>
    </row>
    <row r="2614" spans="3:3">
      <c r="C2614" s="221"/>
    </row>
    <row r="2615" spans="3:3">
      <c r="C2615" s="221"/>
    </row>
    <row r="2616" spans="3:3">
      <c r="C2616" s="221"/>
    </row>
    <row r="2617" spans="3:3">
      <c r="C2617" s="221"/>
    </row>
    <row r="2618" spans="3:3">
      <c r="C2618" s="221"/>
    </row>
    <row r="2619" spans="3:3">
      <c r="C2619" s="221"/>
    </row>
    <row r="2620" spans="3:3">
      <c r="C2620" s="221"/>
    </row>
    <row r="2621" spans="3:3">
      <c r="C2621" s="221"/>
    </row>
    <row r="2622" spans="3:3">
      <c r="C2622" s="221"/>
    </row>
    <row r="2623" spans="3:3">
      <c r="C2623" s="221"/>
    </row>
    <row r="2624" spans="3:3">
      <c r="C2624" s="221"/>
    </row>
    <row r="2625" spans="3:3">
      <c r="C2625" s="221"/>
    </row>
    <row r="2626" spans="3:3">
      <c r="C2626" s="221"/>
    </row>
    <row r="2627" spans="3:3">
      <c r="C2627" s="221"/>
    </row>
    <row r="2628" spans="3:3">
      <c r="C2628" s="221"/>
    </row>
    <row r="2629" spans="3:3">
      <c r="C2629" s="221"/>
    </row>
    <row r="2630" spans="3:3">
      <c r="C2630" s="221"/>
    </row>
    <row r="2631" spans="3:3">
      <c r="C2631" s="221"/>
    </row>
    <row r="2632" spans="3:3">
      <c r="C2632" s="221"/>
    </row>
    <row r="2633" spans="3:3">
      <c r="C2633" s="221"/>
    </row>
    <row r="2634" spans="3:3">
      <c r="C2634" s="221"/>
    </row>
    <row r="2635" spans="3:3">
      <c r="C2635" s="221"/>
    </row>
    <row r="2636" spans="3:3">
      <c r="C2636" s="221"/>
    </row>
    <row r="2637" spans="3:3">
      <c r="C2637" s="221"/>
    </row>
    <row r="2638" spans="3:3">
      <c r="C2638" s="221"/>
    </row>
    <row r="2639" spans="3:3">
      <c r="C2639" s="221"/>
    </row>
    <row r="2640" spans="3:3">
      <c r="C2640" s="221"/>
    </row>
    <row r="2641" spans="3:3">
      <c r="C2641" s="221"/>
    </row>
    <row r="2642" spans="3:3">
      <c r="C2642" s="221"/>
    </row>
    <row r="2643" spans="3:3">
      <c r="C2643" s="221"/>
    </row>
    <row r="2644" spans="3:3">
      <c r="C2644" s="221"/>
    </row>
    <row r="2645" spans="3:3">
      <c r="C2645" s="221"/>
    </row>
    <row r="2646" spans="3:3">
      <c r="C2646" s="221"/>
    </row>
    <row r="2647" spans="3:3">
      <c r="C2647" s="221"/>
    </row>
    <row r="2648" spans="3:3">
      <c r="C2648" s="221"/>
    </row>
    <row r="2649" spans="3:3">
      <c r="C2649" s="221"/>
    </row>
    <row r="2650" spans="3:3">
      <c r="C2650" s="221"/>
    </row>
    <row r="2651" spans="3:3">
      <c r="C2651" s="221"/>
    </row>
    <row r="2652" spans="3:3">
      <c r="C2652" s="221"/>
    </row>
    <row r="2653" spans="3:3">
      <c r="C2653" s="221"/>
    </row>
    <row r="2654" spans="3:3">
      <c r="C2654" s="221"/>
    </row>
    <row r="2655" spans="3:3">
      <c r="C2655" s="221"/>
    </row>
    <row r="2656" spans="3:3">
      <c r="C2656" s="221"/>
    </row>
    <row r="2657" spans="3:3">
      <c r="C2657" s="221"/>
    </row>
    <row r="2658" spans="3:3">
      <c r="C2658" s="221"/>
    </row>
    <row r="2659" spans="3:3">
      <c r="C2659" s="221"/>
    </row>
    <row r="2660" spans="3:3">
      <c r="C2660" s="221"/>
    </row>
    <row r="2661" spans="3:3">
      <c r="C2661" s="221"/>
    </row>
    <row r="2662" spans="3:3">
      <c r="C2662" s="221"/>
    </row>
    <row r="2663" spans="3:3">
      <c r="C2663" s="221"/>
    </row>
    <row r="2664" spans="3:3">
      <c r="C2664" s="221"/>
    </row>
    <row r="2665" spans="3:3">
      <c r="C2665" s="221"/>
    </row>
    <row r="2666" spans="3:3">
      <c r="C2666" s="221"/>
    </row>
    <row r="2667" spans="3:3">
      <c r="C2667" s="221"/>
    </row>
    <row r="2668" spans="3:3">
      <c r="C2668" s="221"/>
    </row>
    <row r="2669" spans="3:3">
      <c r="C2669" s="221"/>
    </row>
    <row r="2670" spans="3:3">
      <c r="C2670" s="221"/>
    </row>
    <row r="2671" spans="3:3">
      <c r="C2671" s="221"/>
    </row>
    <row r="2672" spans="3:3">
      <c r="C2672" s="221"/>
    </row>
    <row r="2673" spans="3:3">
      <c r="C2673" s="221"/>
    </row>
    <row r="2674" spans="3:3">
      <c r="C2674" s="221"/>
    </row>
    <row r="2675" spans="3:3">
      <c r="C2675" s="221"/>
    </row>
    <row r="2676" spans="3:3">
      <c r="C2676" s="221"/>
    </row>
    <row r="2677" spans="3:3">
      <c r="C2677" s="221"/>
    </row>
    <row r="2678" spans="3:3">
      <c r="C2678" s="221"/>
    </row>
    <row r="2679" spans="3:3">
      <c r="C2679" s="221"/>
    </row>
    <row r="2680" spans="3:3">
      <c r="C2680" s="221"/>
    </row>
    <row r="2681" spans="3:3">
      <c r="C2681" s="221"/>
    </row>
    <row r="2682" spans="3:3">
      <c r="C2682" s="221"/>
    </row>
    <row r="2683" spans="3:3">
      <c r="C2683" s="221"/>
    </row>
    <row r="2684" spans="3:3">
      <c r="C2684" s="221"/>
    </row>
    <row r="2685" spans="3:3">
      <c r="C2685" s="221"/>
    </row>
    <row r="2686" spans="3:3">
      <c r="C2686" s="221"/>
    </row>
    <row r="2687" spans="3:3">
      <c r="C2687" s="221"/>
    </row>
    <row r="2688" spans="3:3">
      <c r="C2688" s="221"/>
    </row>
    <row r="2689" spans="3:3">
      <c r="C2689" s="221"/>
    </row>
    <row r="2690" spans="3:3">
      <c r="C2690" s="221"/>
    </row>
    <row r="2691" spans="3:3">
      <c r="C2691" s="221"/>
    </row>
    <row r="2692" spans="3:3">
      <c r="C2692" s="221"/>
    </row>
    <row r="2693" spans="3:3">
      <c r="C2693" s="221"/>
    </row>
    <row r="2694" spans="3:3">
      <c r="C2694" s="221"/>
    </row>
    <row r="2695" spans="3:3">
      <c r="C2695" s="221"/>
    </row>
    <row r="2696" spans="3:3">
      <c r="C2696" s="221"/>
    </row>
    <row r="2697" spans="3:3">
      <c r="C2697" s="221"/>
    </row>
    <row r="2698" spans="3:3">
      <c r="C2698" s="221"/>
    </row>
    <row r="2699" spans="3:3">
      <c r="C2699" s="221"/>
    </row>
    <row r="2700" spans="3:3">
      <c r="C2700" s="221"/>
    </row>
    <row r="2701" spans="3:3">
      <c r="C2701" s="221"/>
    </row>
    <row r="2702" spans="3:3">
      <c r="C2702" s="221"/>
    </row>
    <row r="2703" spans="3:3">
      <c r="C2703" s="221"/>
    </row>
    <row r="2704" spans="3:3">
      <c r="C2704" s="221"/>
    </row>
    <row r="2705" spans="3:3">
      <c r="C2705" s="221"/>
    </row>
    <row r="2706" spans="3:3">
      <c r="C2706" s="221"/>
    </row>
    <row r="2707" spans="3:3">
      <c r="C2707" s="221"/>
    </row>
    <row r="2708" spans="3:3">
      <c r="C2708" s="221"/>
    </row>
    <row r="2709" spans="3:3">
      <c r="C2709" s="221"/>
    </row>
    <row r="2710" spans="3:3">
      <c r="C2710" s="221"/>
    </row>
    <row r="2711" spans="3:3">
      <c r="C2711" s="221"/>
    </row>
    <row r="2712" spans="3:3">
      <c r="C2712" s="221"/>
    </row>
    <row r="2713" spans="3:3">
      <c r="C2713" s="221"/>
    </row>
    <row r="2714" spans="3:3">
      <c r="C2714" s="221"/>
    </row>
    <row r="2715" spans="3:3">
      <c r="C2715" s="221"/>
    </row>
    <row r="2716" spans="3:3">
      <c r="C2716" s="221"/>
    </row>
    <row r="2717" spans="3:3">
      <c r="C2717" s="221"/>
    </row>
    <row r="2718" spans="3:3">
      <c r="C2718" s="221"/>
    </row>
    <row r="2719" spans="3:3">
      <c r="C2719" s="221"/>
    </row>
    <row r="2720" spans="3:3">
      <c r="C2720" s="221"/>
    </row>
    <row r="2721" spans="3:3">
      <c r="C2721" s="221"/>
    </row>
    <row r="2722" spans="3:3">
      <c r="C2722" s="221"/>
    </row>
    <row r="2723" spans="3:3">
      <c r="C2723" s="221"/>
    </row>
    <row r="2724" spans="3:3">
      <c r="C2724" s="221"/>
    </row>
    <row r="2725" spans="3:3">
      <c r="C2725" s="221"/>
    </row>
    <row r="2726" spans="3:3">
      <c r="C2726" s="221"/>
    </row>
    <row r="2727" spans="3:3">
      <c r="C2727" s="221"/>
    </row>
    <row r="2728" spans="3:3">
      <c r="C2728" s="221"/>
    </row>
    <row r="2729" spans="3:3">
      <c r="C2729" s="221"/>
    </row>
    <row r="2730" spans="3:3">
      <c r="C2730" s="221"/>
    </row>
    <row r="2731" spans="3:3">
      <c r="C2731" s="221"/>
    </row>
    <row r="2732" spans="3:3">
      <c r="C2732" s="221"/>
    </row>
    <row r="2733" spans="3:3">
      <c r="C2733" s="221"/>
    </row>
    <row r="2734" spans="3:3">
      <c r="C2734" s="221"/>
    </row>
    <row r="2735" spans="3:3">
      <c r="C2735" s="221"/>
    </row>
    <row r="2736" spans="3:3">
      <c r="C2736" s="221"/>
    </row>
    <row r="2737" spans="3:3">
      <c r="C2737" s="221"/>
    </row>
    <row r="2738" spans="3:3">
      <c r="C2738" s="221"/>
    </row>
    <row r="2739" spans="3:3">
      <c r="C2739" s="221"/>
    </row>
    <row r="2740" spans="3:3">
      <c r="C2740" s="221"/>
    </row>
    <row r="2741" spans="3:3">
      <c r="C2741" s="221"/>
    </row>
    <row r="2742" spans="3:3">
      <c r="C2742" s="221"/>
    </row>
    <row r="2743" spans="3:3">
      <c r="C2743" s="221"/>
    </row>
    <row r="2744" spans="3:3">
      <c r="C2744" s="221"/>
    </row>
    <row r="2745" spans="3:3">
      <c r="C2745" s="221"/>
    </row>
    <row r="2746" spans="3:3">
      <c r="C2746" s="221"/>
    </row>
    <row r="2747" spans="3:3">
      <c r="C2747" s="221"/>
    </row>
    <row r="2748" spans="3:3">
      <c r="C2748" s="221"/>
    </row>
    <row r="2749" spans="3:3">
      <c r="C2749" s="221"/>
    </row>
    <row r="2750" spans="3:3">
      <c r="C2750" s="221"/>
    </row>
    <row r="2751" spans="3:3">
      <c r="C2751" s="221"/>
    </row>
    <row r="2752" spans="3:3">
      <c r="C2752" s="221"/>
    </row>
    <row r="2753" spans="3:3">
      <c r="C2753" s="221"/>
    </row>
    <row r="2754" spans="3:3">
      <c r="C2754" s="221"/>
    </row>
    <row r="2755" spans="3:3">
      <c r="C2755" s="221"/>
    </row>
    <row r="2756" spans="3:3">
      <c r="C2756" s="221"/>
    </row>
    <row r="2757" spans="3:3">
      <c r="C2757" s="221"/>
    </row>
    <row r="2758" spans="3:3">
      <c r="C2758" s="221"/>
    </row>
    <row r="2759" spans="3:3">
      <c r="C2759" s="221"/>
    </row>
    <row r="2760" spans="3:3">
      <c r="C2760" s="221"/>
    </row>
    <row r="2761" spans="3:3">
      <c r="C2761" s="221"/>
    </row>
    <row r="2762" spans="3:3">
      <c r="C2762" s="221"/>
    </row>
    <row r="2763" spans="3:3">
      <c r="C2763" s="221"/>
    </row>
    <row r="2764" spans="3:3">
      <c r="C2764" s="221"/>
    </row>
    <row r="2765" spans="3:3">
      <c r="C2765" s="221"/>
    </row>
    <row r="2766" spans="3:3">
      <c r="C2766" s="221"/>
    </row>
    <row r="2767" spans="3:3">
      <c r="C2767" s="221"/>
    </row>
    <row r="2768" spans="3:3">
      <c r="C2768" s="221"/>
    </row>
    <row r="2769" spans="3:3">
      <c r="C2769" s="221"/>
    </row>
    <row r="2770" spans="3:3">
      <c r="C2770" s="221"/>
    </row>
    <row r="2771" spans="3:3">
      <c r="C2771" s="221"/>
    </row>
    <row r="2772" spans="3:3">
      <c r="C2772" s="221"/>
    </row>
    <row r="2773" spans="3:3">
      <c r="C2773" s="221"/>
    </row>
    <row r="2774" spans="3:3">
      <c r="C2774" s="221"/>
    </row>
    <row r="2775" spans="3:3">
      <c r="C2775" s="221"/>
    </row>
    <row r="2776" spans="3:3">
      <c r="C2776" s="221"/>
    </row>
    <row r="2777" spans="3:3">
      <c r="C2777" s="221"/>
    </row>
    <row r="2778" spans="3:3">
      <c r="C2778" s="221"/>
    </row>
    <row r="2779" spans="3:3">
      <c r="C2779" s="221"/>
    </row>
    <row r="2780" spans="3:3">
      <c r="C2780" s="221"/>
    </row>
    <row r="2781" spans="3:3">
      <c r="C2781" s="221"/>
    </row>
    <row r="2782" spans="3:3">
      <c r="C2782" s="221"/>
    </row>
    <row r="2783" spans="3:3">
      <c r="C2783" s="221"/>
    </row>
    <row r="2784" spans="3:3">
      <c r="C2784" s="221"/>
    </row>
    <row r="2785" spans="3:3">
      <c r="C2785" s="221"/>
    </row>
    <row r="2786" spans="3:3">
      <c r="C2786" s="221"/>
    </row>
    <row r="2787" spans="3:3">
      <c r="C2787" s="221"/>
    </row>
    <row r="2788" spans="3:3">
      <c r="C2788" s="221"/>
    </row>
    <row r="2789" spans="3:3">
      <c r="C2789" s="221"/>
    </row>
    <row r="2790" spans="3:3">
      <c r="C2790" s="221"/>
    </row>
    <row r="2791" spans="3:3">
      <c r="C2791" s="221"/>
    </row>
    <row r="2792" spans="3:3">
      <c r="C2792" s="221"/>
    </row>
    <row r="2793" spans="3:3">
      <c r="C2793" s="221"/>
    </row>
    <row r="2794" spans="3:3">
      <c r="C2794" s="221"/>
    </row>
    <row r="2795" spans="3:3">
      <c r="C2795" s="221"/>
    </row>
    <row r="2796" spans="3:3">
      <c r="C2796" s="221"/>
    </row>
    <row r="2797" spans="3:3">
      <c r="C2797" s="221"/>
    </row>
    <row r="2798" spans="3:3">
      <c r="C2798" s="221"/>
    </row>
    <row r="2799" spans="3:3">
      <c r="C2799" s="221"/>
    </row>
    <row r="2800" spans="3:3">
      <c r="C2800" s="221"/>
    </row>
    <row r="2801" spans="3:3">
      <c r="C2801" s="221"/>
    </row>
    <row r="2802" spans="3:3">
      <c r="C2802" s="221"/>
    </row>
    <row r="2803" spans="3:3">
      <c r="C2803" s="221"/>
    </row>
    <row r="2804" spans="3:3">
      <c r="C2804" s="221"/>
    </row>
    <row r="2805" spans="3:3">
      <c r="C2805" s="221"/>
    </row>
    <row r="2806" spans="3:3">
      <c r="C2806" s="221"/>
    </row>
    <row r="2807" spans="3:3">
      <c r="C2807" s="221"/>
    </row>
    <row r="2808" spans="3:3">
      <c r="C2808" s="221"/>
    </row>
    <row r="2809" spans="3:3">
      <c r="C2809" s="221"/>
    </row>
    <row r="2810" spans="3:3">
      <c r="C2810" s="221"/>
    </row>
    <row r="2811" spans="3:3">
      <c r="C2811" s="221"/>
    </row>
    <row r="2812" spans="3:3">
      <c r="C2812" s="221"/>
    </row>
    <row r="2813" spans="3:3">
      <c r="C2813" s="221"/>
    </row>
    <row r="2814" spans="3:3">
      <c r="C2814" s="221"/>
    </row>
    <row r="2815" spans="3:3">
      <c r="C2815" s="221"/>
    </row>
    <row r="2816" spans="3:3">
      <c r="C2816" s="221"/>
    </row>
    <row r="2817" spans="3:3">
      <c r="C2817" s="221"/>
    </row>
    <row r="2818" spans="3:3">
      <c r="C2818" s="221"/>
    </row>
    <row r="2819" spans="3:3">
      <c r="C2819" s="221"/>
    </row>
    <row r="2820" spans="3:3">
      <c r="C2820" s="221"/>
    </row>
    <row r="2821" spans="3:3">
      <c r="C2821" s="221"/>
    </row>
    <row r="2822" spans="3:3">
      <c r="C2822" s="221"/>
    </row>
    <row r="2823" spans="3:3">
      <c r="C2823" s="221"/>
    </row>
    <row r="2824" spans="3:3">
      <c r="C2824" s="221"/>
    </row>
    <row r="2825" spans="3:3">
      <c r="C2825" s="221"/>
    </row>
    <row r="2826" spans="3:3">
      <c r="C2826" s="221"/>
    </row>
    <row r="2827" spans="3:3">
      <c r="C2827" s="221"/>
    </row>
    <row r="2828" spans="3:3">
      <c r="C2828" s="221"/>
    </row>
    <row r="2829" spans="3:3">
      <c r="C2829" s="221"/>
    </row>
    <row r="2830" spans="3:3">
      <c r="C2830" s="221"/>
    </row>
    <row r="2831" spans="3:3">
      <c r="C2831" s="221"/>
    </row>
    <row r="2832" spans="3:3">
      <c r="C2832" s="221"/>
    </row>
    <row r="2833" spans="3:3">
      <c r="C2833" s="221"/>
    </row>
    <row r="2834" spans="3:3">
      <c r="C2834" s="221"/>
    </row>
    <row r="2835" spans="3:3">
      <c r="C2835" s="221"/>
    </row>
    <row r="2836" spans="3:3">
      <c r="C2836" s="221"/>
    </row>
    <row r="2837" spans="3:3">
      <c r="C2837" s="221"/>
    </row>
    <row r="2838" spans="3:3">
      <c r="C2838" s="221"/>
    </row>
    <row r="2839" spans="3:3">
      <c r="C2839" s="221"/>
    </row>
    <row r="2840" spans="3:3">
      <c r="C2840" s="221"/>
    </row>
    <row r="2841" spans="3:3">
      <c r="C2841" s="221"/>
    </row>
    <row r="2842" spans="3:3">
      <c r="C2842" s="221"/>
    </row>
    <row r="2843" spans="3:3">
      <c r="C2843" s="221"/>
    </row>
    <row r="2844" spans="3:3">
      <c r="C2844" s="221"/>
    </row>
    <row r="2845" spans="3:3">
      <c r="C2845" s="221"/>
    </row>
    <row r="2846" spans="3:3">
      <c r="C2846" s="221"/>
    </row>
    <row r="2847" spans="3:3">
      <c r="C2847" s="221"/>
    </row>
    <row r="2848" spans="3:3">
      <c r="C2848" s="221"/>
    </row>
    <row r="2849" spans="3:3">
      <c r="C2849" s="221"/>
    </row>
    <row r="2850" spans="3:3">
      <c r="C2850" s="221"/>
    </row>
    <row r="2851" spans="3:3">
      <c r="C2851" s="221"/>
    </row>
    <row r="2852" spans="3:3">
      <c r="C2852" s="221"/>
    </row>
    <row r="2853" spans="3:3">
      <c r="C2853" s="221"/>
    </row>
    <row r="2854" spans="3:3">
      <c r="C2854" s="221"/>
    </row>
    <row r="2855" spans="3:3">
      <c r="C2855" s="221"/>
    </row>
    <row r="2856" spans="3:3">
      <c r="C2856" s="221"/>
    </row>
    <row r="2857" spans="3:3">
      <c r="C2857" s="221"/>
    </row>
    <row r="2858" spans="3:3">
      <c r="C2858" s="221"/>
    </row>
    <row r="2859" spans="3:3">
      <c r="C2859" s="221"/>
    </row>
    <row r="2860" spans="3:3">
      <c r="C2860" s="221"/>
    </row>
    <row r="2861" spans="3:3">
      <c r="C2861" s="221"/>
    </row>
    <row r="2862" spans="3:3">
      <c r="C2862" s="221"/>
    </row>
    <row r="2863" spans="3:3">
      <c r="C2863" s="221"/>
    </row>
    <row r="2864" spans="3:3">
      <c r="C2864" s="221"/>
    </row>
    <row r="2865" spans="3:3">
      <c r="C2865" s="221"/>
    </row>
    <row r="2866" spans="3:3">
      <c r="C2866" s="221"/>
    </row>
    <row r="2867" spans="3:3">
      <c r="C2867" s="221"/>
    </row>
    <row r="2868" spans="3:3">
      <c r="C2868" s="221"/>
    </row>
    <row r="2869" spans="3:3">
      <c r="C2869" s="221"/>
    </row>
    <row r="2870" spans="3:3">
      <c r="C2870" s="221"/>
    </row>
    <row r="2871" spans="3:3">
      <c r="C2871" s="221"/>
    </row>
    <row r="2872" spans="3:3">
      <c r="C2872" s="221"/>
    </row>
    <row r="2873" spans="3:3">
      <c r="C2873" s="221"/>
    </row>
    <row r="2874" spans="3:3">
      <c r="C2874" s="221"/>
    </row>
    <row r="2875" spans="3:3">
      <c r="C2875" s="221"/>
    </row>
    <row r="2876" spans="3:3">
      <c r="C2876" s="221"/>
    </row>
    <row r="2877" spans="3:3">
      <c r="C2877" s="221"/>
    </row>
    <row r="2878" spans="3:3">
      <c r="C2878" s="221"/>
    </row>
    <row r="2879" spans="3:3">
      <c r="C2879" s="221"/>
    </row>
    <row r="2880" spans="3:3">
      <c r="C2880" s="221"/>
    </row>
    <row r="2881" spans="3:3">
      <c r="C2881" s="221"/>
    </row>
    <row r="2882" spans="3:3">
      <c r="C2882" s="221"/>
    </row>
    <row r="2883" spans="3:3">
      <c r="C2883" s="221"/>
    </row>
    <row r="2884" spans="3:3">
      <c r="C2884" s="221"/>
    </row>
    <row r="2885" spans="3:3">
      <c r="C2885" s="221"/>
    </row>
    <row r="2886" spans="3:3">
      <c r="C2886" s="221"/>
    </row>
    <row r="2887" spans="3:3">
      <c r="C2887" s="221"/>
    </row>
    <row r="2888" spans="3:3">
      <c r="C2888" s="221"/>
    </row>
    <row r="2889" spans="3:3">
      <c r="C2889" s="221"/>
    </row>
    <row r="2890" spans="3:3">
      <c r="C2890" s="221"/>
    </row>
    <row r="2891" spans="3:3">
      <c r="C2891" s="221"/>
    </row>
    <row r="2892" spans="3:3">
      <c r="C2892" s="221"/>
    </row>
    <row r="2893" spans="3:3">
      <c r="C2893" s="221"/>
    </row>
    <row r="2894" spans="3:3">
      <c r="C2894" s="221"/>
    </row>
    <row r="2895" spans="3:3">
      <c r="C2895" s="221"/>
    </row>
    <row r="2896" spans="3:3">
      <c r="C2896" s="221"/>
    </row>
    <row r="2897" spans="3:3">
      <c r="C2897" s="221"/>
    </row>
    <row r="2898" spans="3:3">
      <c r="C2898" s="221"/>
    </row>
    <row r="2899" spans="3:3">
      <c r="C2899" s="221"/>
    </row>
    <row r="2900" spans="3:3">
      <c r="C2900" s="221"/>
    </row>
    <row r="2901" spans="3:3">
      <c r="C2901" s="221"/>
    </row>
    <row r="2902" spans="3:3">
      <c r="C2902" s="221"/>
    </row>
    <row r="2903" spans="3:3">
      <c r="C2903" s="221"/>
    </row>
    <row r="2904" spans="3:3">
      <c r="C2904" s="221"/>
    </row>
    <row r="2905" spans="3:3">
      <c r="C2905" s="221"/>
    </row>
    <row r="2906" spans="3:3">
      <c r="C2906" s="221"/>
    </row>
    <row r="2907" spans="3:3">
      <c r="C2907" s="221"/>
    </row>
    <row r="2908" spans="3:3">
      <c r="C2908" s="221"/>
    </row>
    <row r="2909" spans="3:3">
      <c r="C2909" s="221"/>
    </row>
    <row r="2910" spans="3:3">
      <c r="C2910" s="221"/>
    </row>
    <row r="2911" spans="3:3">
      <c r="C2911" s="221"/>
    </row>
    <row r="2912" spans="3:3">
      <c r="C2912" s="221"/>
    </row>
    <row r="2913" spans="3:3">
      <c r="C2913" s="221"/>
    </row>
    <row r="2914" spans="3:3">
      <c r="C2914" s="221"/>
    </row>
    <row r="2915" spans="3:3">
      <c r="C2915" s="221"/>
    </row>
    <row r="2916" spans="3:3">
      <c r="C2916" s="221"/>
    </row>
    <row r="2917" spans="3:3">
      <c r="C2917" s="221"/>
    </row>
    <row r="2918" spans="3:3">
      <c r="C2918" s="221"/>
    </row>
    <row r="2919" spans="3:3">
      <c r="C2919" s="221"/>
    </row>
    <row r="2920" spans="3:3">
      <c r="C2920" s="221"/>
    </row>
    <row r="2921" spans="3:3">
      <c r="C2921" s="221"/>
    </row>
    <row r="2922" spans="3:3">
      <c r="C2922" s="221"/>
    </row>
    <row r="2923" spans="3:3">
      <c r="C2923" s="221"/>
    </row>
    <row r="2924" spans="3:3">
      <c r="C2924" s="221"/>
    </row>
    <row r="2925" spans="3:3">
      <c r="C2925" s="221"/>
    </row>
    <row r="2926" spans="3:3">
      <c r="C2926" s="221"/>
    </row>
    <row r="2927" spans="3:3">
      <c r="C2927" s="221"/>
    </row>
    <row r="2928" spans="3:3">
      <c r="C2928" s="221"/>
    </row>
    <row r="2929" spans="3:3">
      <c r="C2929" s="221"/>
    </row>
    <row r="2930" spans="3:3">
      <c r="C2930" s="221"/>
    </row>
    <row r="2931" spans="3:3">
      <c r="C2931" s="221"/>
    </row>
    <row r="2932" spans="3:3">
      <c r="C2932" s="221"/>
    </row>
    <row r="2933" spans="3:3">
      <c r="C2933" s="221"/>
    </row>
    <row r="2934" spans="3:3">
      <c r="C2934" s="221"/>
    </row>
    <row r="2935" spans="3:3">
      <c r="C2935" s="221"/>
    </row>
    <row r="2936" spans="3:3">
      <c r="C2936" s="221"/>
    </row>
    <row r="2937" spans="3:3">
      <c r="C2937" s="221"/>
    </row>
    <row r="2938" spans="3:3">
      <c r="C2938" s="221"/>
    </row>
    <row r="2939" spans="3:3">
      <c r="C2939" s="221"/>
    </row>
    <row r="2940" spans="3:3">
      <c r="C2940" s="221"/>
    </row>
    <row r="2941" spans="3:3">
      <c r="C2941" s="221"/>
    </row>
    <row r="2942" spans="3:3">
      <c r="C2942" s="221"/>
    </row>
    <row r="2943" spans="3:3">
      <c r="C2943" s="221"/>
    </row>
    <row r="2944" spans="3:3">
      <c r="C2944" s="221"/>
    </row>
    <row r="2945" spans="3:3">
      <c r="C2945" s="221"/>
    </row>
    <row r="2946" spans="3:3">
      <c r="C2946" s="221"/>
    </row>
    <row r="2947" spans="3:3">
      <c r="C2947" s="221"/>
    </row>
    <row r="2948" spans="3:3">
      <c r="C2948" s="221"/>
    </row>
    <row r="2949" spans="3:3">
      <c r="C2949" s="221"/>
    </row>
    <row r="2950" spans="3:3">
      <c r="C2950" s="221"/>
    </row>
    <row r="2951" spans="3:3">
      <c r="C2951" s="221"/>
    </row>
    <row r="2952" spans="3:3">
      <c r="C2952" s="221"/>
    </row>
    <row r="2953" spans="3:3">
      <c r="C2953" s="221"/>
    </row>
    <row r="2954" spans="3:3">
      <c r="C2954" s="221"/>
    </row>
    <row r="2955" spans="3:3">
      <c r="C2955" s="221"/>
    </row>
    <row r="2956" spans="3:3">
      <c r="C2956" s="221"/>
    </row>
    <row r="2957" spans="3:3">
      <c r="C2957" s="221"/>
    </row>
    <row r="2958" spans="3:3">
      <c r="C2958" s="221"/>
    </row>
    <row r="2959" spans="3:3">
      <c r="C2959" s="221"/>
    </row>
    <row r="2960" spans="3:3">
      <c r="C2960" s="221"/>
    </row>
    <row r="2961" spans="3:3">
      <c r="C2961" s="221"/>
    </row>
    <row r="2962" spans="3:3">
      <c r="C2962" s="221"/>
    </row>
    <row r="2963" spans="3:3">
      <c r="C2963" s="221"/>
    </row>
    <row r="2964" spans="3:3">
      <c r="C2964" s="221"/>
    </row>
    <row r="2965" spans="3:3">
      <c r="C2965" s="221"/>
    </row>
    <row r="2966" spans="3:3">
      <c r="C2966" s="221"/>
    </row>
    <row r="2967" spans="3:3">
      <c r="C2967" s="221"/>
    </row>
    <row r="2968" spans="3:3">
      <c r="C2968" s="221"/>
    </row>
    <row r="2969" spans="3:3">
      <c r="C2969" s="221"/>
    </row>
    <row r="2970" spans="3:3">
      <c r="C2970" s="221"/>
    </row>
    <row r="2971" spans="3:3">
      <c r="C2971" s="221"/>
    </row>
    <row r="2972" spans="3:3">
      <c r="C2972" s="221"/>
    </row>
    <row r="2973" spans="3:3">
      <c r="C2973" s="221"/>
    </row>
    <row r="2974" spans="3:3">
      <c r="C2974" s="221"/>
    </row>
    <row r="2975" spans="3:3">
      <c r="C2975" s="221"/>
    </row>
    <row r="2976" spans="3:3">
      <c r="C2976" s="221"/>
    </row>
    <row r="2977" spans="3:3">
      <c r="C2977" s="221"/>
    </row>
    <row r="2978" spans="3:3">
      <c r="C2978" s="221"/>
    </row>
    <row r="2979" spans="3:3">
      <c r="C2979" s="221"/>
    </row>
    <row r="2980" spans="3:3">
      <c r="C2980" s="221"/>
    </row>
    <row r="2981" spans="3:3">
      <c r="C2981" s="221"/>
    </row>
    <row r="2982" spans="3:3">
      <c r="C2982" s="221"/>
    </row>
    <row r="2983" spans="3:3">
      <c r="C2983" s="221"/>
    </row>
    <row r="2984" spans="3:3">
      <c r="C2984" s="221"/>
    </row>
    <row r="2985" spans="3:3">
      <c r="C2985" s="221"/>
    </row>
    <row r="2986" spans="3:3">
      <c r="C2986" s="221"/>
    </row>
    <row r="2987" spans="3:3">
      <c r="C2987" s="221"/>
    </row>
    <row r="2988" spans="3:3">
      <c r="C2988" s="221"/>
    </row>
    <row r="2989" spans="3:3">
      <c r="C2989" s="221"/>
    </row>
    <row r="2990" spans="3:3">
      <c r="C2990" s="221"/>
    </row>
    <row r="2991" spans="3:3">
      <c r="C2991" s="221"/>
    </row>
    <row r="2992" spans="3:3">
      <c r="C2992" s="221"/>
    </row>
    <row r="2993" spans="3:3">
      <c r="C2993" s="221"/>
    </row>
    <row r="2994" spans="3:3">
      <c r="C2994" s="221"/>
    </row>
    <row r="2995" spans="3:3">
      <c r="C2995" s="221"/>
    </row>
    <row r="2996" spans="3:3">
      <c r="C2996" s="221"/>
    </row>
    <row r="2997" spans="3:3">
      <c r="C2997" s="221"/>
    </row>
    <row r="2998" spans="3:3">
      <c r="C2998" s="221"/>
    </row>
    <row r="2999" spans="3:3">
      <c r="C2999" s="221"/>
    </row>
    <row r="3000" spans="3:3">
      <c r="C3000" s="221"/>
    </row>
    <row r="3001" spans="3:3">
      <c r="C3001" s="221"/>
    </row>
    <row r="3002" spans="3:3">
      <c r="C3002" s="221"/>
    </row>
    <row r="3003" spans="3:3">
      <c r="C3003" s="221"/>
    </row>
    <row r="3004" spans="3:3">
      <c r="C3004" s="221"/>
    </row>
    <row r="3005" spans="3:3">
      <c r="C3005" s="221"/>
    </row>
    <row r="3006" spans="3:3">
      <c r="C3006" s="221"/>
    </row>
    <row r="3007" spans="3:3">
      <c r="C3007" s="221"/>
    </row>
    <row r="3008" spans="3:3">
      <c r="C3008" s="221"/>
    </row>
    <row r="3009" spans="3:3">
      <c r="C3009" s="221"/>
    </row>
    <row r="3010" spans="3:3">
      <c r="C3010" s="221"/>
    </row>
    <row r="3011" spans="3:3">
      <c r="C3011" s="221"/>
    </row>
    <row r="3012" spans="3:3">
      <c r="C3012" s="221"/>
    </row>
    <row r="3013" spans="3:3">
      <c r="C3013" s="221"/>
    </row>
    <row r="3014" spans="3:3">
      <c r="C3014" s="221"/>
    </row>
    <row r="3015" spans="3:3">
      <c r="C3015" s="221"/>
    </row>
    <row r="3016" spans="3:3">
      <c r="C3016" s="221"/>
    </row>
    <row r="3017" spans="3:3">
      <c r="C3017" s="221"/>
    </row>
    <row r="3018" spans="3:3">
      <c r="C3018" s="221"/>
    </row>
    <row r="3019" spans="3:3">
      <c r="C3019" s="221"/>
    </row>
    <row r="3020" spans="3:3">
      <c r="C3020" s="221"/>
    </row>
    <row r="3021" spans="3:3">
      <c r="C3021" s="221"/>
    </row>
    <row r="3022" spans="3:3">
      <c r="C3022" s="221"/>
    </row>
    <row r="3023" spans="3:3">
      <c r="C3023" s="221"/>
    </row>
    <row r="3024" spans="3:3">
      <c r="C3024" s="221"/>
    </row>
    <row r="3025" spans="3:3">
      <c r="C3025" s="221"/>
    </row>
    <row r="3026" spans="3:3">
      <c r="C3026" s="221"/>
    </row>
    <row r="3027" spans="3:3">
      <c r="C3027" s="221"/>
    </row>
    <row r="3028" spans="3:3">
      <c r="C3028" s="221"/>
    </row>
    <row r="3029" spans="3:3">
      <c r="C3029" s="221"/>
    </row>
    <row r="3030" spans="3:3">
      <c r="C3030" s="221"/>
    </row>
    <row r="3031" spans="3:3">
      <c r="C3031" s="221"/>
    </row>
    <row r="3032" spans="3:3">
      <c r="C3032" s="221"/>
    </row>
    <row r="3033" spans="3:3">
      <c r="C3033" s="221"/>
    </row>
    <row r="3034" spans="3:3">
      <c r="C3034" s="221"/>
    </row>
    <row r="3035" spans="3:3">
      <c r="C3035" s="221"/>
    </row>
    <row r="3036" spans="3:3">
      <c r="C3036" s="221"/>
    </row>
    <row r="3037" spans="3:3">
      <c r="C3037" s="221"/>
    </row>
    <row r="3038" spans="3:3">
      <c r="C3038" s="221"/>
    </row>
    <row r="3039" spans="3:3">
      <c r="C3039" s="221"/>
    </row>
    <row r="3040" spans="3:3">
      <c r="C3040" s="221"/>
    </row>
    <row r="3041" spans="3:3">
      <c r="C3041" s="221"/>
    </row>
    <row r="3042" spans="3:3">
      <c r="C3042" s="221"/>
    </row>
    <row r="3043" spans="3:3">
      <c r="C3043" s="221"/>
    </row>
    <row r="3044" spans="3:3">
      <c r="C3044" s="221"/>
    </row>
    <row r="3045" spans="3:3">
      <c r="C3045" s="221"/>
    </row>
    <row r="3046" spans="3:3">
      <c r="C3046" s="221"/>
    </row>
    <row r="3047" spans="3:3">
      <c r="C3047" s="221"/>
    </row>
    <row r="3048" spans="3:3">
      <c r="C3048" s="221"/>
    </row>
    <row r="3049" spans="3:3">
      <c r="C3049" s="221"/>
    </row>
    <row r="3050" spans="3:3">
      <c r="C3050" s="221"/>
    </row>
    <row r="3051" spans="3:3">
      <c r="C3051" s="221"/>
    </row>
    <row r="3052" spans="3:3">
      <c r="C3052" s="221"/>
    </row>
    <row r="3053" spans="3:3">
      <c r="C3053" s="221"/>
    </row>
    <row r="3054" spans="3:3">
      <c r="C3054" s="221"/>
    </row>
    <row r="3055" spans="3:3">
      <c r="C3055" s="221"/>
    </row>
    <row r="3056" spans="3:3">
      <c r="C3056" s="221"/>
    </row>
    <row r="3057" spans="3:3">
      <c r="C3057" s="221"/>
    </row>
    <row r="3058" spans="3:3">
      <c r="C3058" s="221"/>
    </row>
    <row r="3059" spans="3:3">
      <c r="C3059" s="221"/>
    </row>
    <row r="3060" spans="3:3">
      <c r="C3060" s="221"/>
    </row>
    <row r="3061" spans="3:3">
      <c r="C3061" s="221"/>
    </row>
    <row r="3062" spans="3:3">
      <c r="C3062" s="221"/>
    </row>
    <row r="3063" spans="3:3">
      <c r="C3063" s="221"/>
    </row>
    <row r="3064" spans="3:3">
      <c r="C3064" s="221"/>
    </row>
    <row r="3065" spans="3:3">
      <c r="C3065" s="221"/>
    </row>
    <row r="3066" spans="3:3">
      <c r="C3066" s="221"/>
    </row>
    <row r="3067" spans="3:3">
      <c r="C3067" s="221"/>
    </row>
    <row r="3068" spans="3:3">
      <c r="C3068" s="221"/>
    </row>
    <row r="3069" spans="3:3">
      <c r="C3069" s="221"/>
    </row>
    <row r="3070" spans="3:3">
      <c r="C3070" s="221"/>
    </row>
    <row r="3071" spans="3:3">
      <c r="C3071" s="221"/>
    </row>
    <row r="3072" spans="3:3">
      <c r="C3072" s="221"/>
    </row>
    <row r="3073" spans="3:3">
      <c r="C3073" s="221"/>
    </row>
    <row r="3074" spans="3:3">
      <c r="C3074" s="221"/>
    </row>
    <row r="3075" spans="3:3">
      <c r="C3075" s="221"/>
    </row>
    <row r="3076" spans="3:3">
      <c r="C3076" s="221"/>
    </row>
    <row r="3077" spans="3:3">
      <c r="C3077" s="221"/>
    </row>
    <row r="3078" spans="3:3">
      <c r="C3078" s="221"/>
    </row>
    <row r="3079" spans="3:3">
      <c r="C3079" s="221"/>
    </row>
    <row r="3080" spans="3:3">
      <c r="C3080" s="221"/>
    </row>
    <row r="3081" spans="3:3">
      <c r="C3081" s="221"/>
    </row>
    <row r="3082" spans="3:3">
      <c r="C3082" s="221"/>
    </row>
    <row r="3083" spans="3:3">
      <c r="C3083" s="221"/>
    </row>
    <row r="3084" spans="3:3">
      <c r="C3084" s="221"/>
    </row>
    <row r="3085" spans="3:3">
      <c r="C3085" s="221"/>
    </row>
    <row r="3086" spans="3:3">
      <c r="C3086" s="221"/>
    </row>
    <row r="3087" spans="3:3">
      <c r="C3087" s="221"/>
    </row>
    <row r="3088" spans="3:3">
      <c r="C3088" s="221"/>
    </row>
    <row r="3089" spans="3:3">
      <c r="C3089" s="221"/>
    </row>
    <row r="3090" spans="3:3">
      <c r="C3090" s="221"/>
    </row>
    <row r="3091" spans="3:3">
      <c r="C3091" s="221"/>
    </row>
    <row r="3092" spans="3:3">
      <c r="C3092" s="221"/>
    </row>
    <row r="3093" spans="3:3">
      <c r="C3093" s="221"/>
    </row>
    <row r="3094" spans="3:3">
      <c r="C3094" s="221"/>
    </row>
    <row r="3095" spans="3:3">
      <c r="C3095" s="221"/>
    </row>
    <row r="3096" spans="3:3">
      <c r="C3096" s="221"/>
    </row>
    <row r="3097" spans="3:3">
      <c r="C3097" s="221"/>
    </row>
    <row r="3098" spans="3:3">
      <c r="C3098" s="221"/>
    </row>
    <row r="3099" spans="3:3">
      <c r="C3099" s="221"/>
    </row>
    <row r="3100" spans="3:3">
      <c r="C3100" s="221"/>
    </row>
    <row r="3101" spans="3:3">
      <c r="C3101" s="221"/>
    </row>
    <row r="3102" spans="3:3">
      <c r="C3102" s="221"/>
    </row>
    <row r="3103" spans="3:3">
      <c r="C3103" s="221"/>
    </row>
    <row r="3104" spans="3:3">
      <c r="C3104" s="221"/>
    </row>
    <row r="3105" spans="3:3">
      <c r="C3105" s="221"/>
    </row>
    <row r="3106" spans="3:3">
      <c r="C3106" s="221"/>
    </row>
    <row r="3107" spans="3:3">
      <c r="C3107" s="221"/>
    </row>
    <row r="3108" spans="3:3">
      <c r="C3108" s="221"/>
    </row>
    <row r="3109" spans="3:3">
      <c r="C3109" s="221"/>
    </row>
    <row r="3110" spans="3:3">
      <c r="C3110" s="221"/>
    </row>
    <row r="3111" spans="3:3">
      <c r="C3111" s="221"/>
    </row>
    <row r="3112" spans="3:3">
      <c r="C3112" s="221"/>
    </row>
    <row r="3113" spans="3:3">
      <c r="C3113" s="221"/>
    </row>
    <row r="3114" spans="3:3">
      <c r="C3114" s="221"/>
    </row>
    <row r="3115" spans="3:3">
      <c r="C3115" s="221"/>
    </row>
    <row r="3116" spans="3:3">
      <c r="C3116" s="221"/>
    </row>
    <row r="3117" spans="3:3">
      <c r="C3117" s="221"/>
    </row>
    <row r="3118" spans="3:3">
      <c r="C3118" s="221"/>
    </row>
    <row r="3119" spans="3:3">
      <c r="C3119" s="221"/>
    </row>
    <row r="3120" spans="3:3">
      <c r="C3120" s="221"/>
    </row>
    <row r="3121" spans="3:3">
      <c r="C3121" s="221"/>
    </row>
    <row r="3122" spans="3:3">
      <c r="C3122" s="221"/>
    </row>
    <row r="3123" spans="3:3">
      <c r="C3123" s="221"/>
    </row>
    <row r="3124" spans="3:3">
      <c r="C3124" s="221"/>
    </row>
    <row r="3125" spans="3:3">
      <c r="C3125" s="221"/>
    </row>
    <row r="3126" spans="3:3">
      <c r="C3126" s="221"/>
    </row>
    <row r="3127" spans="3:3">
      <c r="C3127" s="221"/>
    </row>
    <row r="3128" spans="3:3">
      <c r="C3128" s="221"/>
    </row>
    <row r="3129" spans="3:3">
      <c r="C3129" s="221"/>
    </row>
    <row r="3130" spans="3:3">
      <c r="C3130" s="221"/>
    </row>
    <row r="3131" spans="3:3">
      <c r="C3131" s="221"/>
    </row>
    <row r="3132" spans="3:3">
      <c r="C3132" s="221"/>
    </row>
    <row r="3133" spans="3:3">
      <c r="C3133" s="221"/>
    </row>
    <row r="3134" spans="3:3">
      <c r="C3134" s="221"/>
    </row>
    <row r="3135" spans="3:3">
      <c r="C3135" s="221"/>
    </row>
    <row r="3136" spans="3:3">
      <c r="C3136" s="221"/>
    </row>
    <row r="3137" spans="3:3">
      <c r="C3137" s="221"/>
    </row>
    <row r="3138" spans="3:3">
      <c r="C3138" s="221"/>
    </row>
    <row r="3139" spans="3:3">
      <c r="C3139" s="221"/>
    </row>
    <row r="3140" spans="3:3">
      <c r="C3140" s="221"/>
    </row>
    <row r="3141" spans="3:3">
      <c r="C3141" s="221"/>
    </row>
    <row r="3142" spans="3:3">
      <c r="C3142" s="221"/>
    </row>
    <row r="3143" spans="3:3">
      <c r="C3143" s="221"/>
    </row>
    <row r="3144" spans="3:3">
      <c r="C3144" s="221"/>
    </row>
    <row r="3145" spans="3:3">
      <c r="C3145" s="221"/>
    </row>
    <row r="3146" spans="3:3">
      <c r="C3146" s="221"/>
    </row>
    <row r="3147" spans="3:3">
      <c r="C3147" s="221"/>
    </row>
    <row r="3148" spans="3:3">
      <c r="C3148" s="221"/>
    </row>
    <row r="3149" spans="3:3">
      <c r="C3149" s="221"/>
    </row>
    <row r="3150" spans="3:3">
      <c r="C3150" s="221"/>
    </row>
    <row r="3151" spans="3:3">
      <c r="C3151" s="221"/>
    </row>
    <row r="3152" spans="3:3">
      <c r="C3152" s="221"/>
    </row>
    <row r="3153" spans="3:3">
      <c r="C3153" s="221"/>
    </row>
    <row r="3154" spans="3:3">
      <c r="C3154" s="221"/>
    </row>
    <row r="3155" spans="3:3">
      <c r="C3155" s="221"/>
    </row>
    <row r="3156" spans="3:3">
      <c r="C3156" s="221"/>
    </row>
    <row r="3157" spans="3:3">
      <c r="C3157" s="221"/>
    </row>
    <row r="3158" spans="3:3">
      <c r="C3158" s="221"/>
    </row>
    <row r="3159" spans="3:3">
      <c r="C3159" s="221"/>
    </row>
    <row r="3160" spans="3:3">
      <c r="C3160" s="221"/>
    </row>
    <row r="3161" spans="3:3">
      <c r="C3161" s="221"/>
    </row>
    <row r="3162" spans="3:3">
      <c r="C3162" s="221"/>
    </row>
    <row r="3163" spans="3:3">
      <c r="C3163" s="221"/>
    </row>
    <row r="3164" spans="3:3">
      <c r="C3164" s="221"/>
    </row>
    <row r="3165" spans="3:3">
      <c r="C3165" s="221"/>
    </row>
    <row r="3166" spans="3:3">
      <c r="C3166" s="221"/>
    </row>
    <row r="3167" spans="3:3">
      <c r="C3167" s="221"/>
    </row>
    <row r="3168" spans="3:3">
      <c r="C3168" s="221"/>
    </row>
    <row r="3169" spans="3:3">
      <c r="C3169" s="221"/>
    </row>
    <row r="3170" spans="3:3">
      <c r="C3170" s="221"/>
    </row>
    <row r="3171" spans="3:3">
      <c r="C3171" s="221"/>
    </row>
    <row r="3172" spans="3:3">
      <c r="C3172" s="221"/>
    </row>
    <row r="3173" spans="3:3">
      <c r="C3173" s="221"/>
    </row>
    <row r="3174" spans="3:3">
      <c r="C3174" s="221"/>
    </row>
    <row r="3175" spans="3:3">
      <c r="C3175" s="221"/>
    </row>
    <row r="3176" spans="3:3">
      <c r="C3176" s="221"/>
    </row>
    <row r="3177" spans="3:3">
      <c r="C3177" s="221"/>
    </row>
    <row r="3178" spans="3:3">
      <c r="C3178" s="221"/>
    </row>
    <row r="3179" spans="3:3">
      <c r="C3179" s="221"/>
    </row>
    <row r="3180" spans="3:3">
      <c r="C3180" s="221"/>
    </row>
    <row r="3181" spans="3:3">
      <c r="C3181" s="221"/>
    </row>
    <row r="3182" spans="3:3">
      <c r="C3182" s="221"/>
    </row>
    <row r="3183" spans="3:3">
      <c r="C3183" s="221"/>
    </row>
    <row r="3184" spans="3:3">
      <c r="C3184" s="221"/>
    </row>
    <row r="3185" spans="3:3">
      <c r="C3185" s="221"/>
    </row>
    <row r="3186" spans="3:3">
      <c r="C3186" s="221"/>
    </row>
    <row r="3187" spans="3:3">
      <c r="C3187" s="221"/>
    </row>
    <row r="3188" spans="3:3">
      <c r="C3188" s="221"/>
    </row>
    <row r="3189" spans="3:3">
      <c r="C3189" s="221"/>
    </row>
    <row r="3190" spans="3:3">
      <c r="C3190" s="221"/>
    </row>
    <row r="3191" spans="3:3">
      <c r="C3191" s="221"/>
    </row>
    <row r="3192" spans="3:3">
      <c r="C3192" s="221"/>
    </row>
    <row r="3193" spans="3:3">
      <c r="C3193" s="221"/>
    </row>
    <row r="3194" spans="3:3">
      <c r="C3194" s="221"/>
    </row>
    <row r="3195" spans="3:3">
      <c r="C3195" s="221"/>
    </row>
    <row r="3196" spans="3:3">
      <c r="C3196" s="221"/>
    </row>
    <row r="3197" spans="3:3">
      <c r="C3197" s="221"/>
    </row>
    <row r="3198" spans="3:3">
      <c r="C3198" s="221"/>
    </row>
    <row r="3199" spans="3:3">
      <c r="C3199" s="221"/>
    </row>
    <row r="3200" spans="3:3">
      <c r="C3200" s="221"/>
    </row>
    <row r="3201" spans="3:3">
      <c r="C3201" s="221"/>
    </row>
    <row r="3202" spans="3:3">
      <c r="C3202" s="221"/>
    </row>
    <row r="3203" spans="3:3">
      <c r="C3203" s="221"/>
    </row>
    <row r="3204" spans="3:3">
      <c r="C3204" s="221"/>
    </row>
    <row r="3205" spans="3:3">
      <c r="C3205" s="221"/>
    </row>
    <row r="3206" spans="3:3">
      <c r="C3206" s="221"/>
    </row>
    <row r="3207" spans="3:3">
      <c r="C3207" s="221"/>
    </row>
    <row r="3208" spans="3:3">
      <c r="C3208" s="221"/>
    </row>
    <row r="3209" spans="3:3">
      <c r="C3209" s="221"/>
    </row>
    <row r="3210" spans="3:3">
      <c r="C3210" s="221"/>
    </row>
    <row r="3211" spans="3:3">
      <c r="C3211" s="221"/>
    </row>
    <row r="3212" spans="3:3">
      <c r="C3212" s="221"/>
    </row>
    <row r="3213" spans="3:3">
      <c r="C3213" s="221"/>
    </row>
    <row r="3214" spans="3:3">
      <c r="C3214" s="221"/>
    </row>
    <row r="3215" spans="3:3">
      <c r="C3215" s="221"/>
    </row>
    <row r="3216" spans="3:3">
      <c r="C3216" s="221"/>
    </row>
    <row r="3217" spans="3:3">
      <c r="C3217" s="221"/>
    </row>
    <row r="3218" spans="3:3">
      <c r="C3218" s="221"/>
    </row>
    <row r="3219" spans="3:3">
      <c r="C3219" s="221"/>
    </row>
    <row r="3220" spans="3:3">
      <c r="C3220" s="221"/>
    </row>
    <row r="3221" spans="3:3">
      <c r="C3221" s="221"/>
    </row>
    <row r="3222" spans="3:3">
      <c r="C3222" s="221"/>
    </row>
    <row r="3223" spans="3:3">
      <c r="C3223" s="221"/>
    </row>
    <row r="3224" spans="3:3">
      <c r="C3224" s="221"/>
    </row>
    <row r="3225" spans="3:3">
      <c r="C3225" s="221"/>
    </row>
    <row r="3226" spans="3:3">
      <c r="C3226" s="221"/>
    </row>
    <row r="3227" spans="3:3">
      <c r="C3227" s="221"/>
    </row>
    <row r="3228" spans="3:3">
      <c r="C3228" s="221"/>
    </row>
    <row r="3229" spans="3:3">
      <c r="C3229" s="221"/>
    </row>
    <row r="3230" spans="3:3">
      <c r="C3230" s="221"/>
    </row>
    <row r="3231" spans="3:3">
      <c r="C3231" s="221"/>
    </row>
    <row r="3232" spans="3:3">
      <c r="C3232" s="221"/>
    </row>
    <row r="3233" spans="3:3">
      <c r="C3233" s="221"/>
    </row>
    <row r="3234" spans="3:3">
      <c r="C3234" s="221"/>
    </row>
    <row r="3235" spans="3:3">
      <c r="C3235" s="221"/>
    </row>
    <row r="3236" spans="3:3">
      <c r="C3236" s="221"/>
    </row>
    <row r="3237" spans="3:3">
      <c r="C3237" s="221"/>
    </row>
    <row r="3238" spans="3:3">
      <c r="C3238" s="221"/>
    </row>
    <row r="3239" spans="3:3">
      <c r="C3239" s="221"/>
    </row>
    <row r="3240" spans="3:3">
      <c r="C3240" s="221"/>
    </row>
    <row r="3241" spans="3:3">
      <c r="C3241" s="221"/>
    </row>
    <row r="3242" spans="3:3">
      <c r="C3242" s="221"/>
    </row>
    <row r="3243" spans="3:3">
      <c r="C3243" s="221"/>
    </row>
    <row r="3244" spans="3:3">
      <c r="C3244" s="221"/>
    </row>
    <row r="3245" spans="3:3">
      <c r="C3245" s="221"/>
    </row>
    <row r="3246" spans="3:3">
      <c r="C3246" s="221"/>
    </row>
    <row r="3247" spans="3:3">
      <c r="C3247" s="221"/>
    </row>
    <row r="3248" spans="3:3">
      <c r="C3248" s="221"/>
    </row>
    <row r="3249" spans="3:3">
      <c r="C3249" s="221"/>
    </row>
    <row r="3250" spans="3:3">
      <c r="C3250" s="221"/>
    </row>
    <row r="3251" spans="3:3">
      <c r="C3251" s="221"/>
    </row>
    <row r="3252" spans="3:3">
      <c r="C3252" s="221"/>
    </row>
    <row r="3253" spans="3:3">
      <c r="C3253" s="221"/>
    </row>
    <row r="3254" spans="3:3">
      <c r="C3254" s="221"/>
    </row>
    <row r="3255" spans="3:3">
      <c r="C3255" s="221"/>
    </row>
    <row r="3256" spans="3:3">
      <c r="C3256" s="221"/>
    </row>
    <row r="3257" spans="3:3">
      <c r="C3257" s="221"/>
    </row>
    <row r="3258" spans="3:3">
      <c r="C3258" s="221"/>
    </row>
    <row r="3259" spans="3:3">
      <c r="C3259" s="221"/>
    </row>
    <row r="3260" spans="3:3">
      <c r="C3260" s="221"/>
    </row>
    <row r="3261" spans="3:3">
      <c r="C3261" s="221"/>
    </row>
    <row r="3262" spans="3:3">
      <c r="C3262" s="221"/>
    </row>
    <row r="3263" spans="3:3">
      <c r="C3263" s="221"/>
    </row>
    <row r="3264" spans="3:3">
      <c r="C3264" s="221"/>
    </row>
    <row r="3265" spans="3:3">
      <c r="C3265" s="221"/>
    </row>
    <row r="3266" spans="3:3">
      <c r="C3266" s="221"/>
    </row>
    <row r="3267" spans="3:3">
      <c r="C3267" s="221"/>
    </row>
    <row r="3268" spans="3:3">
      <c r="C3268" s="221"/>
    </row>
    <row r="3269" spans="3:3">
      <c r="C3269" s="221"/>
    </row>
    <row r="3270" spans="3:3">
      <c r="C3270" s="221"/>
    </row>
    <row r="3271" spans="3:3">
      <c r="C3271" s="221"/>
    </row>
    <row r="3272" spans="3:3">
      <c r="C3272" s="221"/>
    </row>
    <row r="3273" spans="3:3">
      <c r="C3273" s="221"/>
    </row>
    <row r="3274" spans="3:3">
      <c r="C3274" s="221"/>
    </row>
    <row r="3275" spans="3:3">
      <c r="C3275" s="221"/>
    </row>
    <row r="3276" spans="3:3">
      <c r="C3276" s="221"/>
    </row>
    <row r="3277" spans="3:3">
      <c r="C3277" s="221"/>
    </row>
    <row r="3278" spans="3:3">
      <c r="C3278" s="221"/>
    </row>
    <row r="3279" spans="3:3">
      <c r="C3279" s="221"/>
    </row>
    <row r="3280" spans="3:3">
      <c r="C3280" s="221"/>
    </row>
    <row r="3281" spans="3:3">
      <c r="C3281" s="221"/>
    </row>
    <row r="3282" spans="3:3">
      <c r="C3282" s="221"/>
    </row>
    <row r="3283" spans="3:3">
      <c r="C3283" s="221"/>
    </row>
    <row r="3284" spans="3:3">
      <c r="C3284" s="221"/>
    </row>
    <row r="3285" spans="3:3">
      <c r="C3285" s="221"/>
    </row>
    <row r="3286" spans="3:3">
      <c r="C3286" s="221"/>
    </row>
    <row r="3287" spans="3:3">
      <c r="C3287" s="221"/>
    </row>
    <row r="3288" spans="3:3">
      <c r="C3288" s="221"/>
    </row>
    <row r="3289" spans="3:3">
      <c r="C3289" s="221"/>
    </row>
    <row r="3290" spans="3:3">
      <c r="C3290" s="221"/>
    </row>
    <row r="3291" spans="3:3">
      <c r="C3291" s="221"/>
    </row>
    <row r="3292" spans="3:3">
      <c r="C3292" s="221"/>
    </row>
    <row r="3293" spans="3:3">
      <c r="C3293" s="221"/>
    </row>
    <row r="3294" spans="3:3">
      <c r="C3294" s="221"/>
    </row>
    <row r="3295" spans="3:3">
      <c r="C3295" s="221"/>
    </row>
    <row r="3296" spans="3:3">
      <c r="C3296" s="221"/>
    </row>
    <row r="3297" spans="3:3">
      <c r="C3297" s="221"/>
    </row>
    <row r="3298" spans="3:3">
      <c r="C3298" s="221"/>
    </row>
    <row r="3299" spans="3:3">
      <c r="C3299" s="221"/>
    </row>
    <row r="3300" spans="3:3">
      <c r="C3300" s="221"/>
    </row>
    <row r="3301" spans="3:3">
      <c r="C3301" s="221"/>
    </row>
    <row r="3302" spans="3:3">
      <c r="C3302" s="221"/>
    </row>
    <row r="3303" spans="3:3">
      <c r="C3303" s="221"/>
    </row>
    <row r="3304" spans="3:3">
      <c r="C3304" s="221"/>
    </row>
    <row r="3305" spans="3:3">
      <c r="C3305" s="221"/>
    </row>
    <row r="3306" spans="3:3">
      <c r="C3306" s="221"/>
    </row>
    <row r="3307" spans="3:3">
      <c r="C3307" s="221"/>
    </row>
    <row r="3308" spans="3:3">
      <c r="C3308" s="221"/>
    </row>
    <row r="3309" spans="3:3">
      <c r="C3309" s="221"/>
    </row>
    <row r="3310" spans="3:3">
      <c r="C3310" s="221"/>
    </row>
    <row r="3311" spans="3:3">
      <c r="C3311" s="221"/>
    </row>
    <row r="3312" spans="3:3">
      <c r="C3312" s="221"/>
    </row>
    <row r="3313" spans="3:3">
      <c r="C3313" s="221"/>
    </row>
    <row r="3314" spans="3:3">
      <c r="C3314" s="221"/>
    </row>
    <row r="3315" spans="3:3">
      <c r="C3315" s="221"/>
    </row>
    <row r="3316" spans="3:3">
      <c r="C3316" s="221"/>
    </row>
    <row r="3317" spans="3:3">
      <c r="C3317" s="221"/>
    </row>
    <row r="3318" spans="3:3">
      <c r="C3318" s="221"/>
    </row>
    <row r="3319" spans="3:3">
      <c r="C3319" s="221"/>
    </row>
    <row r="3320" spans="3:3">
      <c r="C3320" s="221"/>
    </row>
    <row r="3321" spans="3:3">
      <c r="C3321" s="221"/>
    </row>
    <row r="3322" spans="3:3">
      <c r="C3322" s="221"/>
    </row>
    <row r="3323" spans="3:3">
      <c r="C3323" s="221"/>
    </row>
    <row r="3324" spans="3:3">
      <c r="C3324" s="221"/>
    </row>
    <row r="3325" spans="3:3">
      <c r="C3325" s="221"/>
    </row>
    <row r="3326" spans="3:3">
      <c r="C3326" s="221"/>
    </row>
    <row r="3327" spans="3:3">
      <c r="C3327" s="221"/>
    </row>
    <row r="3328" spans="3:3">
      <c r="C3328" s="221"/>
    </row>
    <row r="3329" spans="3:3">
      <c r="C3329" s="221"/>
    </row>
    <row r="3330" spans="3:3">
      <c r="C3330" s="221"/>
    </row>
    <row r="3331" spans="3:3">
      <c r="C3331" s="221"/>
    </row>
    <row r="3332" spans="3:3">
      <c r="C3332" s="221"/>
    </row>
    <row r="3333" spans="3:3">
      <c r="C3333" s="221"/>
    </row>
    <row r="3334" spans="3:3">
      <c r="C3334" s="221"/>
    </row>
    <row r="3335" spans="3:3">
      <c r="C3335" s="221"/>
    </row>
    <row r="3336" spans="3:3">
      <c r="C3336" s="221"/>
    </row>
    <row r="3337" spans="3:3">
      <c r="C3337" s="221"/>
    </row>
    <row r="3338" spans="3:3">
      <c r="C3338" s="221"/>
    </row>
    <row r="3339" spans="3:3">
      <c r="C3339" s="221"/>
    </row>
    <row r="3340" spans="3:3">
      <c r="C3340" s="221"/>
    </row>
    <row r="3341" spans="3:3">
      <c r="C3341" s="221"/>
    </row>
    <row r="3342" spans="3:3">
      <c r="C3342" s="221"/>
    </row>
    <row r="3343" spans="3:3">
      <c r="C3343" s="221"/>
    </row>
    <row r="3344" spans="3:3">
      <c r="C3344" s="221"/>
    </row>
    <row r="3345" spans="3:3">
      <c r="C3345" s="221"/>
    </row>
    <row r="3346" spans="3:3">
      <c r="C3346" s="221"/>
    </row>
    <row r="3347" spans="3:3">
      <c r="C3347" s="221"/>
    </row>
    <row r="3348" spans="3:3">
      <c r="C3348" s="221"/>
    </row>
    <row r="3349" spans="3:3">
      <c r="C3349" s="221"/>
    </row>
    <row r="3350" spans="3:3">
      <c r="C3350" s="221"/>
    </row>
    <row r="3351" spans="3:3">
      <c r="C3351" s="221"/>
    </row>
    <row r="3352" spans="3:3">
      <c r="C3352" s="221"/>
    </row>
    <row r="3353" spans="3:3">
      <c r="C3353" s="221"/>
    </row>
    <row r="3354" spans="3:3">
      <c r="C3354" s="221"/>
    </row>
    <row r="3355" spans="3:3">
      <c r="C3355" s="221"/>
    </row>
    <row r="3356" spans="3:3">
      <c r="C3356" s="221"/>
    </row>
    <row r="3357" spans="3:3">
      <c r="C3357" s="221"/>
    </row>
    <row r="3358" spans="3:3">
      <c r="C3358" s="221"/>
    </row>
    <row r="3359" spans="3:3">
      <c r="C3359" s="221"/>
    </row>
    <row r="3360" spans="3:3">
      <c r="C3360" s="221"/>
    </row>
    <row r="3361" spans="3:3">
      <c r="C3361" s="221"/>
    </row>
    <row r="3362" spans="3:3">
      <c r="C3362" s="221"/>
    </row>
    <row r="3363" spans="3:3">
      <c r="C3363" s="221"/>
    </row>
    <row r="3364" spans="3:3">
      <c r="C3364" s="221"/>
    </row>
    <row r="3365" spans="3:3">
      <c r="C3365" s="221"/>
    </row>
    <row r="3366" spans="3:3">
      <c r="C3366" s="221"/>
    </row>
    <row r="3367" spans="3:3">
      <c r="C3367" s="221"/>
    </row>
    <row r="3368" spans="3:3">
      <c r="C3368" s="221"/>
    </row>
    <row r="3369" spans="3:3">
      <c r="C3369" s="221"/>
    </row>
    <row r="3370" spans="3:3">
      <c r="C3370" s="221"/>
    </row>
    <row r="3371" spans="3:3">
      <c r="C3371" s="221"/>
    </row>
    <row r="3372" spans="3:3">
      <c r="C3372" s="221"/>
    </row>
    <row r="3373" spans="3:3">
      <c r="C3373" s="221"/>
    </row>
    <row r="3374" spans="3:3">
      <c r="C3374" s="221"/>
    </row>
    <row r="3375" spans="3:3">
      <c r="C3375" s="221"/>
    </row>
    <row r="3376" spans="3:3">
      <c r="C3376" s="221"/>
    </row>
    <row r="3377" spans="3:3">
      <c r="C3377" s="221"/>
    </row>
    <row r="3378" spans="3:3">
      <c r="C3378" s="221"/>
    </row>
    <row r="3379" spans="3:3">
      <c r="C3379" s="221"/>
    </row>
    <row r="3380" spans="3:3">
      <c r="C3380" s="221"/>
    </row>
    <row r="3381" spans="3:3">
      <c r="C3381" s="221"/>
    </row>
    <row r="3382" spans="3:3">
      <c r="C3382" s="221"/>
    </row>
    <row r="3383" spans="3:3">
      <c r="C3383" s="221"/>
    </row>
    <row r="3384" spans="3:3">
      <c r="C3384" s="221"/>
    </row>
    <row r="3385" spans="3:3">
      <c r="C3385" s="221"/>
    </row>
    <row r="3386" spans="3:3">
      <c r="C3386" s="221"/>
    </row>
    <row r="3387" spans="3:3">
      <c r="C3387" s="221"/>
    </row>
    <row r="3388" spans="3:3">
      <c r="C3388" s="221"/>
    </row>
    <row r="3389" spans="3:3">
      <c r="C3389" s="221"/>
    </row>
    <row r="3390" spans="3:3">
      <c r="C3390" s="221"/>
    </row>
    <row r="3391" spans="3:3">
      <c r="C3391" s="221"/>
    </row>
    <row r="3392" spans="3:3">
      <c r="C3392" s="221"/>
    </row>
    <row r="3393" spans="3:3">
      <c r="C3393" s="221"/>
    </row>
    <row r="3394" spans="3:3">
      <c r="C3394" s="221"/>
    </row>
    <row r="3395" spans="3:3">
      <c r="C3395" s="221"/>
    </row>
    <row r="3396" spans="3:3">
      <c r="C3396" s="221"/>
    </row>
    <row r="3397" spans="3:3">
      <c r="C3397" s="221"/>
    </row>
    <row r="3398" spans="3:3">
      <c r="C3398" s="221"/>
    </row>
    <row r="3399" spans="3:3">
      <c r="C3399" s="221"/>
    </row>
    <row r="3400" spans="3:3">
      <c r="C3400" s="221"/>
    </row>
    <row r="3401" spans="3:3">
      <c r="C3401" s="221"/>
    </row>
    <row r="3402" spans="3:3">
      <c r="C3402" s="221"/>
    </row>
    <row r="3403" spans="3:3">
      <c r="C3403" s="221"/>
    </row>
    <row r="3404" spans="3:3">
      <c r="C3404" s="221"/>
    </row>
    <row r="3405" spans="3:3">
      <c r="C3405" s="221"/>
    </row>
    <row r="3406" spans="3:3">
      <c r="C3406" s="221"/>
    </row>
    <row r="3407" spans="3:3">
      <c r="C3407" s="221"/>
    </row>
    <row r="3408" spans="3:3">
      <c r="C3408" s="221"/>
    </row>
    <row r="3409" spans="3:3">
      <c r="C3409" s="221"/>
    </row>
    <row r="3410" spans="3:3">
      <c r="C3410" s="221"/>
    </row>
    <row r="3411" spans="3:3">
      <c r="C3411" s="221"/>
    </row>
    <row r="3412" spans="3:3">
      <c r="C3412" s="221"/>
    </row>
    <row r="3413" spans="3:3">
      <c r="C3413" s="221"/>
    </row>
    <row r="3414" spans="3:3">
      <c r="C3414" s="221"/>
    </row>
    <row r="3415" spans="3:3">
      <c r="C3415" s="221"/>
    </row>
    <row r="3416" spans="3:3">
      <c r="C3416" s="221"/>
    </row>
    <row r="3417" spans="3:3">
      <c r="C3417" s="221"/>
    </row>
    <row r="3418" spans="3:3">
      <c r="C3418" s="221"/>
    </row>
    <row r="3419" spans="3:3">
      <c r="C3419" s="221"/>
    </row>
    <row r="3420" spans="3:3">
      <c r="C3420" s="221"/>
    </row>
    <row r="3421" spans="3:3">
      <c r="C3421" s="221"/>
    </row>
    <row r="3422" spans="3:3">
      <c r="C3422" s="221"/>
    </row>
    <row r="3423" spans="3:3">
      <c r="C3423" s="221"/>
    </row>
    <row r="3424" spans="3:3">
      <c r="C3424" s="221"/>
    </row>
    <row r="3425" spans="3:3">
      <c r="C3425" s="221"/>
    </row>
    <row r="3426" spans="3:3">
      <c r="C3426" s="221"/>
    </row>
    <row r="3427" spans="3:3">
      <c r="C3427" s="221"/>
    </row>
    <row r="3428" spans="3:3">
      <c r="C3428" s="221"/>
    </row>
    <row r="3429" spans="3:3">
      <c r="C3429" s="221"/>
    </row>
    <row r="3430" spans="3:3">
      <c r="C3430" s="221"/>
    </row>
    <row r="3431" spans="3:3">
      <c r="C3431" s="221"/>
    </row>
    <row r="3432" spans="3:3">
      <c r="C3432" s="221"/>
    </row>
    <row r="3433" spans="3:3">
      <c r="C3433" s="221"/>
    </row>
    <row r="3434" spans="3:3">
      <c r="C3434" s="221"/>
    </row>
    <row r="3435" spans="3:3">
      <c r="C3435" s="221"/>
    </row>
    <row r="3436" spans="3:3">
      <c r="C3436" s="221"/>
    </row>
    <row r="3437" spans="3:3">
      <c r="C3437" s="221"/>
    </row>
    <row r="3438" spans="3:3">
      <c r="C3438" s="221"/>
    </row>
    <row r="3439" spans="3:3">
      <c r="C3439" s="221"/>
    </row>
    <row r="3440" spans="3:3">
      <c r="C3440" s="221"/>
    </row>
    <row r="3441" spans="3:3">
      <c r="C3441" s="221"/>
    </row>
    <row r="3442" spans="3:3">
      <c r="C3442" s="221"/>
    </row>
    <row r="3443" spans="3:3">
      <c r="C3443" s="221"/>
    </row>
    <row r="3444" spans="3:3">
      <c r="C3444" s="221"/>
    </row>
    <row r="3445" spans="3:3">
      <c r="C3445" s="221"/>
    </row>
    <row r="3446" spans="3:3">
      <c r="C3446" s="221"/>
    </row>
    <row r="3447" spans="3:3">
      <c r="C3447" s="221"/>
    </row>
    <row r="3448" spans="3:3">
      <c r="C3448" s="221"/>
    </row>
    <row r="3449" spans="3:3">
      <c r="C3449" s="221"/>
    </row>
    <row r="3450" spans="3:3">
      <c r="C3450" s="221"/>
    </row>
    <row r="3451" spans="3:3">
      <c r="C3451" s="221"/>
    </row>
    <row r="3452" spans="3:3">
      <c r="C3452" s="221"/>
    </row>
    <row r="3453" spans="3:3">
      <c r="C3453" s="221"/>
    </row>
    <row r="3454" spans="3:3">
      <c r="C3454" s="221"/>
    </row>
    <row r="3455" spans="3:3">
      <c r="C3455" s="221"/>
    </row>
    <row r="3456" spans="3:3">
      <c r="C3456" s="221"/>
    </row>
    <row r="3457" spans="3:3">
      <c r="C3457" s="221"/>
    </row>
    <row r="3458" spans="3:3">
      <c r="C3458" s="221"/>
    </row>
    <row r="3459" spans="3:3">
      <c r="C3459" s="221"/>
    </row>
    <row r="3460" spans="3:3">
      <c r="C3460" s="221"/>
    </row>
    <row r="3461" spans="3:3">
      <c r="C3461" s="221"/>
    </row>
    <row r="3462" spans="3:3">
      <c r="C3462" s="221"/>
    </row>
    <row r="3463" spans="3:3">
      <c r="C3463" s="221"/>
    </row>
    <row r="3464" spans="3:3">
      <c r="C3464" s="221"/>
    </row>
    <row r="3465" spans="3:3">
      <c r="C3465" s="221"/>
    </row>
    <row r="3466" spans="3:3">
      <c r="C3466" s="221"/>
    </row>
    <row r="3467" spans="3:3">
      <c r="C3467" s="221"/>
    </row>
    <row r="3468" spans="3:3">
      <c r="C3468" s="221"/>
    </row>
    <row r="3469" spans="3:3">
      <c r="C3469" s="221"/>
    </row>
    <row r="3470" spans="3:3">
      <c r="C3470" s="221"/>
    </row>
    <row r="3471" spans="3:3">
      <c r="C3471" s="221"/>
    </row>
    <row r="3472" spans="3:3">
      <c r="C3472" s="221"/>
    </row>
    <row r="3473" spans="3:3">
      <c r="C3473" s="221"/>
    </row>
    <row r="3474" spans="3:3">
      <c r="C3474" s="221"/>
    </row>
    <row r="3475" spans="3:3">
      <c r="C3475" s="221"/>
    </row>
    <row r="3476" spans="3:3">
      <c r="C3476" s="221"/>
    </row>
    <row r="3477" spans="3:3">
      <c r="C3477" s="221"/>
    </row>
    <row r="3478" spans="3:3">
      <c r="C3478" s="221"/>
    </row>
    <row r="3479" spans="3:3">
      <c r="C3479" s="221"/>
    </row>
    <row r="3480" spans="3:3">
      <c r="C3480" s="221"/>
    </row>
    <row r="3481" spans="3:3">
      <c r="C3481" s="221"/>
    </row>
    <row r="3482" spans="3:3">
      <c r="C3482" s="221"/>
    </row>
    <row r="3483" spans="3:3">
      <c r="C3483" s="221"/>
    </row>
    <row r="3484" spans="3:3">
      <c r="C3484" s="221"/>
    </row>
    <row r="3485" spans="3:3">
      <c r="C3485" s="221"/>
    </row>
    <row r="3486" spans="3:3">
      <c r="C3486" s="221"/>
    </row>
    <row r="3487" spans="3:3">
      <c r="C3487" s="221"/>
    </row>
    <row r="3488" spans="3:3">
      <c r="C3488" s="221"/>
    </row>
    <row r="3489" spans="3:3">
      <c r="C3489" s="221"/>
    </row>
    <row r="3490" spans="3:3">
      <c r="C3490" s="221"/>
    </row>
    <row r="3491" spans="3:3">
      <c r="C3491" s="221"/>
    </row>
    <row r="3492" spans="3:3">
      <c r="C3492" s="221"/>
    </row>
    <row r="3493" spans="3:3">
      <c r="C3493" s="221"/>
    </row>
    <row r="3494" spans="3:3">
      <c r="C3494" s="221"/>
    </row>
    <row r="3495" spans="3:3">
      <c r="C3495" s="221"/>
    </row>
    <row r="3496" spans="3:3">
      <c r="C3496" s="221"/>
    </row>
    <row r="3497" spans="3:3">
      <c r="C3497" s="221"/>
    </row>
    <row r="3498" spans="3:3">
      <c r="C3498" s="221"/>
    </row>
    <row r="3499" spans="3:3">
      <c r="C3499" s="221"/>
    </row>
    <row r="3500" spans="3:3">
      <c r="C3500" s="221"/>
    </row>
    <row r="3501" spans="3:3">
      <c r="C3501" s="221"/>
    </row>
    <row r="3502" spans="3:3">
      <c r="C3502" s="221"/>
    </row>
    <row r="3503" spans="3:3">
      <c r="C3503" s="221"/>
    </row>
    <row r="3504" spans="3:3">
      <c r="C3504" s="221"/>
    </row>
    <row r="3505" spans="3:3">
      <c r="C3505" s="221"/>
    </row>
    <row r="3506" spans="3:3">
      <c r="C3506" s="221"/>
    </row>
    <row r="3507" spans="3:3">
      <c r="C3507" s="221"/>
    </row>
    <row r="3508" spans="3:3">
      <c r="C3508" s="221"/>
    </row>
    <row r="3509" spans="3:3">
      <c r="C3509" s="221"/>
    </row>
    <row r="3510" spans="3:3">
      <c r="C3510" s="221"/>
    </row>
    <row r="3511" spans="3:3">
      <c r="C3511" s="221"/>
    </row>
    <row r="3512" spans="3:3">
      <c r="C3512" s="221"/>
    </row>
    <row r="3513" spans="3:3">
      <c r="C3513" s="221"/>
    </row>
    <row r="3514" spans="3:3">
      <c r="C3514" s="221"/>
    </row>
    <row r="3515" spans="3:3">
      <c r="C3515" s="221"/>
    </row>
    <row r="3516" spans="3:3">
      <c r="C3516" s="221"/>
    </row>
    <row r="3517" spans="3:3">
      <c r="C3517" s="221"/>
    </row>
    <row r="3518" spans="3:3">
      <c r="C3518" s="221"/>
    </row>
    <row r="3519" spans="3:3">
      <c r="C3519" s="221"/>
    </row>
    <row r="3520" spans="3:3">
      <c r="C3520" s="221"/>
    </row>
    <row r="3521" spans="3:3">
      <c r="C3521" s="221"/>
    </row>
    <row r="3522" spans="3:3">
      <c r="C3522" s="221"/>
    </row>
    <row r="3523" spans="3:3">
      <c r="C3523" s="221"/>
    </row>
    <row r="3524" spans="3:3">
      <c r="C3524" s="221"/>
    </row>
    <row r="3525" spans="3:3">
      <c r="C3525" s="221"/>
    </row>
    <row r="3526" spans="3:3">
      <c r="C3526" s="221"/>
    </row>
    <row r="3527" spans="3:3">
      <c r="C3527" s="221"/>
    </row>
    <row r="3528" spans="3:3">
      <c r="C3528" s="221"/>
    </row>
    <row r="3529" spans="3:3">
      <c r="C3529" s="221"/>
    </row>
    <row r="3530" spans="3:3">
      <c r="C3530" s="221"/>
    </row>
    <row r="3531" spans="3:3">
      <c r="C3531" s="221"/>
    </row>
    <row r="3532" spans="3:3">
      <c r="C3532" s="221"/>
    </row>
    <row r="3533" spans="3:3">
      <c r="C3533" s="221"/>
    </row>
    <row r="3534" spans="3:3">
      <c r="C3534" s="221"/>
    </row>
    <row r="3535" spans="3:3">
      <c r="C3535" s="221"/>
    </row>
    <row r="3536" spans="3:3">
      <c r="C3536" s="221"/>
    </row>
    <row r="3537" spans="3:3">
      <c r="C3537" s="221"/>
    </row>
    <row r="3538" spans="3:3">
      <c r="C3538" s="221"/>
    </row>
    <row r="3539" spans="3:3">
      <c r="C3539" s="221"/>
    </row>
    <row r="3540" spans="3:3">
      <c r="C3540" s="221"/>
    </row>
    <row r="3541" spans="3:3">
      <c r="C3541" s="221"/>
    </row>
    <row r="3542" spans="3:3">
      <c r="C3542" s="221"/>
    </row>
    <row r="3543" spans="3:3">
      <c r="C3543" s="221"/>
    </row>
    <row r="3544" spans="3:3">
      <c r="C3544" s="221"/>
    </row>
    <row r="3545" spans="3:3">
      <c r="C3545" s="221"/>
    </row>
    <row r="3546" spans="3:3">
      <c r="C3546" s="221"/>
    </row>
    <row r="3547" spans="3:3">
      <c r="C3547" s="221"/>
    </row>
    <row r="3548" spans="3:3">
      <c r="C3548" s="221"/>
    </row>
    <row r="3549" spans="3:3">
      <c r="C3549" s="221"/>
    </row>
    <row r="3550" spans="3:3">
      <c r="C3550" s="221"/>
    </row>
    <row r="3551" spans="3:3">
      <c r="C3551" s="221"/>
    </row>
    <row r="3552" spans="3:3">
      <c r="C3552" s="221"/>
    </row>
    <row r="3553" spans="3:3">
      <c r="C3553" s="221"/>
    </row>
    <row r="3554" spans="3:3">
      <c r="C3554" s="221"/>
    </row>
    <row r="3555" spans="3:3">
      <c r="C3555" s="221"/>
    </row>
    <row r="3556" spans="3:3">
      <c r="C3556" s="221"/>
    </row>
    <row r="3557" spans="3:3">
      <c r="C3557" s="221"/>
    </row>
    <row r="3558" spans="3:3">
      <c r="C3558" s="221"/>
    </row>
    <row r="3559" spans="3:3">
      <c r="C3559" s="221"/>
    </row>
    <row r="3560" spans="3:3">
      <c r="C3560" s="221"/>
    </row>
    <row r="3561" spans="3:3">
      <c r="C3561" s="221"/>
    </row>
    <row r="3562" spans="3:3">
      <c r="C3562" s="221"/>
    </row>
    <row r="3563" spans="3:3">
      <c r="C3563" s="221"/>
    </row>
    <row r="3564" spans="3:3">
      <c r="C3564" s="221"/>
    </row>
    <row r="3565" spans="3:3">
      <c r="C3565" s="221"/>
    </row>
    <row r="3566" spans="3:3">
      <c r="C3566" s="221"/>
    </row>
    <row r="3567" spans="3:3">
      <c r="C3567" s="221"/>
    </row>
    <row r="3568" spans="3:3">
      <c r="C3568" s="221"/>
    </row>
    <row r="3569" spans="3:3">
      <c r="C3569" s="221"/>
    </row>
    <row r="3570" spans="3:3">
      <c r="C3570" s="221"/>
    </row>
    <row r="3571" spans="3:3">
      <c r="C3571" s="221"/>
    </row>
    <row r="3572" spans="3:3">
      <c r="C3572" s="221"/>
    </row>
    <row r="3573" spans="3:3">
      <c r="C3573" s="221"/>
    </row>
    <row r="3574" spans="3:3">
      <c r="C3574" s="221"/>
    </row>
    <row r="3575" spans="3:3">
      <c r="C3575" s="221"/>
    </row>
    <row r="3576" spans="3:3">
      <c r="C3576" s="221"/>
    </row>
    <row r="3577" spans="3:3">
      <c r="C3577" s="221"/>
    </row>
    <row r="3578" spans="3:3">
      <c r="C3578" s="221"/>
    </row>
    <row r="3579" spans="3:3">
      <c r="C3579" s="221"/>
    </row>
    <row r="3580" spans="3:3">
      <c r="C3580" s="221"/>
    </row>
    <row r="3581" spans="3:3">
      <c r="C3581" s="221"/>
    </row>
    <row r="3582" spans="3:3">
      <c r="C3582" s="221"/>
    </row>
    <row r="3583" spans="3:3">
      <c r="C3583" s="221"/>
    </row>
    <row r="3584" spans="3:3">
      <c r="C3584" s="221"/>
    </row>
    <row r="3585" spans="3:3">
      <c r="C3585" s="221"/>
    </row>
    <row r="3586" spans="3:3">
      <c r="C3586" s="221"/>
    </row>
    <row r="3587" spans="3:3">
      <c r="C3587" s="221"/>
    </row>
    <row r="3588" spans="3:3">
      <c r="C3588" s="221"/>
    </row>
    <row r="3589" spans="3:3">
      <c r="C3589" s="221"/>
    </row>
    <row r="3590" spans="3:3">
      <c r="C3590" s="221"/>
    </row>
    <row r="3591" spans="3:3">
      <c r="C3591" s="221"/>
    </row>
    <row r="3592" spans="3:3">
      <c r="C3592" s="221"/>
    </row>
    <row r="3593" spans="3:3">
      <c r="C3593" s="221"/>
    </row>
    <row r="3594" spans="3:3">
      <c r="C3594" s="221"/>
    </row>
    <row r="3595" spans="3:3">
      <c r="C3595" s="221"/>
    </row>
    <row r="3596" spans="3:3">
      <c r="C3596" s="221"/>
    </row>
    <row r="3597" spans="3:3">
      <c r="C3597" s="221"/>
    </row>
    <row r="3598" spans="3:3">
      <c r="C3598" s="221"/>
    </row>
    <row r="3599" spans="3:3">
      <c r="C3599" s="221"/>
    </row>
    <row r="3600" spans="3:3">
      <c r="C3600" s="221"/>
    </row>
    <row r="3601" spans="3:3">
      <c r="C3601" s="221"/>
    </row>
    <row r="3602" spans="3:3">
      <c r="C3602" s="221"/>
    </row>
    <row r="3603" spans="3:3">
      <c r="C3603" s="221"/>
    </row>
    <row r="3604" spans="3:3">
      <c r="C3604" s="221"/>
    </row>
    <row r="3605" spans="3:3">
      <c r="C3605" s="221"/>
    </row>
    <row r="3606" spans="3:3">
      <c r="C3606" s="221"/>
    </row>
    <row r="3607" spans="3:3">
      <c r="C3607" s="221"/>
    </row>
    <row r="3608" spans="3:3">
      <c r="C3608" s="221"/>
    </row>
    <row r="3609" spans="3:3">
      <c r="C3609" s="221"/>
    </row>
    <row r="3610" spans="3:3">
      <c r="C3610" s="221"/>
    </row>
    <row r="3611" spans="3:3">
      <c r="C3611" s="221"/>
    </row>
    <row r="3612" spans="3:3">
      <c r="C3612" s="221"/>
    </row>
    <row r="3613" spans="3:3">
      <c r="C3613" s="221"/>
    </row>
    <row r="3614" spans="3:3">
      <c r="C3614" s="221"/>
    </row>
    <row r="3615" spans="3:3">
      <c r="C3615" s="221"/>
    </row>
    <row r="3616" spans="3:3">
      <c r="C3616" s="221"/>
    </row>
    <row r="3617" spans="3:3">
      <c r="C3617" s="221"/>
    </row>
    <row r="3618" spans="3:3">
      <c r="C3618" s="221"/>
    </row>
    <row r="3619" spans="3:3">
      <c r="C3619" s="221"/>
    </row>
    <row r="3620" spans="3:3">
      <c r="C3620" s="221"/>
    </row>
    <row r="3621" spans="3:3">
      <c r="C3621" s="221"/>
    </row>
    <row r="3622" spans="3:3">
      <c r="C3622" s="221"/>
    </row>
    <row r="3623" spans="3:3">
      <c r="C3623" s="221"/>
    </row>
    <row r="3624" spans="3:3">
      <c r="C3624" s="221"/>
    </row>
    <row r="3625" spans="3:3">
      <c r="C3625" s="221"/>
    </row>
    <row r="3626" spans="3:3">
      <c r="C3626" s="221"/>
    </row>
    <row r="3627" spans="3:3">
      <c r="C3627" s="221"/>
    </row>
    <row r="3628" spans="3:3">
      <c r="C3628" s="221"/>
    </row>
    <row r="3629" spans="3:3">
      <c r="C3629" s="221"/>
    </row>
    <row r="3630" spans="3:3">
      <c r="C3630" s="221"/>
    </row>
    <row r="3631" spans="3:3">
      <c r="C3631" s="221"/>
    </row>
    <row r="3632" spans="3:3">
      <c r="C3632" s="221"/>
    </row>
    <row r="3633" spans="3:3">
      <c r="C3633" s="221"/>
    </row>
    <row r="3634" spans="3:3">
      <c r="C3634" s="221"/>
    </row>
    <row r="3635" spans="3:3">
      <c r="C3635" s="221"/>
    </row>
    <row r="3636" spans="3:3">
      <c r="C3636" s="221"/>
    </row>
    <row r="3637" spans="3:3">
      <c r="C3637" s="221"/>
    </row>
    <row r="3638" spans="3:3">
      <c r="C3638" s="221"/>
    </row>
    <row r="3639" spans="3:3">
      <c r="C3639" s="221"/>
    </row>
    <row r="3640" spans="3:3">
      <c r="C3640" s="221"/>
    </row>
    <row r="3641" spans="3:3">
      <c r="C3641" s="221"/>
    </row>
    <row r="3642" spans="3:3">
      <c r="C3642" s="221"/>
    </row>
    <row r="3643" spans="3:3">
      <c r="C3643" s="221"/>
    </row>
    <row r="3644" spans="3:3">
      <c r="C3644" s="221"/>
    </row>
    <row r="3645" spans="3:3">
      <c r="C3645" s="221"/>
    </row>
    <row r="3646" spans="3:3">
      <c r="C3646" s="221"/>
    </row>
    <row r="3647" spans="3:3">
      <c r="C3647" s="221"/>
    </row>
    <row r="3648" spans="3:3">
      <c r="C3648" s="221"/>
    </row>
    <row r="3649" spans="3:3">
      <c r="C3649" s="221"/>
    </row>
    <row r="3650" spans="3:3">
      <c r="C3650" s="221"/>
    </row>
    <row r="3651" spans="3:3">
      <c r="C3651" s="221"/>
    </row>
    <row r="3652" spans="3:3">
      <c r="C3652" s="221"/>
    </row>
    <row r="3653" spans="3:3">
      <c r="C3653" s="221"/>
    </row>
    <row r="3654" spans="3:3">
      <c r="C3654" s="221"/>
    </row>
    <row r="3655" spans="3:3">
      <c r="C3655" s="221"/>
    </row>
    <row r="3656" spans="3:3">
      <c r="C3656" s="221"/>
    </row>
    <row r="3657" spans="3:3">
      <c r="C3657" s="221"/>
    </row>
    <row r="3658" spans="3:3">
      <c r="C3658" s="221"/>
    </row>
    <row r="3659" spans="3:3">
      <c r="C3659" s="221"/>
    </row>
    <row r="3660" spans="3:3">
      <c r="C3660" s="221"/>
    </row>
    <row r="3661" spans="3:3">
      <c r="C3661" s="221"/>
    </row>
    <row r="3662" spans="3:3">
      <c r="C3662" s="221"/>
    </row>
    <row r="3663" spans="3:3">
      <c r="C3663" s="221"/>
    </row>
    <row r="3664" spans="3:3">
      <c r="C3664" s="221"/>
    </row>
    <row r="3665" spans="3:3">
      <c r="C3665" s="221"/>
    </row>
    <row r="3666" spans="3:3">
      <c r="C3666" s="221"/>
    </row>
    <row r="3667" spans="3:3">
      <c r="C3667" s="221"/>
    </row>
    <row r="3668" spans="3:3">
      <c r="C3668" s="221"/>
    </row>
    <row r="3669" spans="3:3">
      <c r="C3669" s="221"/>
    </row>
    <row r="3670" spans="3:3">
      <c r="C3670" s="221"/>
    </row>
    <row r="3671" spans="3:3">
      <c r="C3671" s="221"/>
    </row>
    <row r="3672" spans="3:3">
      <c r="C3672" s="221"/>
    </row>
    <row r="3673" spans="3:3">
      <c r="C3673" s="221"/>
    </row>
    <row r="3674" spans="3:3">
      <c r="C3674" s="221"/>
    </row>
    <row r="3675" spans="3:3">
      <c r="C3675" s="221"/>
    </row>
    <row r="3676" spans="3:3">
      <c r="C3676" s="221"/>
    </row>
    <row r="3677" spans="3:3">
      <c r="C3677" s="221"/>
    </row>
    <row r="3678" spans="3:3">
      <c r="C3678" s="221"/>
    </row>
    <row r="3679" spans="3:3">
      <c r="C3679" s="221"/>
    </row>
    <row r="3680" spans="3:3">
      <c r="C3680" s="221"/>
    </row>
    <row r="3681" spans="3:3">
      <c r="C3681" s="221"/>
    </row>
    <row r="3682" spans="3:3">
      <c r="C3682" s="221"/>
    </row>
    <row r="3683" spans="3:3">
      <c r="C3683" s="221"/>
    </row>
    <row r="3684" spans="3:3">
      <c r="C3684" s="221"/>
    </row>
    <row r="3685" spans="3:3">
      <c r="C3685" s="221"/>
    </row>
    <row r="3686" spans="3:3">
      <c r="C3686" s="221"/>
    </row>
    <row r="3687" spans="3:3">
      <c r="C3687" s="221"/>
    </row>
    <row r="3688" spans="3:3">
      <c r="C3688" s="221"/>
    </row>
    <row r="3689" spans="3:3">
      <c r="C3689" s="221"/>
    </row>
    <row r="3690" spans="3:3">
      <c r="C3690" s="221"/>
    </row>
    <row r="3691" spans="3:3">
      <c r="C3691" s="221"/>
    </row>
    <row r="3692" spans="3:3">
      <c r="C3692" s="221"/>
    </row>
    <row r="3693" spans="3:3">
      <c r="C3693" s="221"/>
    </row>
    <row r="3694" spans="3:3">
      <c r="C3694" s="221"/>
    </row>
    <row r="3695" spans="3:3">
      <c r="C3695" s="221"/>
    </row>
    <row r="3696" spans="3:3">
      <c r="C3696" s="221"/>
    </row>
    <row r="3697" spans="3:3">
      <c r="C3697" s="221"/>
    </row>
    <row r="3698" spans="3:3">
      <c r="C3698" s="221"/>
    </row>
    <row r="3699" spans="3:3">
      <c r="C3699" s="221"/>
    </row>
    <row r="3700" spans="3:3">
      <c r="C3700" s="221"/>
    </row>
    <row r="3701" spans="3:3">
      <c r="C3701" s="221"/>
    </row>
    <row r="3702" spans="3:3">
      <c r="C3702" s="221"/>
    </row>
    <row r="3703" spans="3:3">
      <c r="C3703" s="221"/>
    </row>
    <row r="3704" spans="3:3">
      <c r="C3704" s="221"/>
    </row>
    <row r="3705" spans="3:3">
      <c r="C3705" s="221"/>
    </row>
    <row r="3706" spans="3:3">
      <c r="C3706" s="221"/>
    </row>
    <row r="3707" spans="3:3">
      <c r="C3707" s="221"/>
    </row>
    <row r="3708" spans="3:3">
      <c r="C3708" s="221"/>
    </row>
    <row r="3709" spans="3:3">
      <c r="C3709" s="221"/>
    </row>
    <row r="3710" spans="3:3">
      <c r="C3710" s="221"/>
    </row>
    <row r="3711" spans="3:3">
      <c r="C3711" s="221"/>
    </row>
    <row r="3712" spans="3:3">
      <c r="C3712" s="221"/>
    </row>
    <row r="3713" spans="3:3">
      <c r="C3713" s="221"/>
    </row>
    <row r="3714" spans="3:3">
      <c r="C3714" s="221"/>
    </row>
    <row r="3715" spans="3:3">
      <c r="C3715" s="221"/>
    </row>
    <row r="3716" spans="3:3">
      <c r="C3716" s="221"/>
    </row>
    <row r="3717" spans="3:3">
      <c r="C3717" s="221"/>
    </row>
    <row r="3718" spans="3:3">
      <c r="C3718" s="221"/>
    </row>
    <row r="3719" spans="3:3">
      <c r="C3719" s="221"/>
    </row>
    <row r="3720" spans="3:3">
      <c r="C3720" s="221"/>
    </row>
    <row r="3721" spans="3:3">
      <c r="C3721" s="221"/>
    </row>
    <row r="3722" spans="3:3">
      <c r="C3722" s="221"/>
    </row>
    <row r="3723" spans="3:3">
      <c r="C3723" s="221"/>
    </row>
    <row r="3724" spans="3:3">
      <c r="C3724" s="221"/>
    </row>
    <row r="3725" spans="3:3">
      <c r="C3725" s="221"/>
    </row>
    <row r="3726" spans="3:3">
      <c r="C3726" s="221"/>
    </row>
    <row r="3727" spans="3:3">
      <c r="C3727" s="221"/>
    </row>
    <row r="3728" spans="3:3">
      <c r="C3728" s="221"/>
    </row>
    <row r="3729" spans="3:3">
      <c r="C3729" s="221"/>
    </row>
    <row r="3730" spans="3:3">
      <c r="C3730" s="221"/>
    </row>
    <row r="3731" spans="3:3">
      <c r="C3731" s="221"/>
    </row>
    <row r="3732" spans="3:3">
      <c r="C3732" s="221"/>
    </row>
    <row r="3733" spans="3:3">
      <c r="C3733" s="221"/>
    </row>
    <row r="3734" spans="3:3">
      <c r="C3734" s="221"/>
    </row>
    <row r="3735" spans="3:3">
      <c r="C3735" s="221"/>
    </row>
    <row r="3736" spans="3:3">
      <c r="C3736" s="221"/>
    </row>
    <row r="3737" spans="3:3">
      <c r="C3737" s="221"/>
    </row>
    <row r="3738" spans="3:3">
      <c r="C3738" s="221"/>
    </row>
    <row r="3739" spans="3:3">
      <c r="C3739" s="221"/>
    </row>
    <row r="3740" spans="3:3">
      <c r="C3740" s="221"/>
    </row>
    <row r="3741" spans="3:3">
      <c r="C3741" s="221"/>
    </row>
    <row r="3742" spans="3:3">
      <c r="C3742" s="221"/>
    </row>
    <row r="3743" spans="3:3">
      <c r="C3743" s="221"/>
    </row>
    <row r="3744" spans="3:3">
      <c r="C3744" s="221"/>
    </row>
    <row r="3745" spans="3:3">
      <c r="C3745" s="221"/>
    </row>
    <row r="3746" spans="3:3">
      <c r="C3746" s="221"/>
    </row>
    <row r="3747" spans="3:3">
      <c r="C3747" s="221"/>
    </row>
    <row r="3748" spans="3:3">
      <c r="C3748" s="221"/>
    </row>
    <row r="3749" spans="3:3">
      <c r="C3749" s="221"/>
    </row>
    <row r="3750" spans="3:3">
      <c r="C3750" s="221"/>
    </row>
    <row r="3751" spans="3:3">
      <c r="C3751" s="221"/>
    </row>
    <row r="3752" spans="3:3">
      <c r="C3752" s="221"/>
    </row>
    <row r="3753" spans="3:3">
      <c r="C3753" s="221"/>
    </row>
    <row r="3754" spans="3:3">
      <c r="C3754" s="221"/>
    </row>
    <row r="3755" spans="3:3">
      <c r="C3755" s="221"/>
    </row>
    <row r="3756" spans="3:3">
      <c r="C3756" s="221"/>
    </row>
    <row r="3757" spans="3:3">
      <c r="C3757" s="221"/>
    </row>
    <row r="3758" spans="3:3">
      <c r="C3758" s="221"/>
    </row>
    <row r="3759" spans="3:3">
      <c r="C3759" s="221"/>
    </row>
    <row r="3760" spans="3:3">
      <c r="C3760" s="221"/>
    </row>
    <row r="3761" spans="3:3">
      <c r="C3761" s="221"/>
    </row>
    <row r="3762" spans="3:3">
      <c r="C3762" s="221"/>
    </row>
    <row r="3763" spans="3:3">
      <c r="C3763" s="221"/>
    </row>
    <row r="3764" spans="3:3">
      <c r="C3764" s="221"/>
    </row>
    <row r="3765" spans="3:3">
      <c r="C3765" s="221"/>
    </row>
    <row r="3766" spans="3:3">
      <c r="C3766" s="221"/>
    </row>
    <row r="3767" spans="3:3">
      <c r="C3767" s="221"/>
    </row>
    <row r="3768" spans="3:3">
      <c r="C3768" s="221"/>
    </row>
    <row r="3769" spans="3:3">
      <c r="C3769" s="221"/>
    </row>
    <row r="3770" spans="3:3">
      <c r="C3770" s="221"/>
    </row>
    <row r="3771" spans="3:3">
      <c r="C3771" s="221"/>
    </row>
    <row r="3772" spans="3:3">
      <c r="C3772" s="221"/>
    </row>
    <row r="3773" spans="3:3">
      <c r="C3773" s="221"/>
    </row>
    <row r="3774" spans="3:3">
      <c r="C3774" s="221"/>
    </row>
    <row r="3775" spans="3:3">
      <c r="C3775" s="221"/>
    </row>
    <row r="3776" spans="3:3">
      <c r="C3776" s="221"/>
    </row>
    <row r="3777" spans="3:3">
      <c r="C3777" s="221"/>
    </row>
    <row r="3778" spans="3:3">
      <c r="C3778" s="221"/>
    </row>
    <row r="3779" spans="3:3">
      <c r="C3779" s="221"/>
    </row>
    <row r="3780" spans="3:3">
      <c r="C3780" s="221"/>
    </row>
    <row r="3781" spans="3:3">
      <c r="C3781" s="221"/>
    </row>
    <row r="3782" spans="3:3">
      <c r="C3782" s="221"/>
    </row>
    <row r="3783" spans="3:3">
      <c r="C3783" s="221"/>
    </row>
    <row r="3784" spans="3:3">
      <c r="C3784" s="221"/>
    </row>
    <row r="3785" spans="3:3">
      <c r="C3785" s="221"/>
    </row>
    <row r="3786" spans="3:3">
      <c r="C3786" s="221"/>
    </row>
    <row r="3787" spans="3:3">
      <c r="C3787" s="221"/>
    </row>
    <row r="3788" spans="3:3">
      <c r="C3788" s="221"/>
    </row>
    <row r="3789" spans="3:3">
      <c r="C3789" s="221"/>
    </row>
    <row r="3790" spans="3:3">
      <c r="C3790" s="221"/>
    </row>
    <row r="3791" spans="3:3">
      <c r="C3791" s="221"/>
    </row>
    <row r="3792" spans="3:3">
      <c r="C3792" s="221"/>
    </row>
    <row r="3793" spans="3:3">
      <c r="C3793" s="221"/>
    </row>
    <row r="3794" spans="3:3">
      <c r="C3794" s="221"/>
    </row>
    <row r="3795" spans="3:3">
      <c r="C3795" s="221"/>
    </row>
    <row r="3796" spans="3:3">
      <c r="C3796" s="221"/>
    </row>
    <row r="3797" spans="3:3">
      <c r="C3797" s="221"/>
    </row>
    <row r="3798" spans="3:3">
      <c r="C3798" s="221"/>
    </row>
    <row r="3799" spans="3:3">
      <c r="C3799" s="221"/>
    </row>
    <row r="3800" spans="3:3">
      <c r="C3800" s="221"/>
    </row>
    <row r="3801" spans="3:3">
      <c r="C3801" s="221"/>
    </row>
    <row r="3802" spans="3:3">
      <c r="C3802" s="221"/>
    </row>
    <row r="3803" spans="3:3">
      <c r="C3803" s="221"/>
    </row>
    <row r="3804" spans="3:3">
      <c r="C3804" s="221"/>
    </row>
    <row r="3805" spans="3:3">
      <c r="C3805" s="221"/>
    </row>
    <row r="3806" spans="3:3">
      <c r="C3806" s="221"/>
    </row>
    <row r="3807" spans="3:3">
      <c r="C3807" s="221"/>
    </row>
    <row r="3808" spans="3:3">
      <c r="C3808" s="221"/>
    </row>
    <row r="3809" spans="3:3">
      <c r="C3809" s="221"/>
    </row>
    <row r="3810" spans="3:3">
      <c r="C3810" s="221"/>
    </row>
    <row r="3811" spans="3:3">
      <c r="C3811" s="221"/>
    </row>
    <row r="3812" spans="3:3">
      <c r="C3812" s="221"/>
    </row>
    <row r="3813" spans="3:3">
      <c r="C3813" s="221"/>
    </row>
    <row r="3814" spans="3:3">
      <c r="C3814" s="221"/>
    </row>
    <row r="3815" spans="3:3">
      <c r="C3815" s="221"/>
    </row>
    <row r="3816" spans="3:3">
      <c r="C3816" s="221"/>
    </row>
    <row r="3817" spans="3:3">
      <c r="C3817" s="221"/>
    </row>
    <row r="3818" spans="3:3">
      <c r="C3818" s="221"/>
    </row>
    <row r="3819" spans="3:3">
      <c r="C3819" s="221"/>
    </row>
    <row r="3820" spans="3:3">
      <c r="C3820" s="221"/>
    </row>
    <row r="3821" spans="3:3">
      <c r="C3821" s="221"/>
    </row>
    <row r="3822" spans="3:3">
      <c r="C3822" s="221"/>
    </row>
    <row r="3823" spans="3:3">
      <c r="C3823" s="221"/>
    </row>
    <row r="3824" spans="3:3">
      <c r="C3824" s="221"/>
    </row>
    <row r="3825" spans="3:3">
      <c r="C3825" s="221"/>
    </row>
    <row r="3826" spans="3:3">
      <c r="C3826" s="221"/>
    </row>
    <row r="3827" spans="3:3">
      <c r="C3827" s="221"/>
    </row>
    <row r="3828" spans="3:3">
      <c r="C3828" s="221"/>
    </row>
    <row r="3829" spans="3:3">
      <c r="C3829" s="221"/>
    </row>
    <row r="3830" spans="3:3">
      <c r="C3830" s="221"/>
    </row>
    <row r="3831" spans="3:3">
      <c r="C3831" s="221"/>
    </row>
    <row r="3832" spans="3:3">
      <c r="C3832" s="221"/>
    </row>
    <row r="3833" spans="3:3">
      <c r="C3833" s="221"/>
    </row>
    <row r="3834" spans="3:3">
      <c r="C3834" s="221"/>
    </row>
    <row r="3835" spans="3:3">
      <c r="C3835" s="221"/>
    </row>
    <row r="3836" spans="3:3">
      <c r="C3836" s="221"/>
    </row>
    <row r="3837" spans="3:3">
      <c r="C3837" s="221"/>
    </row>
    <row r="3838" spans="3:3">
      <c r="C3838" s="221"/>
    </row>
    <row r="3839" spans="3:3">
      <c r="C3839" s="221"/>
    </row>
    <row r="3840" spans="3:3">
      <c r="C3840" s="221"/>
    </row>
    <row r="3841" spans="3:3">
      <c r="C3841" s="221"/>
    </row>
    <row r="3842" spans="3:3">
      <c r="C3842" s="221"/>
    </row>
    <row r="3843" spans="3:3">
      <c r="C3843" s="221"/>
    </row>
    <row r="3844" spans="3:3">
      <c r="C3844" s="221"/>
    </row>
    <row r="3845" spans="3:3">
      <c r="C3845" s="221"/>
    </row>
    <row r="3846" spans="3:3">
      <c r="C3846" s="221"/>
    </row>
    <row r="3847" spans="3:3">
      <c r="C3847" s="221"/>
    </row>
    <row r="3848" spans="3:3">
      <c r="C3848" s="221"/>
    </row>
    <row r="3849" spans="3:3">
      <c r="C3849" s="221"/>
    </row>
    <row r="3850" spans="3:3">
      <c r="C3850" s="221"/>
    </row>
    <row r="3851" spans="3:3">
      <c r="C3851" s="221"/>
    </row>
    <row r="3852" spans="3:3">
      <c r="C3852" s="221"/>
    </row>
    <row r="3853" spans="3:3">
      <c r="C3853" s="221"/>
    </row>
    <row r="3854" spans="3:3">
      <c r="C3854" s="221"/>
    </row>
    <row r="3855" spans="3:3">
      <c r="C3855" s="221"/>
    </row>
    <row r="3856" spans="3:3">
      <c r="C3856" s="221"/>
    </row>
    <row r="3857" spans="3:3">
      <c r="C3857" s="221"/>
    </row>
    <row r="3858" spans="3:3">
      <c r="C3858" s="221"/>
    </row>
    <row r="3859" spans="3:3">
      <c r="C3859" s="221"/>
    </row>
    <row r="3860" spans="3:3">
      <c r="C3860" s="221"/>
    </row>
    <row r="3861" spans="3:3">
      <c r="C3861" s="221"/>
    </row>
    <row r="3862" spans="3:3">
      <c r="C3862" s="221"/>
    </row>
    <row r="3863" spans="3:3">
      <c r="C3863" s="221"/>
    </row>
    <row r="3864" spans="3:3">
      <c r="C3864" s="221"/>
    </row>
    <row r="3865" spans="3:3">
      <c r="C3865" s="221"/>
    </row>
    <row r="3866" spans="3:3">
      <c r="C3866" s="221"/>
    </row>
    <row r="3867" spans="3:3">
      <c r="C3867" s="221"/>
    </row>
    <row r="3868" spans="3:3">
      <c r="C3868" s="221"/>
    </row>
    <row r="3869" spans="3:3">
      <c r="C3869" s="221"/>
    </row>
    <row r="3870" spans="3:3">
      <c r="C3870" s="221"/>
    </row>
    <row r="3871" spans="3:3">
      <c r="C3871" s="221"/>
    </row>
    <row r="3872" spans="3:3">
      <c r="C3872" s="221"/>
    </row>
    <row r="3873" spans="3:3">
      <c r="C3873" s="221"/>
    </row>
    <row r="3874" spans="3:3">
      <c r="C3874" s="221"/>
    </row>
    <row r="3875" spans="3:3">
      <c r="C3875" s="221"/>
    </row>
    <row r="3876" spans="3:3">
      <c r="C3876" s="221"/>
    </row>
    <row r="3877" spans="3:3">
      <c r="C3877" s="221"/>
    </row>
    <row r="3878" spans="3:3">
      <c r="C3878" s="221"/>
    </row>
    <row r="3879" spans="3:3">
      <c r="C3879" s="221"/>
    </row>
    <row r="3880" spans="3:3">
      <c r="C3880" s="221"/>
    </row>
    <row r="3881" spans="3:3">
      <c r="C3881" s="221"/>
    </row>
    <row r="3882" spans="3:3">
      <c r="C3882" s="221"/>
    </row>
    <row r="3883" spans="3:3">
      <c r="C3883" s="221"/>
    </row>
    <row r="3884" spans="3:3">
      <c r="C3884" s="221"/>
    </row>
    <row r="3885" spans="3:3">
      <c r="C3885" s="221"/>
    </row>
    <row r="3886" spans="3:3">
      <c r="C3886" s="221"/>
    </row>
    <row r="3887" spans="3:3">
      <c r="C3887" s="221"/>
    </row>
    <row r="3888" spans="3:3">
      <c r="C3888" s="221"/>
    </row>
    <row r="3889" spans="3:3">
      <c r="C3889" s="221"/>
    </row>
    <row r="3890" spans="3:3">
      <c r="C3890" s="221"/>
    </row>
    <row r="3891" spans="3:3">
      <c r="C3891" s="221"/>
    </row>
    <row r="3892" spans="3:3">
      <c r="C3892" s="221"/>
    </row>
    <row r="3893" spans="3:3">
      <c r="C3893" s="221"/>
    </row>
    <row r="3894" spans="3:3">
      <c r="C3894" s="221"/>
    </row>
    <row r="3895" spans="3:3">
      <c r="C3895" s="221"/>
    </row>
    <row r="3896" spans="3:3">
      <c r="C3896" s="221"/>
    </row>
    <row r="3897" spans="3:3">
      <c r="C3897" s="221"/>
    </row>
    <row r="3898" spans="3:3">
      <c r="C3898" s="221"/>
    </row>
    <row r="3899" spans="3:3">
      <c r="C3899" s="221"/>
    </row>
    <row r="3900" spans="3:3">
      <c r="C3900" s="221"/>
    </row>
    <row r="3901" spans="3:3">
      <c r="C3901" s="221"/>
    </row>
    <row r="3902" spans="3:3">
      <c r="C3902" s="221"/>
    </row>
    <row r="3903" spans="3:3">
      <c r="C3903" s="221"/>
    </row>
    <row r="3904" spans="3:3">
      <c r="C3904" s="221"/>
    </row>
    <row r="3905" spans="3:3">
      <c r="C3905" s="221"/>
    </row>
    <row r="3906" spans="3:3">
      <c r="C3906" s="221"/>
    </row>
    <row r="3907" spans="3:3">
      <c r="C3907" s="221"/>
    </row>
    <row r="3908" spans="3:3">
      <c r="C3908" s="221"/>
    </row>
    <row r="3909" spans="3:3">
      <c r="C3909" s="221"/>
    </row>
    <row r="3910" spans="3:3">
      <c r="C3910" s="221"/>
    </row>
    <row r="3911" spans="3:3">
      <c r="C3911" s="221"/>
    </row>
    <row r="3912" spans="3:3">
      <c r="C3912" s="221"/>
    </row>
    <row r="3913" spans="3:3">
      <c r="C3913" s="221"/>
    </row>
    <row r="3914" spans="3:3">
      <c r="C3914" s="221"/>
    </row>
    <row r="3915" spans="3:3">
      <c r="C3915" s="221"/>
    </row>
    <row r="3916" spans="3:3">
      <c r="C3916" s="221"/>
    </row>
    <row r="3917" spans="3:3">
      <c r="C3917" s="221"/>
    </row>
    <row r="3918" spans="3:3">
      <c r="C3918" s="221"/>
    </row>
    <row r="3919" spans="3:3">
      <c r="C3919" s="221"/>
    </row>
    <row r="3920" spans="3:3">
      <c r="C3920" s="221"/>
    </row>
    <row r="3921" spans="3:3">
      <c r="C3921" s="221"/>
    </row>
    <row r="3922" spans="3:3">
      <c r="C3922" s="221"/>
    </row>
    <row r="3923" spans="3:3">
      <c r="C3923" s="221"/>
    </row>
    <row r="3924" spans="3:3">
      <c r="C3924" s="221"/>
    </row>
    <row r="3925" spans="3:3">
      <c r="C3925" s="221"/>
    </row>
    <row r="3926" spans="3:3">
      <c r="C3926" s="221"/>
    </row>
    <row r="3927" spans="3:3">
      <c r="C3927" s="221"/>
    </row>
    <row r="3928" spans="3:3">
      <c r="C3928" s="221"/>
    </row>
    <row r="3929" spans="3:3">
      <c r="C3929" s="221"/>
    </row>
    <row r="3930" spans="3:3">
      <c r="C3930" s="221"/>
    </row>
    <row r="3931" spans="3:3">
      <c r="C3931" s="221"/>
    </row>
    <row r="3932" spans="3:3">
      <c r="C3932" s="221"/>
    </row>
    <row r="3933" spans="3:3">
      <c r="C3933" s="221"/>
    </row>
    <row r="3934" spans="3:3">
      <c r="C3934" s="221"/>
    </row>
    <row r="3935" spans="3:3">
      <c r="C3935" s="221"/>
    </row>
    <row r="3936" spans="3:3">
      <c r="C3936" s="221"/>
    </row>
    <row r="3937" spans="3:3">
      <c r="C3937" s="221"/>
    </row>
    <row r="3938" spans="3:3">
      <c r="C3938" s="221"/>
    </row>
    <row r="3939" spans="3:3">
      <c r="C3939" s="221"/>
    </row>
    <row r="3940" spans="3:3">
      <c r="C3940" s="221"/>
    </row>
    <row r="3941" spans="3:3">
      <c r="C3941" s="221"/>
    </row>
    <row r="3942" spans="3:3">
      <c r="C3942" s="221"/>
    </row>
    <row r="3943" spans="3:3">
      <c r="C3943" s="221"/>
    </row>
    <row r="3944" spans="3:3">
      <c r="C3944" s="221"/>
    </row>
    <row r="3945" spans="3:3">
      <c r="C3945" s="221"/>
    </row>
    <row r="3946" spans="3:3">
      <c r="C3946" s="221"/>
    </row>
    <row r="3947" spans="3:3">
      <c r="C3947" s="221"/>
    </row>
    <row r="3948" spans="3:3">
      <c r="C3948" s="221"/>
    </row>
    <row r="3949" spans="3:3">
      <c r="C3949" s="221"/>
    </row>
    <row r="3950" spans="3:3">
      <c r="C3950" s="221"/>
    </row>
    <row r="3951" spans="3:3">
      <c r="C3951" s="221"/>
    </row>
    <row r="3952" spans="3:3">
      <c r="C3952" s="221"/>
    </row>
    <row r="3953" spans="3:3">
      <c r="C3953" s="221"/>
    </row>
    <row r="3954" spans="3:3">
      <c r="C3954" s="221"/>
    </row>
    <row r="3955" spans="3:3">
      <c r="C3955" s="221"/>
    </row>
    <row r="3956" spans="3:3">
      <c r="C3956" s="221"/>
    </row>
    <row r="3957" spans="3:3">
      <c r="C3957" s="221"/>
    </row>
    <row r="3958" spans="3:3">
      <c r="C3958" s="221"/>
    </row>
    <row r="3959" spans="3:3">
      <c r="C3959" s="221"/>
    </row>
    <row r="3960" spans="3:3">
      <c r="C3960" s="221"/>
    </row>
    <row r="3961" spans="3:3">
      <c r="C3961" s="221"/>
    </row>
    <row r="3962" spans="3:3">
      <c r="C3962" s="221"/>
    </row>
    <row r="3963" spans="3:3">
      <c r="C3963" s="221"/>
    </row>
    <row r="3964" spans="3:3">
      <c r="C3964" s="221"/>
    </row>
    <row r="3965" spans="3:3">
      <c r="C3965" s="221"/>
    </row>
    <row r="3966" spans="3:3">
      <c r="C3966" s="221"/>
    </row>
    <row r="3967" spans="3:3">
      <c r="C3967" s="221"/>
    </row>
    <row r="3968" spans="3:3">
      <c r="C3968" s="221"/>
    </row>
    <row r="3969" spans="3:3">
      <c r="C3969" s="221"/>
    </row>
    <row r="3970" spans="3:3">
      <c r="C3970" s="221"/>
    </row>
    <row r="3971" spans="3:3">
      <c r="C3971" s="221"/>
    </row>
    <row r="3972" spans="3:3">
      <c r="C3972" s="221"/>
    </row>
    <row r="3973" spans="3:3">
      <c r="C3973" s="221"/>
    </row>
    <row r="3974" spans="3:3">
      <c r="C3974" s="221"/>
    </row>
    <row r="3975" spans="3:3">
      <c r="C3975" s="221"/>
    </row>
    <row r="3976" spans="3:3">
      <c r="C3976" s="221"/>
    </row>
    <row r="3977" spans="3:3">
      <c r="C3977" s="221"/>
    </row>
    <row r="3978" spans="3:3">
      <c r="C3978" s="221"/>
    </row>
    <row r="3979" spans="3:3">
      <c r="C3979" s="221"/>
    </row>
    <row r="3980" spans="3:3">
      <c r="C3980" s="221"/>
    </row>
    <row r="3981" spans="3:3">
      <c r="C3981" s="221"/>
    </row>
    <row r="3982" spans="3:3">
      <c r="C3982" s="221"/>
    </row>
    <row r="3983" spans="3:3">
      <c r="C3983" s="221"/>
    </row>
    <row r="3984" spans="3:3">
      <c r="C3984" s="221"/>
    </row>
    <row r="3985" spans="3:3">
      <c r="C3985" s="221"/>
    </row>
    <row r="3986" spans="3:3">
      <c r="C3986" s="221"/>
    </row>
    <row r="3987" spans="3:3">
      <c r="C3987" s="221"/>
    </row>
    <row r="3988" spans="3:3">
      <c r="C3988" s="221"/>
    </row>
    <row r="3989" spans="3:3">
      <c r="C3989" s="221"/>
    </row>
    <row r="3990" spans="3:3">
      <c r="C3990" s="221"/>
    </row>
    <row r="3991" spans="3:3">
      <c r="C3991" s="221"/>
    </row>
    <row r="3992" spans="3:3">
      <c r="C3992" s="221"/>
    </row>
    <row r="3993" spans="3:3">
      <c r="C3993" s="221"/>
    </row>
    <row r="3994" spans="3:3">
      <c r="C3994" s="221"/>
    </row>
    <row r="3995" spans="3:3">
      <c r="C3995" s="221"/>
    </row>
    <row r="3996" spans="3:3">
      <c r="C3996" s="221"/>
    </row>
    <row r="3997" spans="3:3">
      <c r="C3997" s="221"/>
    </row>
    <row r="3998" spans="3:3">
      <c r="C3998" s="221"/>
    </row>
    <row r="3999" spans="3:3">
      <c r="C3999" s="221"/>
    </row>
    <row r="4000" spans="3:3">
      <c r="C4000" s="221"/>
    </row>
    <row r="4001" spans="3:3">
      <c r="C4001" s="221"/>
    </row>
    <row r="4002" spans="3:3">
      <c r="C4002" s="221"/>
    </row>
    <row r="4003" spans="3:3">
      <c r="C4003" s="221"/>
    </row>
    <row r="4004" spans="3:3">
      <c r="C4004" s="221"/>
    </row>
    <row r="4005" spans="3:3">
      <c r="C4005" s="221"/>
    </row>
    <row r="4006" spans="3:3">
      <c r="C4006" s="221"/>
    </row>
    <row r="4007" spans="3:3">
      <c r="C4007" s="221"/>
    </row>
    <row r="4008" spans="3:3">
      <c r="C4008" s="221"/>
    </row>
    <row r="4009" spans="3:3">
      <c r="C4009" s="221"/>
    </row>
    <row r="4010" spans="3:3">
      <c r="C4010" s="221"/>
    </row>
    <row r="4011" spans="3:3">
      <c r="C4011" s="221"/>
    </row>
    <row r="4012" spans="3:3">
      <c r="C4012" s="221"/>
    </row>
    <row r="4013" spans="3:3">
      <c r="C4013" s="221"/>
    </row>
    <row r="4014" spans="3:3">
      <c r="C4014" s="221"/>
    </row>
    <row r="4015" spans="3:3">
      <c r="C4015" s="221"/>
    </row>
    <row r="4016" spans="3:3">
      <c r="C4016" s="221"/>
    </row>
    <row r="4017" spans="3:3">
      <c r="C4017" s="221"/>
    </row>
    <row r="4018" spans="3:3">
      <c r="C4018" s="221"/>
    </row>
    <row r="4019" spans="3:3">
      <c r="C4019" s="221"/>
    </row>
    <row r="4020" spans="3:3">
      <c r="C4020" s="221"/>
    </row>
    <row r="4021" spans="3:3">
      <c r="C4021" s="221"/>
    </row>
    <row r="4022" spans="3:3">
      <c r="C4022" s="221"/>
    </row>
    <row r="4023" spans="3:3">
      <c r="C4023" s="221"/>
    </row>
    <row r="4024" spans="3:3">
      <c r="C4024" s="221"/>
    </row>
    <row r="4025" spans="3:3">
      <c r="C4025" s="221"/>
    </row>
    <row r="4026" spans="3:3">
      <c r="C4026" s="221"/>
    </row>
    <row r="4027" spans="3:3">
      <c r="C4027" s="221"/>
    </row>
    <row r="4028" spans="3:3">
      <c r="C4028" s="221"/>
    </row>
    <row r="4029" spans="3:3">
      <c r="C4029" s="221"/>
    </row>
    <row r="4030" spans="3:3">
      <c r="C4030" s="221"/>
    </row>
    <row r="4031" spans="3:3">
      <c r="C4031" s="221"/>
    </row>
    <row r="4032" spans="3:3">
      <c r="C4032" s="221"/>
    </row>
    <row r="4033" spans="3:3">
      <c r="C4033" s="221"/>
    </row>
    <row r="4034" spans="3:3">
      <c r="C4034" s="221"/>
    </row>
    <row r="4035" spans="3:3">
      <c r="C4035" s="221"/>
    </row>
    <row r="4036" spans="3:3">
      <c r="C4036" s="221"/>
    </row>
    <row r="4037" spans="3:3">
      <c r="C4037" s="221"/>
    </row>
    <row r="4038" spans="3:3">
      <c r="C4038" s="221"/>
    </row>
    <row r="4039" spans="3:3">
      <c r="C4039" s="221"/>
    </row>
    <row r="4040" spans="3:3">
      <c r="C4040" s="221"/>
    </row>
    <row r="4041" spans="3:3">
      <c r="C4041" s="221"/>
    </row>
    <row r="4042" spans="3:3">
      <c r="C4042" s="221"/>
    </row>
    <row r="4043" spans="3:3">
      <c r="C4043" s="221"/>
    </row>
    <row r="4044" spans="3:3">
      <c r="C4044" s="221"/>
    </row>
    <row r="4045" spans="3:3">
      <c r="C4045" s="221"/>
    </row>
    <row r="4046" spans="3:3">
      <c r="C4046" s="221"/>
    </row>
    <row r="4047" spans="3:3">
      <c r="C4047" s="221"/>
    </row>
    <row r="4048" spans="3:3">
      <c r="C4048" s="221"/>
    </row>
    <row r="4049" spans="3:3">
      <c r="C4049" s="221"/>
    </row>
    <row r="4050" spans="3:3">
      <c r="C4050" s="221"/>
    </row>
    <row r="4051" spans="3:3">
      <c r="C4051" s="221"/>
    </row>
    <row r="4052" spans="3:3">
      <c r="C4052" s="221"/>
    </row>
    <row r="4053" spans="3:3">
      <c r="C4053" s="221"/>
    </row>
    <row r="4054" spans="3:3">
      <c r="C4054" s="221"/>
    </row>
    <row r="4055" spans="3:3">
      <c r="C4055" s="221"/>
    </row>
    <row r="4056" spans="3:3">
      <c r="C4056" s="221"/>
    </row>
    <row r="4057" spans="3:3">
      <c r="C4057" s="221"/>
    </row>
    <row r="4058" spans="3:3">
      <c r="C4058" s="221"/>
    </row>
    <row r="4059" spans="3:3">
      <c r="C4059" s="221"/>
    </row>
    <row r="4060" spans="3:3">
      <c r="C4060" s="221"/>
    </row>
    <row r="4061" spans="3:3">
      <c r="C4061" s="221"/>
    </row>
    <row r="4062" spans="3:3">
      <c r="C4062" s="221"/>
    </row>
    <row r="4063" spans="3:3">
      <c r="C4063" s="221"/>
    </row>
    <row r="4064" spans="3:3">
      <c r="C4064" s="221"/>
    </row>
    <row r="4065" spans="3:3">
      <c r="C4065" s="221"/>
    </row>
    <row r="4066" spans="3:3">
      <c r="C4066" s="221"/>
    </row>
    <row r="4067" spans="3:3">
      <c r="C4067" s="221"/>
    </row>
    <row r="4068" spans="3:3">
      <c r="C4068" s="221"/>
    </row>
    <row r="4069" spans="3:3">
      <c r="C4069" s="221"/>
    </row>
    <row r="4070" spans="3:3">
      <c r="C4070" s="221"/>
    </row>
    <row r="4071" spans="3:3">
      <c r="C4071" s="221"/>
    </row>
    <row r="4072" spans="3:3">
      <c r="C4072" s="221"/>
    </row>
    <row r="4073" spans="3:3">
      <c r="C4073" s="221"/>
    </row>
    <row r="4074" spans="3:3">
      <c r="C4074" s="221"/>
    </row>
    <row r="4075" spans="3:3">
      <c r="C4075" s="221"/>
    </row>
    <row r="4076" spans="3:3">
      <c r="C4076" s="221"/>
    </row>
    <row r="4077" spans="3:3">
      <c r="C4077" s="221"/>
    </row>
    <row r="4078" spans="3:3">
      <c r="C4078" s="221"/>
    </row>
    <row r="4079" spans="3:3">
      <c r="C4079" s="221"/>
    </row>
    <row r="4080" spans="3:3">
      <c r="C4080" s="221"/>
    </row>
    <row r="4081" spans="3:3">
      <c r="C4081" s="221"/>
    </row>
    <row r="4082" spans="3:3">
      <c r="C4082" s="221"/>
    </row>
    <row r="4083" spans="3:3">
      <c r="C4083" s="221"/>
    </row>
    <row r="4084" spans="3:3">
      <c r="C4084" s="221"/>
    </row>
    <row r="4085" spans="3:3">
      <c r="C4085" s="221"/>
    </row>
    <row r="4086" spans="3:3">
      <c r="C4086" s="221"/>
    </row>
    <row r="4087" spans="3:3">
      <c r="C4087" s="221"/>
    </row>
    <row r="4088" spans="3:3">
      <c r="C4088" s="221"/>
    </row>
    <row r="4089" spans="3:3">
      <c r="C4089" s="221"/>
    </row>
    <row r="4090" spans="3:3">
      <c r="C4090" s="221"/>
    </row>
    <row r="4091" spans="3:3">
      <c r="C4091" s="221"/>
    </row>
    <row r="4092" spans="3:3">
      <c r="C4092" s="221"/>
    </row>
    <row r="4093" spans="3:3">
      <c r="C4093" s="221"/>
    </row>
    <row r="4094" spans="3:3">
      <c r="C4094" s="221"/>
    </row>
    <row r="4095" spans="3:3">
      <c r="C4095" s="221"/>
    </row>
    <row r="4096" spans="3:3">
      <c r="C4096" s="221"/>
    </row>
    <row r="4097" spans="3:3">
      <c r="C4097" s="221"/>
    </row>
    <row r="4098" spans="3:3">
      <c r="C4098" s="221"/>
    </row>
    <row r="4099" spans="3:3">
      <c r="C4099" s="221"/>
    </row>
    <row r="4100" spans="3:3">
      <c r="C4100" s="221"/>
    </row>
    <row r="4101" spans="3:3">
      <c r="C4101" s="221"/>
    </row>
    <row r="4102" spans="3:3">
      <c r="C4102" s="221"/>
    </row>
    <row r="4103" spans="3:3">
      <c r="C4103" s="221"/>
    </row>
    <row r="4104" spans="3:3">
      <c r="C4104" s="221"/>
    </row>
    <row r="4105" spans="3:3">
      <c r="C4105" s="221"/>
    </row>
    <row r="4106" spans="3:3">
      <c r="C4106" s="221"/>
    </row>
    <row r="4107" spans="3:3">
      <c r="C4107" s="221"/>
    </row>
    <row r="4108" spans="3:3">
      <c r="C4108" s="221"/>
    </row>
    <row r="4109" spans="3:3">
      <c r="C4109" s="221"/>
    </row>
    <row r="4110" spans="3:3">
      <c r="C4110" s="221"/>
    </row>
    <row r="4111" spans="3:3">
      <c r="C4111" s="221"/>
    </row>
    <row r="4112" spans="3:3">
      <c r="C4112" s="221"/>
    </row>
    <row r="4113" spans="3:3">
      <c r="C4113" s="221"/>
    </row>
    <row r="4114" spans="3:3">
      <c r="C4114" s="221"/>
    </row>
    <row r="4115" spans="3:3">
      <c r="C4115" s="221"/>
    </row>
    <row r="4116" spans="3:3">
      <c r="C4116" s="221"/>
    </row>
    <row r="4117" spans="3:3">
      <c r="C4117" s="221"/>
    </row>
    <row r="4118" spans="3:3">
      <c r="C4118" s="221"/>
    </row>
    <row r="4119" spans="3:3">
      <c r="C4119" s="221"/>
    </row>
    <row r="4120" spans="3:3">
      <c r="C4120" s="221"/>
    </row>
    <row r="4121" spans="3:3">
      <c r="C4121" s="221"/>
    </row>
    <row r="4122" spans="3:3">
      <c r="C4122" s="221"/>
    </row>
    <row r="4123" spans="3:3">
      <c r="C4123" s="221"/>
    </row>
    <row r="4124" spans="3:3">
      <c r="C4124" s="221"/>
    </row>
    <row r="4125" spans="3:3">
      <c r="C4125" s="221"/>
    </row>
    <row r="4126" spans="3:3">
      <c r="C4126" s="221"/>
    </row>
    <row r="4127" spans="3:3">
      <c r="C4127" s="221"/>
    </row>
    <row r="4128" spans="3:3">
      <c r="C4128" s="221"/>
    </row>
    <row r="4129" spans="3:3">
      <c r="C4129" s="221"/>
    </row>
    <row r="4130" spans="3:3">
      <c r="C4130" s="221"/>
    </row>
    <row r="4131" spans="3:3">
      <c r="C4131" s="221"/>
    </row>
    <row r="4132" spans="3:3">
      <c r="C4132" s="221"/>
    </row>
    <row r="4133" spans="3:3">
      <c r="C4133" s="221"/>
    </row>
    <row r="4134" spans="3:3">
      <c r="C4134" s="221"/>
    </row>
    <row r="4135" spans="3:3">
      <c r="C4135" s="221"/>
    </row>
    <row r="4136" spans="3:3">
      <c r="C4136" s="221"/>
    </row>
    <row r="4137" spans="3:3">
      <c r="C4137" s="221"/>
    </row>
    <row r="4138" spans="3:3">
      <c r="C4138" s="221"/>
    </row>
    <row r="4139" spans="3:3">
      <c r="C4139" s="221"/>
    </row>
    <row r="4140" spans="3:3">
      <c r="C4140" s="221"/>
    </row>
    <row r="4141" spans="3:3">
      <c r="C4141" s="221"/>
    </row>
    <row r="4142" spans="3:3">
      <c r="C4142" s="221"/>
    </row>
    <row r="4143" spans="3:3">
      <c r="C4143" s="221"/>
    </row>
    <row r="4144" spans="3:3">
      <c r="C4144" s="221"/>
    </row>
    <row r="4145" spans="3:3">
      <c r="C4145" s="221"/>
    </row>
    <row r="4146" spans="3:3">
      <c r="C4146" s="221"/>
    </row>
    <row r="4147" spans="3:3">
      <c r="C4147" s="221"/>
    </row>
    <row r="4148" spans="3:3">
      <c r="C4148" s="221"/>
    </row>
    <row r="4149" spans="3:3">
      <c r="C4149" s="221"/>
    </row>
    <row r="4150" spans="3:3">
      <c r="C4150" s="221"/>
    </row>
    <row r="4151" spans="3:3">
      <c r="C4151" s="221"/>
    </row>
    <row r="4152" spans="3:3">
      <c r="C4152" s="221"/>
    </row>
    <row r="4153" spans="3:3">
      <c r="C4153" s="221"/>
    </row>
    <row r="4154" spans="3:3">
      <c r="C4154" s="221"/>
    </row>
    <row r="4155" spans="3:3">
      <c r="C4155" s="221"/>
    </row>
    <row r="4156" spans="3:3">
      <c r="C4156" s="221"/>
    </row>
    <row r="4157" spans="3:3">
      <c r="C4157" s="221"/>
    </row>
    <row r="4158" spans="3:3">
      <c r="C4158" s="221"/>
    </row>
    <row r="4159" spans="3:3">
      <c r="C4159" s="221"/>
    </row>
    <row r="4160" spans="3:3">
      <c r="C4160" s="221"/>
    </row>
    <row r="4161" spans="3:3">
      <c r="C4161" s="221"/>
    </row>
    <row r="4162" spans="3:3">
      <c r="C4162" s="221"/>
    </row>
    <row r="4163" spans="3:3">
      <c r="C4163" s="221"/>
    </row>
    <row r="4164" spans="3:3">
      <c r="C4164" s="221"/>
    </row>
    <row r="4165" spans="3:3">
      <c r="C4165" s="221"/>
    </row>
    <row r="4166" spans="3:3">
      <c r="C4166" s="221"/>
    </row>
    <row r="4167" spans="3:3">
      <c r="C4167" s="221"/>
    </row>
    <row r="4168" spans="3:3">
      <c r="C4168" s="221"/>
    </row>
    <row r="4169" spans="3:3">
      <c r="C4169" s="221"/>
    </row>
    <row r="4170" spans="3:3">
      <c r="C4170" s="221"/>
    </row>
    <row r="4171" spans="3:3">
      <c r="C4171" s="221"/>
    </row>
    <row r="4172" spans="3:3">
      <c r="C4172" s="221"/>
    </row>
    <row r="4173" spans="3:3">
      <c r="C4173" s="221"/>
    </row>
    <row r="4174" spans="3:3">
      <c r="C4174" s="221"/>
    </row>
    <row r="4175" spans="3:3">
      <c r="C4175" s="221"/>
    </row>
    <row r="4176" spans="3:3">
      <c r="C4176" s="221"/>
    </row>
    <row r="4177" spans="3:3">
      <c r="C4177" s="221"/>
    </row>
    <row r="4178" spans="3:3">
      <c r="C4178" s="221"/>
    </row>
    <row r="4179" spans="3:3">
      <c r="C4179" s="221"/>
    </row>
    <row r="4180" spans="3:3">
      <c r="C4180" s="221"/>
    </row>
    <row r="4181" spans="3:3">
      <c r="C4181" s="221"/>
    </row>
    <row r="4182" spans="3:3">
      <c r="C4182" s="221"/>
    </row>
    <row r="4183" spans="3:3">
      <c r="C4183" s="221"/>
    </row>
    <row r="4184" spans="3:3">
      <c r="C4184" s="221"/>
    </row>
    <row r="4185" spans="3:3">
      <c r="C4185" s="221"/>
    </row>
    <row r="4186" spans="3:3">
      <c r="C4186" s="221"/>
    </row>
    <row r="4187" spans="3:3">
      <c r="C4187" s="221"/>
    </row>
    <row r="4188" spans="3:3">
      <c r="C4188" s="221"/>
    </row>
    <row r="4189" spans="3:3">
      <c r="C4189" s="221"/>
    </row>
    <row r="4190" spans="3:3">
      <c r="C4190" s="221"/>
    </row>
    <row r="4191" spans="3:3">
      <c r="C4191" s="221"/>
    </row>
    <row r="4192" spans="3:3">
      <c r="C4192" s="221"/>
    </row>
    <row r="4193" spans="3:3">
      <c r="C4193" s="221"/>
    </row>
    <row r="4194" spans="3:3">
      <c r="C4194" s="221"/>
    </row>
    <row r="4195" spans="3:3">
      <c r="C4195" s="221"/>
    </row>
    <row r="4196" spans="3:3">
      <c r="C4196" s="221"/>
    </row>
    <row r="4197" spans="3:3">
      <c r="C4197" s="221"/>
    </row>
    <row r="4198" spans="3:3">
      <c r="C4198" s="221"/>
    </row>
    <row r="4199" spans="3:3">
      <c r="C4199" s="221"/>
    </row>
    <row r="4200" spans="3:3">
      <c r="C4200" s="221"/>
    </row>
    <row r="4201" spans="3:3">
      <c r="C4201" s="221"/>
    </row>
    <row r="4202" spans="3:3">
      <c r="C4202" s="221"/>
    </row>
    <row r="4203" spans="3:3">
      <c r="C4203" s="221"/>
    </row>
    <row r="4204" spans="3:3">
      <c r="C4204" s="221"/>
    </row>
    <row r="4205" spans="3:3">
      <c r="C4205" s="221"/>
    </row>
    <row r="4206" spans="3:3">
      <c r="C4206" s="221"/>
    </row>
    <row r="4207" spans="3:3">
      <c r="C4207" s="221"/>
    </row>
    <row r="4208" spans="3:3">
      <c r="C4208" s="221"/>
    </row>
    <row r="4209" spans="3:3">
      <c r="C4209" s="221"/>
    </row>
    <row r="4210" spans="3:3">
      <c r="C4210" s="221"/>
    </row>
    <row r="4211" spans="3:3">
      <c r="C4211" s="221"/>
    </row>
    <row r="4212" spans="3:3">
      <c r="C4212" s="221"/>
    </row>
    <row r="4213" spans="3:3">
      <c r="C4213" s="221"/>
    </row>
    <row r="4214" spans="3:3">
      <c r="C4214" s="221"/>
    </row>
    <row r="4215" spans="3:3">
      <c r="C4215" s="221"/>
    </row>
    <row r="4216" spans="3:3">
      <c r="C4216" s="221"/>
    </row>
    <row r="4217" spans="3:3">
      <c r="C4217" s="221"/>
    </row>
    <row r="4218" spans="3:3">
      <c r="C4218" s="221"/>
    </row>
    <row r="4219" spans="3:3">
      <c r="C4219" s="221"/>
    </row>
    <row r="4220" spans="3:3">
      <c r="C4220" s="221"/>
    </row>
    <row r="4221" spans="3:3">
      <c r="C4221" s="221"/>
    </row>
    <row r="4222" spans="3:3">
      <c r="C4222" s="221"/>
    </row>
    <row r="4223" spans="3:3">
      <c r="C4223" s="221"/>
    </row>
    <row r="4224" spans="3:3">
      <c r="C4224" s="221"/>
    </row>
    <row r="4225" spans="3:3">
      <c r="C4225" s="221"/>
    </row>
    <row r="4226" spans="3:3">
      <c r="C4226" s="221"/>
    </row>
    <row r="4227" spans="3:3">
      <c r="C4227" s="221"/>
    </row>
    <row r="4228" spans="3:3">
      <c r="C4228" s="221"/>
    </row>
    <row r="4229" spans="3:3">
      <c r="C4229" s="221"/>
    </row>
    <row r="4230" spans="3:3">
      <c r="C4230" s="221"/>
    </row>
    <row r="4231" spans="3:3">
      <c r="C4231" s="221"/>
    </row>
    <row r="4232" spans="3:3">
      <c r="C4232" s="221"/>
    </row>
    <row r="4233" spans="3:3">
      <c r="C4233" s="221"/>
    </row>
    <row r="4234" spans="3:3">
      <c r="C4234" s="221"/>
    </row>
    <row r="4235" spans="3:3">
      <c r="C4235" s="221"/>
    </row>
    <row r="4236" spans="3:3">
      <c r="C4236" s="221"/>
    </row>
    <row r="4237" spans="3:3">
      <c r="C4237" s="221"/>
    </row>
    <row r="4238" spans="3:3">
      <c r="C4238" s="221"/>
    </row>
    <row r="4239" spans="3:3">
      <c r="C4239" s="221"/>
    </row>
    <row r="4240" spans="3:3">
      <c r="C4240" s="221"/>
    </row>
    <row r="4241" spans="3:3">
      <c r="C4241" s="221"/>
    </row>
    <row r="4242" spans="3:3">
      <c r="C4242" s="221"/>
    </row>
    <row r="4243" spans="3:3">
      <c r="C4243" s="221"/>
    </row>
    <row r="4244" spans="3:3">
      <c r="C4244" s="221"/>
    </row>
    <row r="4245" spans="3:3">
      <c r="C4245" s="221"/>
    </row>
    <row r="4246" spans="3:3">
      <c r="C4246" s="221"/>
    </row>
    <row r="4247" spans="3:3">
      <c r="C4247" s="221"/>
    </row>
    <row r="4248" spans="3:3">
      <c r="C4248" s="221"/>
    </row>
    <row r="4249" spans="3:3">
      <c r="C4249" s="221"/>
    </row>
    <row r="4250" spans="3:3">
      <c r="C4250" s="221"/>
    </row>
    <row r="4251" spans="3:3">
      <c r="C4251" s="221"/>
    </row>
    <row r="4252" spans="3:3">
      <c r="C4252" s="221"/>
    </row>
    <row r="4253" spans="3:3">
      <c r="C4253" s="221"/>
    </row>
    <row r="4254" spans="3:3">
      <c r="C4254" s="221"/>
    </row>
    <row r="4255" spans="3:3">
      <c r="C4255" s="221"/>
    </row>
    <row r="4256" spans="3:3">
      <c r="C4256" s="221"/>
    </row>
    <row r="4257" spans="3:3">
      <c r="C4257" s="221"/>
    </row>
    <row r="4258" spans="3:3">
      <c r="C4258" s="221"/>
    </row>
    <row r="4259" spans="3:3">
      <c r="C4259" s="221"/>
    </row>
    <row r="4260" spans="3:3">
      <c r="C4260" s="221"/>
    </row>
    <row r="4261" spans="3:3">
      <c r="C4261" s="221"/>
    </row>
    <row r="4262" spans="3:3">
      <c r="C4262" s="221"/>
    </row>
    <row r="4263" spans="3:3">
      <c r="C4263" s="221"/>
    </row>
    <row r="4264" spans="3:3">
      <c r="C4264" s="221"/>
    </row>
    <row r="4265" spans="3:3">
      <c r="C4265" s="221"/>
    </row>
    <row r="4266" spans="3:3">
      <c r="C4266" s="221"/>
    </row>
    <row r="4267" spans="3:3">
      <c r="C4267" s="221"/>
    </row>
    <row r="4268" spans="3:3">
      <c r="C4268" s="221"/>
    </row>
    <row r="4269" spans="3:3">
      <c r="C4269" s="221"/>
    </row>
    <row r="4270" spans="3:3">
      <c r="C4270" s="221"/>
    </row>
    <row r="4271" spans="3:3">
      <c r="C4271" s="221"/>
    </row>
    <row r="4272" spans="3:3">
      <c r="C4272" s="221"/>
    </row>
    <row r="4273" spans="3:3">
      <c r="C4273" s="221"/>
    </row>
    <row r="4274" spans="3:3">
      <c r="C4274" s="221"/>
    </row>
    <row r="4275" spans="3:3">
      <c r="C4275" s="221"/>
    </row>
    <row r="4276" spans="3:3">
      <c r="C4276" s="221"/>
    </row>
    <row r="4277" spans="3:3">
      <c r="C4277" s="221"/>
    </row>
    <row r="4278" spans="3:3">
      <c r="C4278" s="221"/>
    </row>
    <row r="4279" spans="3:3">
      <c r="C4279" s="221"/>
    </row>
    <row r="4280" spans="3:3">
      <c r="C4280" s="221"/>
    </row>
    <row r="4281" spans="3:3">
      <c r="C4281" s="221"/>
    </row>
    <row r="4282" spans="3:3">
      <c r="C4282" s="221"/>
    </row>
    <row r="4283" spans="3:3">
      <c r="C4283" s="221"/>
    </row>
    <row r="4284" spans="3:3">
      <c r="C4284" s="221"/>
    </row>
    <row r="4285" spans="3:3">
      <c r="C4285" s="221"/>
    </row>
    <row r="4286" spans="3:3">
      <c r="C4286" s="221"/>
    </row>
    <row r="4287" spans="3:3">
      <c r="C4287" s="221"/>
    </row>
    <row r="4288" spans="3:3">
      <c r="C4288" s="221"/>
    </row>
    <row r="4289" spans="3:3">
      <c r="C4289" s="221"/>
    </row>
    <row r="4290" spans="3:3">
      <c r="C4290" s="221"/>
    </row>
    <row r="4291" spans="3:3">
      <c r="C4291" s="221"/>
    </row>
    <row r="4292" spans="3:3">
      <c r="C4292" s="221"/>
    </row>
    <row r="4293" spans="3:3">
      <c r="C4293" s="221"/>
    </row>
    <row r="4294" spans="3:3">
      <c r="C4294" s="221"/>
    </row>
    <row r="4295" spans="3:3">
      <c r="C4295" s="221"/>
    </row>
    <row r="4296" spans="3:3">
      <c r="C4296" s="221"/>
    </row>
    <row r="4297" spans="3:3">
      <c r="C4297" s="221"/>
    </row>
    <row r="4298" spans="3:3">
      <c r="C4298" s="221"/>
    </row>
    <row r="4299" spans="3:3">
      <c r="C4299" s="221"/>
    </row>
    <row r="4300" spans="3:3">
      <c r="C4300" s="221"/>
    </row>
    <row r="4301" spans="3:3">
      <c r="C4301" s="221"/>
    </row>
    <row r="4302" spans="3:3">
      <c r="C4302" s="221"/>
    </row>
    <row r="4303" spans="3:3">
      <c r="C4303" s="221"/>
    </row>
    <row r="4304" spans="3:3">
      <c r="C4304" s="221"/>
    </row>
    <row r="4305" spans="3:3">
      <c r="C4305" s="221"/>
    </row>
    <row r="4306" spans="3:3">
      <c r="C4306" s="221"/>
    </row>
    <row r="4307" spans="3:3">
      <c r="C4307" s="221"/>
    </row>
    <row r="4308" spans="3:3">
      <c r="C4308" s="221"/>
    </row>
    <row r="4309" spans="3:3">
      <c r="C4309" s="221"/>
    </row>
    <row r="4310" spans="3:3">
      <c r="C4310" s="221"/>
    </row>
    <row r="4311" spans="3:3">
      <c r="C4311" s="221"/>
    </row>
    <row r="4312" spans="3:3">
      <c r="C4312" s="221"/>
    </row>
    <row r="4313" spans="3:3">
      <c r="C4313" s="221"/>
    </row>
    <row r="4314" spans="3:3">
      <c r="C4314" s="221"/>
    </row>
    <row r="4315" spans="3:3">
      <c r="C4315" s="221"/>
    </row>
    <row r="4316" spans="3:3">
      <c r="C4316" s="221"/>
    </row>
    <row r="4317" spans="3:3">
      <c r="C4317" s="221"/>
    </row>
    <row r="4318" spans="3:3">
      <c r="C4318" s="221"/>
    </row>
    <row r="4319" spans="3:3">
      <c r="C4319" s="221"/>
    </row>
    <row r="4320" spans="3:3">
      <c r="C4320" s="221"/>
    </row>
    <row r="4321" spans="3:3">
      <c r="C4321" s="221"/>
    </row>
    <row r="4322" spans="3:3">
      <c r="C4322" s="221"/>
    </row>
    <row r="4323" spans="3:3">
      <c r="C4323" s="221"/>
    </row>
    <row r="4324" spans="3:3">
      <c r="C4324" s="221"/>
    </row>
    <row r="4325" spans="3:3">
      <c r="C4325" s="221"/>
    </row>
    <row r="4326" spans="3:3">
      <c r="C4326" s="221"/>
    </row>
    <row r="4327" spans="3:3">
      <c r="C4327" s="221"/>
    </row>
    <row r="4328" spans="3:3">
      <c r="C4328" s="221"/>
    </row>
    <row r="4329" spans="3:3">
      <c r="C4329" s="221"/>
    </row>
    <row r="4330" spans="3:3">
      <c r="C4330" s="221"/>
    </row>
    <row r="4331" spans="3:3">
      <c r="C4331" s="221"/>
    </row>
    <row r="4332" spans="3:3">
      <c r="C4332" s="221"/>
    </row>
    <row r="4333" spans="3:3">
      <c r="C4333" s="221"/>
    </row>
    <row r="4334" spans="3:3">
      <c r="C4334" s="221"/>
    </row>
    <row r="4335" spans="3:3">
      <c r="C4335" s="221"/>
    </row>
    <row r="4336" spans="3:3">
      <c r="C4336" s="221"/>
    </row>
    <row r="4337" spans="3:3">
      <c r="C4337" s="221"/>
    </row>
    <row r="4338" spans="3:3">
      <c r="C4338" s="221"/>
    </row>
    <row r="4339" spans="3:3">
      <c r="C4339" s="221"/>
    </row>
    <row r="4340" spans="3:3">
      <c r="C4340" s="221"/>
    </row>
    <row r="4341" spans="3:3">
      <c r="C4341" s="221"/>
    </row>
    <row r="4342" spans="3:3">
      <c r="C4342" s="221"/>
    </row>
    <row r="4343" spans="3:3">
      <c r="C4343" s="221"/>
    </row>
    <row r="4344" spans="3:3">
      <c r="C4344" s="221"/>
    </row>
    <row r="4345" spans="3:3">
      <c r="C4345" s="221"/>
    </row>
    <row r="4346" spans="3:3">
      <c r="C4346" s="221"/>
    </row>
    <row r="4347" spans="3:3">
      <c r="C4347" s="221"/>
    </row>
    <row r="4348" spans="3:3">
      <c r="C4348" s="221"/>
    </row>
    <row r="4349" spans="3:3">
      <c r="C4349" s="221"/>
    </row>
    <row r="4350" spans="3:3">
      <c r="C4350" s="221"/>
    </row>
    <row r="4351" spans="3:3">
      <c r="C4351" s="221"/>
    </row>
    <row r="4352" spans="3:3">
      <c r="C4352" s="221"/>
    </row>
    <row r="4353" spans="3:3">
      <c r="C4353" s="221"/>
    </row>
    <row r="4354" spans="3:3">
      <c r="C4354" s="221"/>
    </row>
    <row r="4355" spans="3:3">
      <c r="C4355" s="221"/>
    </row>
    <row r="4356" spans="3:3">
      <c r="C4356" s="221"/>
    </row>
    <row r="4357" spans="3:3">
      <c r="C4357" s="221"/>
    </row>
    <row r="4358" spans="3:3">
      <c r="C4358" s="221"/>
    </row>
    <row r="4359" spans="3:3">
      <c r="C4359" s="221"/>
    </row>
    <row r="4360" spans="3:3">
      <c r="C4360" s="221"/>
    </row>
    <row r="4361" spans="3:3">
      <c r="C4361" s="221"/>
    </row>
    <row r="4362" spans="3:3">
      <c r="C4362" s="221"/>
    </row>
    <row r="4363" spans="3:3">
      <c r="C4363" s="221"/>
    </row>
    <row r="4364" spans="3:3">
      <c r="C4364" s="221"/>
    </row>
    <row r="4365" spans="3:3">
      <c r="C4365" s="221"/>
    </row>
    <row r="4366" spans="3:3">
      <c r="C4366" s="221"/>
    </row>
    <row r="4367" spans="3:3">
      <c r="C4367" s="221"/>
    </row>
    <row r="4368" spans="3:3">
      <c r="C4368" s="221"/>
    </row>
    <row r="4369" spans="3:3">
      <c r="C4369" s="221"/>
    </row>
    <row r="4370" spans="3:3">
      <c r="C4370" s="221"/>
    </row>
    <row r="4371" spans="3:3">
      <c r="C4371" s="221"/>
    </row>
    <row r="4372" spans="3:3">
      <c r="C4372" s="221"/>
    </row>
    <row r="4373" spans="3:3">
      <c r="C4373" s="221"/>
    </row>
    <row r="4374" spans="3:3">
      <c r="C4374" s="221"/>
    </row>
    <row r="4375" spans="3:3">
      <c r="C4375" s="221"/>
    </row>
    <row r="4376" spans="3:3">
      <c r="C4376" s="221"/>
    </row>
    <row r="4377" spans="3:3">
      <c r="C4377" s="221"/>
    </row>
    <row r="4378" spans="3:3">
      <c r="C4378" s="221"/>
    </row>
    <row r="4379" spans="3:3">
      <c r="C4379" s="221"/>
    </row>
    <row r="4380" spans="3:3">
      <c r="C4380" s="221"/>
    </row>
    <row r="4381" spans="3:3">
      <c r="C4381" s="221"/>
    </row>
    <row r="4382" spans="3:3">
      <c r="C4382" s="221"/>
    </row>
    <row r="4383" spans="3:3">
      <c r="C4383" s="221"/>
    </row>
    <row r="4384" spans="3:3">
      <c r="C4384" s="221"/>
    </row>
    <row r="4385" spans="3:3">
      <c r="C4385" s="221"/>
    </row>
    <row r="4386" spans="3:3">
      <c r="C4386" s="221"/>
    </row>
    <row r="4387" spans="3:3">
      <c r="C4387" s="221"/>
    </row>
    <row r="4388" spans="3:3">
      <c r="C4388" s="221"/>
    </row>
    <row r="4389" spans="3:3">
      <c r="C4389" s="221"/>
    </row>
    <row r="4390" spans="3:3">
      <c r="C4390" s="221"/>
    </row>
    <row r="4391" spans="3:3">
      <c r="C4391" s="221"/>
    </row>
    <row r="4392" spans="3:3">
      <c r="C4392" s="221"/>
    </row>
    <row r="4393" spans="3:3">
      <c r="C4393" s="221"/>
    </row>
    <row r="4394" spans="3:3">
      <c r="C4394" s="221"/>
    </row>
    <row r="4395" spans="3:3">
      <c r="C4395" s="221"/>
    </row>
    <row r="4396" spans="3:3">
      <c r="C4396" s="221"/>
    </row>
    <row r="4397" spans="3:3">
      <c r="C4397" s="221"/>
    </row>
    <row r="4398" spans="3:3">
      <c r="C4398" s="221"/>
    </row>
    <row r="4399" spans="3:3">
      <c r="C4399" s="221"/>
    </row>
    <row r="4400" spans="3:3">
      <c r="C4400" s="221"/>
    </row>
    <row r="4401" spans="3:3">
      <c r="C4401" s="221"/>
    </row>
    <row r="4402" spans="3:3">
      <c r="C4402" s="221"/>
    </row>
    <row r="4403" spans="3:3">
      <c r="C4403" s="221"/>
    </row>
    <row r="4404" spans="3:3">
      <c r="C4404" s="221"/>
    </row>
    <row r="4405" spans="3:3">
      <c r="C4405" s="221"/>
    </row>
    <row r="4406" spans="3:3">
      <c r="C4406" s="221"/>
    </row>
    <row r="4407" spans="3:3">
      <c r="C4407" s="221"/>
    </row>
    <row r="4408" spans="3:3">
      <c r="C4408" s="221"/>
    </row>
    <row r="4409" spans="3:3">
      <c r="C4409" s="221"/>
    </row>
    <row r="4410" spans="3:3">
      <c r="C4410" s="221"/>
    </row>
    <row r="4411" spans="3:3">
      <c r="C4411" s="221"/>
    </row>
    <row r="4412" spans="3:3">
      <c r="C4412" s="221"/>
    </row>
    <row r="4413" spans="3:3">
      <c r="C4413" s="221"/>
    </row>
    <row r="4414" spans="3:3">
      <c r="C4414" s="221"/>
    </row>
    <row r="4415" spans="3:3">
      <c r="C4415" s="221"/>
    </row>
    <row r="4416" spans="3:3">
      <c r="C4416" s="221"/>
    </row>
    <row r="4417" spans="3:3">
      <c r="C4417" s="221"/>
    </row>
    <row r="4418" spans="3:3">
      <c r="C4418" s="221"/>
    </row>
    <row r="4419" spans="3:3">
      <c r="C4419" s="221"/>
    </row>
    <row r="4420" spans="3:3">
      <c r="C4420" s="221"/>
    </row>
    <row r="4421" spans="3:3">
      <c r="C4421" s="221"/>
    </row>
    <row r="4422" spans="3:3">
      <c r="C4422" s="221"/>
    </row>
    <row r="4423" spans="3:3">
      <c r="C4423" s="221"/>
    </row>
    <row r="4424" spans="3:3">
      <c r="C4424" s="221"/>
    </row>
    <row r="4425" spans="3:3">
      <c r="C4425" s="221"/>
    </row>
    <row r="4426" spans="3:3">
      <c r="C4426" s="221"/>
    </row>
    <row r="4427" spans="3:3">
      <c r="C4427" s="221"/>
    </row>
    <row r="4428" spans="3:3">
      <c r="C4428" s="221"/>
    </row>
    <row r="4429" spans="3:3">
      <c r="C4429" s="221"/>
    </row>
    <row r="4430" spans="3:3">
      <c r="C4430" s="221"/>
    </row>
    <row r="4431" spans="3:3">
      <c r="C4431" s="221"/>
    </row>
    <row r="4432" spans="3:3">
      <c r="C4432" s="221"/>
    </row>
    <row r="4433" spans="3:3">
      <c r="C4433" s="221"/>
    </row>
    <row r="4434" spans="3:3">
      <c r="C4434" s="221"/>
    </row>
    <row r="4435" spans="3:3">
      <c r="C4435" s="221"/>
    </row>
    <row r="4436" spans="3:3">
      <c r="C4436" s="221"/>
    </row>
    <row r="4437" spans="3:3">
      <c r="C4437" s="221"/>
    </row>
    <row r="4438" spans="3:3">
      <c r="C4438" s="221"/>
    </row>
    <row r="4439" spans="3:3">
      <c r="C4439" s="221"/>
    </row>
    <row r="4440" spans="3:3">
      <c r="C4440" s="221"/>
    </row>
    <row r="4441" spans="3:3">
      <c r="C4441" s="221"/>
    </row>
    <row r="4442" spans="3:3">
      <c r="C4442" s="221"/>
    </row>
    <row r="4443" spans="3:3">
      <c r="C4443" s="221"/>
    </row>
    <row r="4444" spans="3:3">
      <c r="C4444" s="221"/>
    </row>
    <row r="4445" spans="3:3">
      <c r="C4445" s="221"/>
    </row>
    <row r="4446" spans="3:3">
      <c r="C4446" s="221"/>
    </row>
    <row r="4447" spans="3:3">
      <c r="C4447" s="221"/>
    </row>
    <row r="4448" spans="3:3">
      <c r="C4448" s="221"/>
    </row>
    <row r="4449" spans="3:3">
      <c r="C4449" s="221"/>
    </row>
    <row r="4450" spans="3:3">
      <c r="C4450" s="221"/>
    </row>
    <row r="4451" spans="3:3">
      <c r="C4451" s="221"/>
    </row>
    <row r="4452" spans="3:3">
      <c r="C4452" s="221"/>
    </row>
    <row r="4453" spans="3:3">
      <c r="C4453" s="221"/>
    </row>
    <row r="4454" spans="3:3">
      <c r="C4454" s="221"/>
    </row>
    <row r="4455" spans="3:3">
      <c r="C4455" s="221"/>
    </row>
    <row r="4456" spans="3:3">
      <c r="C4456" s="221"/>
    </row>
    <row r="4457" spans="3:3">
      <c r="C4457" s="221"/>
    </row>
    <row r="4458" spans="3:3">
      <c r="C4458" s="221"/>
    </row>
    <row r="4459" spans="3:3">
      <c r="C4459" s="221"/>
    </row>
    <row r="4460" spans="3:3">
      <c r="C4460" s="221"/>
    </row>
    <row r="4461" spans="3:3">
      <c r="C4461" s="221"/>
    </row>
    <row r="4462" spans="3:3">
      <c r="C4462" s="221"/>
    </row>
    <row r="4463" spans="3:3">
      <c r="C4463" s="221"/>
    </row>
    <row r="4464" spans="3:3">
      <c r="C4464" s="221"/>
    </row>
    <row r="4465" spans="3:3">
      <c r="C4465" s="221"/>
    </row>
    <row r="4466" spans="3:3">
      <c r="C4466" s="221"/>
    </row>
    <row r="4467" spans="3:3">
      <c r="C4467" s="221"/>
    </row>
    <row r="4468" spans="3:3">
      <c r="C4468" s="221"/>
    </row>
    <row r="4469" spans="3:3">
      <c r="C4469" s="221"/>
    </row>
    <row r="4470" spans="3:3">
      <c r="C4470" s="221"/>
    </row>
    <row r="4471" spans="3:3">
      <c r="C4471" s="221"/>
    </row>
    <row r="4472" spans="3:3">
      <c r="C4472" s="221"/>
    </row>
    <row r="4473" spans="3:3">
      <c r="C4473" s="221"/>
    </row>
    <row r="4474" spans="3:3">
      <c r="C4474" s="221"/>
    </row>
    <row r="4475" spans="3:3">
      <c r="C4475" s="221"/>
    </row>
    <row r="4476" spans="3:3">
      <c r="C4476" s="221"/>
    </row>
    <row r="4477" spans="3:3">
      <c r="C4477" s="221"/>
    </row>
    <row r="4478" spans="3:3">
      <c r="C4478" s="221"/>
    </row>
    <row r="4479" spans="3:3">
      <c r="C4479" s="221"/>
    </row>
    <row r="4480" spans="3:3">
      <c r="C4480" s="221"/>
    </row>
    <row r="4481" spans="3:3">
      <c r="C4481" s="221"/>
    </row>
    <row r="4482" spans="3:3">
      <c r="C4482" s="221"/>
    </row>
    <row r="4483" spans="3:3">
      <c r="C4483" s="221"/>
    </row>
    <row r="4484" spans="3:3">
      <c r="C4484" s="221"/>
    </row>
    <row r="4485" spans="3:3">
      <c r="C4485" s="221"/>
    </row>
    <row r="4486" spans="3:3">
      <c r="C4486" s="221"/>
    </row>
    <row r="4487" spans="3:3">
      <c r="C4487" s="221"/>
    </row>
    <row r="4488" spans="3:3">
      <c r="C4488" s="221"/>
    </row>
    <row r="4489" spans="3:3">
      <c r="C4489" s="221"/>
    </row>
    <row r="4490" spans="3:3">
      <c r="C4490" s="221"/>
    </row>
    <row r="4491" spans="3:3">
      <c r="C4491" s="221"/>
    </row>
    <row r="4492" spans="3:3">
      <c r="C4492" s="221"/>
    </row>
    <row r="4493" spans="3:3">
      <c r="C4493" s="221"/>
    </row>
    <row r="4494" spans="3:3">
      <c r="C4494" s="221"/>
    </row>
    <row r="4495" spans="3:3">
      <c r="C4495" s="221"/>
    </row>
    <row r="4496" spans="3:3">
      <c r="C4496" s="221"/>
    </row>
    <row r="4497" spans="3:3">
      <c r="C4497" s="221"/>
    </row>
    <row r="4498" spans="3:3">
      <c r="C4498" s="221"/>
    </row>
    <row r="4499" spans="3:3">
      <c r="C4499" s="221"/>
    </row>
    <row r="4500" spans="3:3">
      <c r="C4500" s="221"/>
    </row>
    <row r="4501" spans="3:3">
      <c r="C4501" s="221"/>
    </row>
    <row r="4502" spans="3:3">
      <c r="C4502" s="221"/>
    </row>
    <row r="4503" spans="3:3">
      <c r="C4503" s="221"/>
    </row>
    <row r="4504" spans="3:3">
      <c r="C4504" s="221"/>
    </row>
    <row r="4505" spans="3:3">
      <c r="C4505" s="221"/>
    </row>
    <row r="4506" spans="3:3">
      <c r="C4506" s="221"/>
    </row>
    <row r="4507" spans="3:3">
      <c r="C4507" s="221"/>
    </row>
    <row r="4508" spans="3:3">
      <c r="C4508" s="221"/>
    </row>
    <row r="4509" spans="3:3">
      <c r="C4509" s="221"/>
    </row>
    <row r="4510" spans="3:3">
      <c r="C4510" s="221"/>
    </row>
    <row r="4511" spans="3:3">
      <c r="C4511" s="221"/>
    </row>
    <row r="4512" spans="3:3">
      <c r="C4512" s="221"/>
    </row>
    <row r="4513" spans="3:3">
      <c r="C4513" s="221"/>
    </row>
    <row r="4514" spans="3:3">
      <c r="C4514" s="221"/>
    </row>
    <row r="4515" spans="3:3">
      <c r="C4515" s="221"/>
    </row>
    <row r="4516" spans="3:3">
      <c r="C4516" s="221"/>
    </row>
    <row r="4517" spans="3:3">
      <c r="C4517" s="221"/>
    </row>
    <row r="4518" spans="3:3">
      <c r="C4518" s="221"/>
    </row>
    <row r="4519" spans="3:3">
      <c r="C4519" s="221"/>
    </row>
    <row r="4520" spans="3:3">
      <c r="C4520" s="221"/>
    </row>
    <row r="4521" spans="3:3">
      <c r="C4521" s="221"/>
    </row>
    <row r="4522" spans="3:3">
      <c r="C4522" s="221"/>
    </row>
    <row r="4523" spans="3:3">
      <c r="C4523" s="221"/>
    </row>
    <row r="4524" spans="3:3">
      <c r="C4524" s="221"/>
    </row>
    <row r="4525" spans="3:3">
      <c r="C4525" s="221"/>
    </row>
    <row r="4526" spans="3:3">
      <c r="C4526" s="221"/>
    </row>
    <row r="4527" spans="3:3">
      <c r="C4527" s="221"/>
    </row>
    <row r="4528" spans="3:3">
      <c r="C4528" s="221"/>
    </row>
    <row r="4529" spans="3:3">
      <c r="C4529" s="221"/>
    </row>
    <row r="4530" spans="3:3">
      <c r="C4530" s="221"/>
    </row>
    <row r="4531" spans="3:3">
      <c r="C4531" s="221"/>
    </row>
    <row r="4532" spans="3:3">
      <c r="C4532" s="221"/>
    </row>
    <row r="4533" spans="3:3">
      <c r="C4533" s="221"/>
    </row>
    <row r="4534" spans="3:3">
      <c r="C4534" s="221"/>
    </row>
    <row r="4535" spans="3:3">
      <c r="C4535" s="221"/>
    </row>
    <row r="4536" spans="3:3">
      <c r="C4536" s="221"/>
    </row>
    <row r="4537" spans="3:3">
      <c r="C4537" s="221"/>
    </row>
    <row r="4538" spans="3:3">
      <c r="C4538" s="221"/>
    </row>
    <row r="4539" spans="3:3">
      <c r="C4539" s="221"/>
    </row>
    <row r="4540" spans="3:3">
      <c r="C4540" s="221"/>
    </row>
    <row r="4541" spans="3:3">
      <c r="C4541" s="221"/>
    </row>
    <row r="4542" spans="3:3">
      <c r="C4542" s="221"/>
    </row>
    <row r="4543" spans="3:3">
      <c r="C4543" s="221"/>
    </row>
    <row r="4544" spans="3:3">
      <c r="C4544" s="221"/>
    </row>
    <row r="4545" spans="3:3">
      <c r="C4545" s="221"/>
    </row>
    <row r="4546" spans="3:3">
      <c r="C4546" s="221"/>
    </row>
    <row r="4547" spans="3:3">
      <c r="C4547" s="221"/>
    </row>
    <row r="4548" spans="3:3">
      <c r="C4548" s="221"/>
    </row>
    <row r="4549" spans="3:3">
      <c r="C4549" s="221"/>
    </row>
    <row r="4550" spans="3:3">
      <c r="C4550" s="221"/>
    </row>
    <row r="4551" spans="3:3">
      <c r="C4551" s="221"/>
    </row>
    <row r="4552" spans="3:3">
      <c r="C4552" s="221"/>
    </row>
    <row r="4553" spans="3:3">
      <c r="C4553" s="221"/>
    </row>
    <row r="4554" spans="3:3">
      <c r="C4554" s="221"/>
    </row>
    <row r="4555" spans="3:3">
      <c r="C4555" s="221"/>
    </row>
    <row r="4556" spans="3:3">
      <c r="C4556" s="221"/>
    </row>
    <row r="4557" spans="3:3">
      <c r="C4557" s="221"/>
    </row>
    <row r="4558" spans="3:3">
      <c r="C4558" s="221"/>
    </row>
    <row r="4559" spans="3:3">
      <c r="C4559" s="221"/>
    </row>
    <row r="4560" spans="3:3">
      <c r="C4560" s="221"/>
    </row>
    <row r="4561" spans="3:3">
      <c r="C4561" s="221"/>
    </row>
    <row r="4562" spans="3:3">
      <c r="C4562" s="221"/>
    </row>
    <row r="4563" spans="3:3">
      <c r="C4563" s="221"/>
    </row>
    <row r="4564" spans="3:3">
      <c r="C4564" s="221"/>
    </row>
    <row r="4565" spans="3:3">
      <c r="C4565" s="221"/>
    </row>
    <row r="4566" spans="3:3">
      <c r="C4566" s="221"/>
    </row>
    <row r="4567" spans="3:3">
      <c r="C4567" s="221"/>
    </row>
    <row r="4568" spans="3:3">
      <c r="C4568" s="221"/>
    </row>
    <row r="4569" spans="3:3">
      <c r="C4569" s="221"/>
    </row>
    <row r="4570" spans="3:3">
      <c r="C4570" s="221"/>
    </row>
    <row r="4571" spans="3:3">
      <c r="C4571" s="221"/>
    </row>
    <row r="4572" spans="3:3">
      <c r="C4572" s="221"/>
    </row>
    <row r="4573" spans="3:3">
      <c r="C4573" s="221"/>
    </row>
    <row r="4574" spans="3:3">
      <c r="C4574" s="221"/>
    </row>
    <row r="4575" spans="3:3">
      <c r="C4575" s="221"/>
    </row>
    <row r="4576" spans="3:3">
      <c r="C4576" s="221"/>
    </row>
    <row r="4577" spans="3:3">
      <c r="C4577" s="221"/>
    </row>
    <row r="4578" spans="3:3">
      <c r="C4578" s="221"/>
    </row>
    <row r="4579" spans="3:3">
      <c r="C4579" s="221"/>
    </row>
    <row r="4580" spans="3:3">
      <c r="C4580" s="221"/>
    </row>
    <row r="4581" spans="3:3">
      <c r="C4581" s="221"/>
    </row>
    <row r="4582" spans="3:3">
      <c r="C4582" s="221"/>
    </row>
    <row r="4583" spans="3:3">
      <c r="C4583" s="221"/>
    </row>
    <row r="4584" spans="3:3">
      <c r="C4584" s="221"/>
    </row>
    <row r="4585" spans="3:3">
      <c r="C4585" s="221"/>
    </row>
    <row r="4586" spans="3:3">
      <c r="C4586" s="221"/>
    </row>
    <row r="4587" spans="3:3">
      <c r="C4587" s="221"/>
    </row>
    <row r="4588" spans="3:3">
      <c r="C4588" s="221"/>
    </row>
    <row r="4589" spans="3:3">
      <c r="C4589" s="221"/>
    </row>
    <row r="4590" spans="3:3">
      <c r="C4590" s="221"/>
    </row>
    <row r="4591" spans="3:3">
      <c r="C4591" s="221"/>
    </row>
    <row r="4592" spans="3:3">
      <c r="C4592" s="221"/>
    </row>
    <row r="4593" spans="3:3">
      <c r="C4593" s="221"/>
    </row>
    <row r="4594" spans="3:3">
      <c r="C4594" s="221"/>
    </row>
    <row r="4595" spans="3:3">
      <c r="C4595" s="221"/>
    </row>
    <row r="4596" spans="3:3">
      <c r="C4596" s="221"/>
    </row>
    <row r="4597" spans="3:3">
      <c r="C4597" s="221"/>
    </row>
    <row r="4598" spans="3:3">
      <c r="C4598" s="221"/>
    </row>
    <row r="4599" spans="3:3">
      <c r="C4599" s="221"/>
    </row>
    <row r="4600" spans="3:3">
      <c r="C4600" s="221"/>
    </row>
    <row r="4601" spans="3:3">
      <c r="C4601" s="221"/>
    </row>
    <row r="4602" spans="3:3">
      <c r="C4602" s="221"/>
    </row>
    <row r="4603" spans="3:3">
      <c r="C4603" s="221"/>
    </row>
    <row r="4604" spans="3:3">
      <c r="C4604" s="221"/>
    </row>
    <row r="4605" spans="3:3">
      <c r="C4605" s="221"/>
    </row>
    <row r="4606" spans="3:3">
      <c r="C4606" s="221"/>
    </row>
    <row r="4607" spans="3:3">
      <c r="C4607" s="221"/>
    </row>
    <row r="4608" spans="3:3">
      <c r="C4608" s="221"/>
    </row>
    <row r="4609" spans="3:3">
      <c r="C4609" s="221"/>
    </row>
    <row r="4610" spans="3:3">
      <c r="C4610" s="221"/>
    </row>
    <row r="4611" spans="3:3">
      <c r="C4611" s="221"/>
    </row>
    <row r="4612" spans="3:3">
      <c r="C4612" s="221"/>
    </row>
    <row r="4613" spans="3:3">
      <c r="C4613" s="221"/>
    </row>
    <row r="4614" spans="3:3">
      <c r="C4614" s="221"/>
    </row>
    <row r="4615" spans="3:3">
      <c r="C4615" s="221"/>
    </row>
    <row r="4616" spans="3:3">
      <c r="C4616" s="221"/>
    </row>
    <row r="4617" spans="3:3">
      <c r="C4617" s="221"/>
    </row>
    <row r="4618" spans="3:3">
      <c r="C4618" s="221"/>
    </row>
    <row r="4619" spans="3:3">
      <c r="C4619" s="221"/>
    </row>
    <row r="4620" spans="3:3">
      <c r="C4620" s="221"/>
    </row>
    <row r="4621" spans="3:3">
      <c r="C4621" s="221"/>
    </row>
    <row r="4622" spans="3:3">
      <c r="C4622" s="221"/>
    </row>
    <row r="4623" spans="3:3">
      <c r="C4623" s="221"/>
    </row>
    <row r="4624" spans="3:3">
      <c r="C4624" s="221"/>
    </row>
    <row r="4625" spans="3:3">
      <c r="C4625" s="221"/>
    </row>
    <row r="4626" spans="3:3">
      <c r="C4626" s="221"/>
    </row>
    <row r="4627" spans="3:3">
      <c r="C4627" s="221"/>
    </row>
    <row r="4628" spans="3:3">
      <c r="C4628" s="221"/>
    </row>
    <row r="4629" spans="3:3">
      <c r="C4629" s="221"/>
    </row>
    <row r="4630" spans="3:3">
      <c r="C4630" s="221"/>
    </row>
    <row r="4631" spans="3:3">
      <c r="C4631" s="221"/>
    </row>
    <row r="4632" spans="3:3">
      <c r="C4632" s="221"/>
    </row>
    <row r="4633" spans="3:3">
      <c r="C4633" s="221"/>
    </row>
    <row r="4634" spans="3:3">
      <c r="C4634" s="221"/>
    </row>
    <row r="4635" spans="3:3">
      <c r="C4635" s="221"/>
    </row>
    <row r="4636" spans="3:3">
      <c r="C4636" s="221"/>
    </row>
    <row r="4637" spans="3:3">
      <c r="C4637" s="221"/>
    </row>
    <row r="4638" spans="3:3">
      <c r="C4638" s="221"/>
    </row>
    <row r="4639" spans="3:3">
      <c r="C4639" s="221"/>
    </row>
    <row r="4640" spans="3:3">
      <c r="C4640" s="221"/>
    </row>
    <row r="4641" spans="3:3">
      <c r="C4641" s="221"/>
    </row>
    <row r="4642" spans="3:3">
      <c r="C4642" s="221"/>
    </row>
    <row r="4643" spans="3:3">
      <c r="C4643" s="221"/>
    </row>
    <row r="4644" spans="3:3">
      <c r="C4644" s="221"/>
    </row>
    <row r="4645" spans="3:3">
      <c r="C4645" s="221"/>
    </row>
    <row r="4646" spans="3:3">
      <c r="C4646" s="221"/>
    </row>
    <row r="4647" spans="3:3">
      <c r="C4647" s="221"/>
    </row>
    <row r="4648" spans="3:3">
      <c r="C4648" s="221"/>
    </row>
    <row r="4649" spans="3:3">
      <c r="C4649" s="221"/>
    </row>
    <row r="4650" spans="3:3">
      <c r="C4650" s="221"/>
    </row>
    <row r="4651" spans="3:3">
      <c r="C4651" s="221"/>
    </row>
    <row r="4652" spans="3:3">
      <c r="C4652" s="221"/>
    </row>
    <row r="4653" spans="3:3">
      <c r="C4653" s="221"/>
    </row>
    <row r="4654" spans="3:3">
      <c r="C4654" s="221"/>
    </row>
    <row r="4655" spans="3:3">
      <c r="C4655" s="221"/>
    </row>
    <row r="4656" spans="3:3">
      <c r="C4656" s="221"/>
    </row>
    <row r="4657" spans="3:3">
      <c r="C4657" s="221"/>
    </row>
    <row r="4658" spans="3:3">
      <c r="C4658" s="221"/>
    </row>
    <row r="4659" spans="3:3">
      <c r="C4659" s="221"/>
    </row>
    <row r="4660" spans="3:3">
      <c r="C4660" s="221"/>
    </row>
    <row r="4661" spans="3:3">
      <c r="C4661" s="221"/>
    </row>
    <row r="4662" spans="3:3">
      <c r="C4662" s="221"/>
    </row>
    <row r="4663" spans="3:3">
      <c r="C4663" s="221"/>
    </row>
    <row r="4664" spans="3:3">
      <c r="C4664" s="221"/>
    </row>
    <row r="4665" spans="3:3">
      <c r="C4665" s="221"/>
    </row>
    <row r="4666" spans="3:3">
      <c r="C4666" s="221"/>
    </row>
    <row r="4667" spans="3:3">
      <c r="C4667" s="221"/>
    </row>
    <row r="4668" spans="3:3">
      <c r="C4668" s="221"/>
    </row>
    <row r="4669" spans="3:3">
      <c r="C4669" s="221"/>
    </row>
    <row r="4670" spans="3:3">
      <c r="C4670" s="221"/>
    </row>
    <row r="4671" spans="3:3">
      <c r="C4671" s="221"/>
    </row>
    <row r="4672" spans="3:3">
      <c r="C4672" s="221"/>
    </row>
    <row r="4673" spans="3:3">
      <c r="C4673" s="221"/>
    </row>
    <row r="4674" spans="3:3">
      <c r="C4674" s="221"/>
    </row>
    <row r="4675" spans="3:3">
      <c r="C4675" s="221"/>
    </row>
    <row r="4676" spans="3:3">
      <c r="C4676" s="221"/>
    </row>
    <row r="4677" spans="3:3">
      <c r="C4677" s="221"/>
    </row>
    <row r="4678" spans="3:3">
      <c r="C4678" s="221"/>
    </row>
    <row r="4679" spans="3:3">
      <c r="C4679" s="221"/>
    </row>
    <row r="4680" spans="3:3">
      <c r="C4680" s="221"/>
    </row>
    <row r="4681" spans="3:3">
      <c r="C4681" s="221"/>
    </row>
    <row r="4682" spans="3:3">
      <c r="C4682" s="221"/>
    </row>
    <row r="4683" spans="3:3">
      <c r="C4683" s="221"/>
    </row>
    <row r="4684" spans="3:3">
      <c r="C4684" s="221"/>
    </row>
    <row r="4685" spans="3:3">
      <c r="C4685" s="221"/>
    </row>
    <row r="4686" spans="3:3">
      <c r="C4686" s="221"/>
    </row>
    <row r="4687" spans="3:3">
      <c r="C4687" s="221"/>
    </row>
    <row r="4688" spans="3:3">
      <c r="C4688" s="221"/>
    </row>
    <row r="4689" spans="3:3">
      <c r="C4689" s="221"/>
    </row>
    <row r="4690" spans="3:3">
      <c r="C4690" s="221"/>
    </row>
    <row r="4691" spans="3:3">
      <c r="C4691" s="221"/>
    </row>
    <row r="4692" spans="3:3">
      <c r="C4692" s="221"/>
    </row>
    <row r="4693" spans="3:3">
      <c r="C4693" s="221"/>
    </row>
    <row r="4694" spans="3:3">
      <c r="C4694" s="221"/>
    </row>
    <row r="4695" spans="3:3">
      <c r="C4695" s="221"/>
    </row>
    <row r="4696" spans="3:3">
      <c r="C4696" s="221"/>
    </row>
    <row r="4697" spans="3:3">
      <c r="C4697" s="221"/>
    </row>
    <row r="4698" spans="3:3">
      <c r="C4698" s="221"/>
    </row>
    <row r="4699" spans="3:3">
      <c r="C4699" s="221"/>
    </row>
    <row r="4700" spans="3:3">
      <c r="C4700" s="221"/>
    </row>
    <row r="4701" spans="3:3">
      <c r="C4701" s="221"/>
    </row>
    <row r="4702" spans="3:3">
      <c r="C4702" s="221"/>
    </row>
    <row r="4703" spans="3:3">
      <c r="C4703" s="221"/>
    </row>
    <row r="4704" spans="3:3">
      <c r="C4704" s="221"/>
    </row>
    <row r="4705" spans="3:3">
      <c r="C4705" s="221"/>
    </row>
    <row r="4706" spans="3:3">
      <c r="C4706" s="221"/>
    </row>
    <row r="4707" spans="3:3">
      <c r="C4707" s="221"/>
    </row>
    <row r="4708" spans="3:3">
      <c r="C4708" s="221"/>
    </row>
    <row r="4709" spans="3:3">
      <c r="C4709" s="221"/>
    </row>
    <row r="4710" spans="3:3">
      <c r="C4710" s="221"/>
    </row>
    <row r="4711" spans="3:3">
      <c r="C4711" s="221"/>
    </row>
    <row r="4712" spans="3:3">
      <c r="C4712" s="221"/>
    </row>
    <row r="4713" spans="3:3">
      <c r="C4713" s="221"/>
    </row>
    <row r="4714" spans="3:3">
      <c r="C4714" s="221"/>
    </row>
    <row r="4715" spans="3:3">
      <c r="C4715" s="221"/>
    </row>
    <row r="4716" spans="3:3">
      <c r="C4716" s="221"/>
    </row>
    <row r="4717" spans="3:3">
      <c r="C4717" s="221"/>
    </row>
    <row r="4718" spans="3:3">
      <c r="C4718" s="221"/>
    </row>
    <row r="4719" spans="3:3">
      <c r="C4719" s="221"/>
    </row>
    <row r="4720" spans="3:3">
      <c r="C4720" s="221"/>
    </row>
    <row r="4721" spans="3:3">
      <c r="C4721" s="221"/>
    </row>
    <row r="4722" spans="3:3">
      <c r="C4722" s="221"/>
    </row>
    <row r="4723" spans="3:3">
      <c r="C4723" s="221"/>
    </row>
    <row r="4724" spans="3:3">
      <c r="C4724" s="221"/>
    </row>
    <row r="4725" spans="3:3">
      <c r="C4725" s="221"/>
    </row>
    <row r="4726" spans="3:3">
      <c r="C4726" s="221"/>
    </row>
    <row r="4727" spans="3:3">
      <c r="C4727" s="221"/>
    </row>
    <row r="4728" spans="3:3">
      <c r="C4728" s="221"/>
    </row>
    <row r="4729" spans="3:3">
      <c r="C4729" s="221"/>
    </row>
    <row r="4730" spans="3:3">
      <c r="C4730" s="221"/>
    </row>
    <row r="4731" spans="3:3">
      <c r="C4731" s="221"/>
    </row>
    <row r="4732" spans="3:3">
      <c r="C4732" s="221"/>
    </row>
    <row r="4733" spans="3:3">
      <c r="C4733" s="221"/>
    </row>
    <row r="4734" spans="3:3">
      <c r="C4734" s="221"/>
    </row>
    <row r="4735" spans="3:3">
      <c r="C4735" s="221"/>
    </row>
    <row r="4736" spans="3:3">
      <c r="C4736" s="221"/>
    </row>
    <row r="4737" spans="3:3">
      <c r="C4737" s="221"/>
    </row>
    <row r="4738" spans="3:3">
      <c r="C4738" s="221"/>
    </row>
    <row r="4739" spans="3:3">
      <c r="C4739" s="221"/>
    </row>
    <row r="4740" spans="3:3">
      <c r="C4740" s="221"/>
    </row>
    <row r="4741" spans="3:3">
      <c r="C4741" s="221"/>
    </row>
    <row r="4742" spans="3:3">
      <c r="C4742" s="221"/>
    </row>
    <row r="4743" spans="3:3">
      <c r="C4743" s="221"/>
    </row>
    <row r="4744" spans="3:3">
      <c r="C4744" s="221"/>
    </row>
    <row r="4745" spans="3:3">
      <c r="C4745" s="221"/>
    </row>
    <row r="4746" spans="3:3">
      <c r="C4746" s="221"/>
    </row>
    <row r="4747" spans="3:3">
      <c r="C4747" s="221"/>
    </row>
    <row r="4748" spans="3:3">
      <c r="C4748" s="221"/>
    </row>
    <row r="4749" spans="3:3">
      <c r="C4749" s="221"/>
    </row>
    <row r="4750" spans="3:3">
      <c r="C4750" s="221"/>
    </row>
    <row r="4751" spans="3:3">
      <c r="C4751" s="221"/>
    </row>
    <row r="4752" spans="3:3">
      <c r="C4752" s="221"/>
    </row>
    <row r="4753" spans="3:3">
      <c r="C4753" s="221"/>
    </row>
    <row r="4754" spans="3:3">
      <c r="C4754" s="221"/>
    </row>
    <row r="4755" spans="3:3">
      <c r="C4755" s="221"/>
    </row>
    <row r="4756" spans="3:3">
      <c r="C4756" s="221"/>
    </row>
    <row r="4757" spans="3:3">
      <c r="C4757" s="221"/>
    </row>
    <row r="4758" spans="3:3">
      <c r="C4758" s="221"/>
    </row>
    <row r="4759" spans="3:3">
      <c r="C4759" s="221"/>
    </row>
    <row r="4760" spans="3:3">
      <c r="C4760" s="221"/>
    </row>
    <row r="4761" spans="3:3">
      <c r="C4761" s="221"/>
    </row>
    <row r="4762" spans="3:3">
      <c r="C4762" s="221"/>
    </row>
    <row r="4763" spans="3:3">
      <c r="C4763" s="221"/>
    </row>
    <row r="4764" spans="3:3">
      <c r="C4764" s="221"/>
    </row>
    <row r="4765" spans="3:3">
      <c r="C4765" s="221"/>
    </row>
    <row r="4766" spans="3:3">
      <c r="C4766" s="221"/>
    </row>
    <row r="4767" spans="3:3">
      <c r="C4767" s="221"/>
    </row>
    <row r="4768" spans="3:3">
      <c r="C4768" s="221"/>
    </row>
    <row r="4769" spans="3:3">
      <c r="C4769" s="221"/>
    </row>
    <row r="4770" spans="3:3">
      <c r="C4770" s="221"/>
    </row>
    <row r="4771" spans="3:3">
      <c r="C4771" s="221"/>
    </row>
    <row r="4772" spans="3:3">
      <c r="C4772" s="221"/>
    </row>
    <row r="4773" spans="3:3">
      <c r="C4773" s="221"/>
    </row>
    <row r="4774" spans="3:3">
      <c r="C4774" s="221"/>
    </row>
    <row r="4775" spans="3:3">
      <c r="C4775" s="221"/>
    </row>
    <row r="4776" spans="3:3">
      <c r="C4776" s="221"/>
    </row>
    <row r="4777" spans="3:3">
      <c r="C4777" s="221"/>
    </row>
    <row r="4778" spans="3:3">
      <c r="C4778" s="221"/>
    </row>
    <row r="4779" spans="3:3">
      <c r="C4779" s="221"/>
    </row>
    <row r="4780" spans="3:3">
      <c r="C4780" s="221"/>
    </row>
    <row r="4781" spans="3:3">
      <c r="C4781" s="221"/>
    </row>
    <row r="4782" spans="3:3">
      <c r="C4782" s="221"/>
    </row>
    <row r="4783" spans="3:3">
      <c r="C4783" s="221"/>
    </row>
    <row r="4784" spans="3:3">
      <c r="C4784" s="221"/>
    </row>
    <row r="4785" spans="3:3">
      <c r="C4785" s="221"/>
    </row>
    <row r="4786" spans="3:3">
      <c r="C4786" s="221"/>
    </row>
    <row r="4787" spans="3:3">
      <c r="C4787" s="221"/>
    </row>
    <row r="4788" spans="3:3">
      <c r="C4788" s="221"/>
    </row>
    <row r="4789" spans="3:3">
      <c r="C4789" s="221"/>
    </row>
    <row r="4790" spans="3:3">
      <c r="C4790" s="221"/>
    </row>
    <row r="4791" spans="3:3">
      <c r="C4791" s="221"/>
    </row>
    <row r="4792" spans="3:3">
      <c r="C4792" s="221"/>
    </row>
    <row r="4793" spans="3:3">
      <c r="C4793" s="221"/>
    </row>
    <row r="4794" spans="3:3">
      <c r="C4794" s="221"/>
    </row>
    <row r="4795" spans="3:3">
      <c r="C4795" s="221"/>
    </row>
    <row r="4796" spans="3:3">
      <c r="C4796" s="221"/>
    </row>
    <row r="4797" spans="3:3">
      <c r="C4797" s="221"/>
    </row>
    <row r="4798" spans="3:3">
      <c r="C4798" s="221"/>
    </row>
    <row r="4799" spans="3:3">
      <c r="C4799" s="221"/>
    </row>
    <row r="4800" spans="3:3">
      <c r="C4800" s="221"/>
    </row>
    <row r="4801" spans="3:3">
      <c r="C4801" s="221"/>
    </row>
    <row r="4802" spans="3:3">
      <c r="C4802" s="221"/>
    </row>
    <row r="4803" spans="3:3">
      <c r="C4803" s="221"/>
    </row>
    <row r="4804" spans="3:3">
      <c r="C4804" s="221"/>
    </row>
    <row r="4805" spans="3:3">
      <c r="C4805" s="221"/>
    </row>
    <row r="4806" spans="3:3">
      <c r="C4806" s="221"/>
    </row>
    <row r="4807" spans="3:3">
      <c r="C4807" s="221"/>
    </row>
    <row r="4808" spans="3:3">
      <c r="C4808" s="221"/>
    </row>
    <row r="4809" spans="3:3">
      <c r="C4809" s="221"/>
    </row>
    <row r="4810" spans="3:3">
      <c r="C4810" s="221"/>
    </row>
    <row r="4811" spans="3:3">
      <c r="C4811" s="221"/>
    </row>
    <row r="4812" spans="3:3">
      <c r="C4812" s="221"/>
    </row>
    <row r="4813" spans="3:3">
      <c r="C4813" s="221"/>
    </row>
    <row r="4814" spans="3:3">
      <c r="C4814" s="221"/>
    </row>
    <row r="4815" spans="3:3">
      <c r="C4815" s="221"/>
    </row>
    <row r="4816" spans="3:3">
      <c r="C4816" s="221"/>
    </row>
    <row r="4817" spans="3:3">
      <c r="C4817" s="221"/>
    </row>
    <row r="4818" spans="3:3">
      <c r="C4818" s="221"/>
    </row>
    <row r="4819" spans="3:3">
      <c r="C4819" s="221"/>
    </row>
    <row r="4820" spans="3:3">
      <c r="C4820" s="221"/>
    </row>
    <row r="4821" spans="3:3">
      <c r="C4821" s="221"/>
    </row>
    <row r="4822" spans="3:3">
      <c r="C4822" s="221"/>
    </row>
    <row r="4823" spans="3:3">
      <c r="C4823" s="221"/>
    </row>
    <row r="4824" spans="3:3">
      <c r="C4824" s="221"/>
    </row>
    <row r="4825" spans="3:3">
      <c r="C4825" s="221"/>
    </row>
    <row r="4826" spans="3:3">
      <c r="C4826" s="221"/>
    </row>
    <row r="4827" spans="3:3">
      <c r="C4827" s="221"/>
    </row>
    <row r="4828" spans="3:3">
      <c r="C4828" s="221"/>
    </row>
    <row r="4829" spans="3:3">
      <c r="C4829" s="221"/>
    </row>
    <row r="4830" spans="3:3">
      <c r="C4830" s="221"/>
    </row>
    <row r="4831" spans="3:3">
      <c r="C4831" s="221"/>
    </row>
    <row r="4832" spans="3:3">
      <c r="C4832" s="221"/>
    </row>
    <row r="4833" spans="3:3">
      <c r="C4833" s="221"/>
    </row>
    <row r="4834" spans="3:3">
      <c r="C4834" s="221"/>
    </row>
    <row r="4835" spans="3:3">
      <c r="C4835" s="221"/>
    </row>
    <row r="4836" spans="3:3">
      <c r="C4836" s="221"/>
    </row>
    <row r="4837" spans="3:3">
      <c r="C4837" s="221"/>
    </row>
    <row r="4838" spans="3:3">
      <c r="C4838" s="221"/>
    </row>
    <row r="4839" spans="3:3">
      <c r="C4839" s="221"/>
    </row>
    <row r="4840" spans="3:3">
      <c r="C4840" s="221"/>
    </row>
    <row r="4841" spans="3:3">
      <c r="C4841" s="221"/>
    </row>
    <row r="4842" spans="3:3">
      <c r="C4842" s="221"/>
    </row>
    <row r="4843" spans="3:3">
      <c r="C4843" s="221"/>
    </row>
    <row r="4844" spans="3:3">
      <c r="C4844" s="221"/>
    </row>
    <row r="4845" spans="3:3">
      <c r="C4845" s="221"/>
    </row>
    <row r="4846" spans="3:3">
      <c r="C4846" s="221"/>
    </row>
    <row r="4847" spans="3:3">
      <c r="C4847" s="221"/>
    </row>
    <row r="4848" spans="3:3">
      <c r="C4848" s="221"/>
    </row>
    <row r="4849" spans="3:3">
      <c r="C4849" s="221"/>
    </row>
    <row r="4850" spans="3:3">
      <c r="C4850" s="221"/>
    </row>
    <row r="4851" spans="3:3">
      <c r="C4851" s="221"/>
    </row>
    <row r="4852" spans="3:3">
      <c r="C4852" s="221"/>
    </row>
    <row r="4853" spans="3:3">
      <c r="C4853" s="221"/>
    </row>
    <row r="4854" spans="3:3">
      <c r="C4854" s="221"/>
    </row>
    <row r="4855" spans="3:3">
      <c r="C4855" s="221"/>
    </row>
    <row r="4856" spans="3:3">
      <c r="C4856" s="221"/>
    </row>
    <row r="4857" spans="3:3">
      <c r="C4857" s="221"/>
    </row>
    <row r="4858" spans="3:3">
      <c r="C4858" s="221"/>
    </row>
    <row r="4859" spans="3:3">
      <c r="C4859" s="221"/>
    </row>
    <row r="4860" spans="3:3">
      <c r="C4860" s="221"/>
    </row>
    <row r="4861" spans="3:3">
      <c r="C4861" s="221"/>
    </row>
    <row r="4862" spans="3:3">
      <c r="C4862" s="221"/>
    </row>
    <row r="4863" spans="3:3">
      <c r="C4863" s="221"/>
    </row>
    <row r="4864" spans="3:3">
      <c r="C4864" s="221"/>
    </row>
    <row r="4865" spans="3:3">
      <c r="C4865" s="221"/>
    </row>
    <row r="4866" spans="3:3">
      <c r="C4866" s="221"/>
    </row>
    <row r="4867" spans="3:3">
      <c r="C4867" s="221"/>
    </row>
    <row r="4868" spans="3:3">
      <c r="C4868" s="221"/>
    </row>
    <row r="4869" spans="3:3">
      <c r="C4869" s="221"/>
    </row>
    <row r="4870" spans="3:3">
      <c r="C4870" s="221"/>
    </row>
    <row r="4871" spans="3:3">
      <c r="C4871" s="221"/>
    </row>
    <row r="4872" spans="3:3">
      <c r="C4872" s="221"/>
    </row>
    <row r="4873" spans="3:3">
      <c r="C4873" s="221"/>
    </row>
    <row r="4874" spans="3:3">
      <c r="C4874" s="221"/>
    </row>
    <row r="4875" spans="3:3">
      <c r="C4875" s="221"/>
    </row>
    <row r="4876" spans="3:3">
      <c r="C4876" s="221"/>
    </row>
    <row r="4877" spans="3:3">
      <c r="C4877" s="221"/>
    </row>
    <row r="4878" spans="3:3">
      <c r="C4878" s="221"/>
    </row>
    <row r="4879" spans="3:3">
      <c r="C4879" s="221"/>
    </row>
    <row r="4880" spans="3:3">
      <c r="C4880" s="221"/>
    </row>
    <row r="4881" spans="3:3">
      <c r="C4881" s="221"/>
    </row>
    <row r="4882" spans="3:3">
      <c r="C4882" s="221"/>
    </row>
    <row r="4883" spans="3:3">
      <c r="C4883" s="221"/>
    </row>
    <row r="4884" spans="3:3">
      <c r="C4884" s="221"/>
    </row>
    <row r="4885" spans="3:3">
      <c r="C4885" s="221"/>
    </row>
    <row r="4886" spans="3:3">
      <c r="C4886" s="221"/>
    </row>
    <row r="4887" spans="3:3">
      <c r="C4887" s="221"/>
    </row>
    <row r="4888" spans="3:3">
      <c r="C4888" s="221"/>
    </row>
    <row r="4889" spans="3:3">
      <c r="C4889" s="221"/>
    </row>
    <row r="4890" spans="3:3">
      <c r="C4890" s="221"/>
    </row>
    <row r="4891" spans="3:3">
      <c r="C4891" s="221"/>
    </row>
    <row r="4892" spans="3:3">
      <c r="C4892" s="221"/>
    </row>
    <row r="4893" spans="3:3">
      <c r="C4893" s="221"/>
    </row>
    <row r="4894" spans="3:3">
      <c r="C4894" s="221"/>
    </row>
    <row r="4895" spans="3:3">
      <c r="C4895" s="221"/>
    </row>
    <row r="4896" spans="3:3">
      <c r="C4896" s="221"/>
    </row>
    <row r="4897" spans="3:3">
      <c r="C4897" s="221"/>
    </row>
    <row r="4898" spans="3:3">
      <c r="C4898" s="221"/>
    </row>
    <row r="4899" spans="3:3">
      <c r="C4899" s="221"/>
    </row>
    <row r="4900" spans="3:3">
      <c r="C4900" s="221"/>
    </row>
    <row r="4901" spans="3:3">
      <c r="C4901" s="221"/>
    </row>
    <row r="4902" spans="3:3">
      <c r="C4902" s="221"/>
    </row>
    <row r="4903" spans="3:3">
      <c r="C4903" s="221"/>
    </row>
    <row r="4904" spans="3:3">
      <c r="C4904" s="221"/>
    </row>
    <row r="4905" spans="3:3">
      <c r="C4905" s="221"/>
    </row>
    <row r="4906" spans="3:3">
      <c r="C4906" s="221"/>
    </row>
    <row r="4907" spans="3:3">
      <c r="C4907" s="221"/>
    </row>
    <row r="4908" spans="3:3">
      <c r="C4908" s="221"/>
    </row>
    <row r="4909" spans="3:3">
      <c r="C4909" s="221"/>
    </row>
    <row r="4910" spans="3:3">
      <c r="C4910" s="221"/>
    </row>
    <row r="4911" spans="3:3">
      <c r="C4911" s="221"/>
    </row>
    <row r="4912" spans="3:3">
      <c r="C4912" s="221"/>
    </row>
    <row r="4913" spans="3:3">
      <c r="C4913" s="221"/>
    </row>
    <row r="4914" spans="3:3">
      <c r="C4914" s="221"/>
    </row>
    <row r="4915" spans="3:3">
      <c r="C4915" s="221"/>
    </row>
    <row r="4916" spans="3:3">
      <c r="C4916" s="221"/>
    </row>
    <row r="4917" spans="3:3">
      <c r="C4917" s="221"/>
    </row>
    <row r="4918" spans="3:3">
      <c r="C4918" s="221"/>
    </row>
    <row r="4919" spans="3:3">
      <c r="C4919" s="221"/>
    </row>
    <row r="4920" spans="3:3">
      <c r="C4920" s="221"/>
    </row>
    <row r="4921" spans="3:3">
      <c r="C4921" s="221"/>
    </row>
    <row r="4922" spans="3:3">
      <c r="C4922" s="221"/>
    </row>
    <row r="4923" spans="3:3">
      <c r="C4923" s="221"/>
    </row>
    <row r="4924" spans="3:3">
      <c r="C4924" s="221"/>
    </row>
    <row r="4925" spans="3:3">
      <c r="C4925" s="221"/>
    </row>
    <row r="4926" spans="3:3">
      <c r="C4926" s="221"/>
    </row>
    <row r="4927" spans="3:3">
      <c r="C4927" s="221"/>
    </row>
    <row r="4928" spans="3:3">
      <c r="C4928" s="221"/>
    </row>
    <row r="4929" spans="3:3">
      <c r="C4929" s="221"/>
    </row>
    <row r="4930" spans="3:3">
      <c r="C4930" s="221"/>
    </row>
    <row r="4931" spans="3:3">
      <c r="C4931" s="221"/>
    </row>
    <row r="4932" spans="3:3">
      <c r="C4932" s="221"/>
    </row>
    <row r="4933" spans="3:3">
      <c r="C4933" s="221"/>
    </row>
    <row r="4934" spans="3:3">
      <c r="C4934" s="221"/>
    </row>
    <row r="4935" spans="3:3">
      <c r="C4935" s="221"/>
    </row>
    <row r="4936" spans="3:3">
      <c r="C4936" s="221"/>
    </row>
    <row r="4937" spans="3:3">
      <c r="C4937" s="221"/>
    </row>
    <row r="4938" spans="3:3">
      <c r="C4938" s="221"/>
    </row>
    <row r="4939" spans="3:3">
      <c r="C4939" s="221"/>
    </row>
    <row r="4940" spans="3:3">
      <c r="C4940" s="221"/>
    </row>
    <row r="4941" spans="3:3">
      <c r="C4941" s="221"/>
    </row>
    <row r="4942" spans="3:3">
      <c r="C4942" s="221"/>
    </row>
    <row r="4943" spans="3:3">
      <c r="C4943" s="221"/>
    </row>
    <row r="4944" spans="3:3">
      <c r="C4944" s="221"/>
    </row>
    <row r="4945" spans="3:3">
      <c r="C4945" s="221"/>
    </row>
    <row r="4946" spans="3:3">
      <c r="C4946" s="221"/>
    </row>
    <row r="4947" spans="3:3">
      <c r="C4947" s="221"/>
    </row>
    <row r="4948" spans="3:3">
      <c r="C4948" s="221"/>
    </row>
    <row r="4949" spans="3:3">
      <c r="C4949" s="221"/>
    </row>
    <row r="4950" spans="3:3">
      <c r="C4950" s="221"/>
    </row>
    <row r="4951" spans="3:3">
      <c r="C4951" s="221"/>
    </row>
    <row r="4952" spans="3:3">
      <c r="C4952" s="221"/>
    </row>
    <row r="4953" spans="3:3">
      <c r="C4953" s="221"/>
    </row>
    <row r="4954" spans="3:3">
      <c r="C4954" s="221"/>
    </row>
    <row r="4955" spans="3:3">
      <c r="C4955" s="221"/>
    </row>
    <row r="4956" spans="3:3">
      <c r="C4956" s="221"/>
    </row>
    <row r="4957" spans="3:3">
      <c r="C4957" s="221"/>
    </row>
    <row r="4958" spans="3:3">
      <c r="C4958" s="221"/>
    </row>
    <row r="4959" spans="3:3">
      <c r="C4959" s="221"/>
    </row>
    <row r="4960" spans="3:3">
      <c r="C4960" s="221"/>
    </row>
    <row r="4961" spans="3:3">
      <c r="C4961" s="221"/>
    </row>
    <row r="4962" spans="3:3">
      <c r="C4962" s="221"/>
    </row>
    <row r="4963" spans="3:3">
      <c r="C4963" s="221"/>
    </row>
    <row r="4964" spans="3:3">
      <c r="C4964" s="221"/>
    </row>
    <row r="4965" spans="3:3">
      <c r="C4965" s="221"/>
    </row>
    <row r="4966" spans="3:3">
      <c r="C4966" s="221"/>
    </row>
    <row r="4967" spans="3:3">
      <c r="C4967" s="221"/>
    </row>
    <row r="4968" spans="3:3">
      <c r="C4968" s="221"/>
    </row>
    <row r="4969" spans="3:3">
      <c r="C4969" s="221"/>
    </row>
    <row r="4970" spans="3:3">
      <c r="C4970" s="221"/>
    </row>
    <row r="4971" spans="3:3">
      <c r="C4971" s="221"/>
    </row>
    <row r="4972" spans="3:3">
      <c r="C4972" s="221"/>
    </row>
    <row r="4973" spans="3:3">
      <c r="C4973" s="221"/>
    </row>
    <row r="4974" spans="3:3">
      <c r="C4974" s="221"/>
    </row>
    <row r="4975" spans="3:3">
      <c r="C4975" s="221"/>
    </row>
    <row r="4976" spans="3:3">
      <c r="C4976" s="221"/>
    </row>
    <row r="4977" spans="3:3">
      <c r="C4977" s="221"/>
    </row>
    <row r="4978" spans="3:3">
      <c r="C4978" s="221"/>
    </row>
    <row r="4979" spans="3:3">
      <c r="C4979" s="221"/>
    </row>
    <row r="4980" spans="3:3">
      <c r="C4980" s="221"/>
    </row>
    <row r="4981" spans="3:3">
      <c r="C4981" s="221"/>
    </row>
    <row r="4982" spans="3:3">
      <c r="C4982" s="221"/>
    </row>
    <row r="4983" spans="3:3">
      <c r="C4983" s="221"/>
    </row>
    <row r="4984" spans="3:3">
      <c r="C4984" s="221"/>
    </row>
    <row r="4985" spans="3:3">
      <c r="C4985" s="221"/>
    </row>
    <row r="4986" spans="3:3">
      <c r="C4986" s="221"/>
    </row>
    <row r="4987" spans="3:3">
      <c r="C4987" s="221"/>
    </row>
    <row r="4988" spans="3:3">
      <c r="C4988" s="221"/>
    </row>
    <row r="4989" spans="3:3">
      <c r="C4989" s="221"/>
    </row>
    <row r="4990" spans="3:3">
      <c r="C4990" s="221"/>
    </row>
    <row r="4991" spans="3:3">
      <c r="C4991" s="221"/>
    </row>
    <row r="4992" spans="3:3">
      <c r="C4992" s="221"/>
    </row>
    <row r="4993" spans="3:3">
      <c r="C4993" s="221"/>
    </row>
    <row r="4994" spans="3:3">
      <c r="C4994" s="221"/>
    </row>
    <row r="4995" spans="3:3">
      <c r="C4995" s="221"/>
    </row>
    <row r="4996" spans="3:3">
      <c r="C4996" s="221"/>
    </row>
    <row r="4997" spans="3:3">
      <c r="C4997" s="221"/>
    </row>
    <row r="4998" spans="3:3">
      <c r="C4998" s="221"/>
    </row>
    <row r="4999" spans="3:3">
      <c r="C4999" s="221"/>
    </row>
    <row r="5000" spans="3:3">
      <c r="C5000" s="221"/>
    </row>
  </sheetData>
  <mergeCells count="17">
    <mergeCell ref="G1:J1"/>
    <mergeCell ref="B2:C2"/>
    <mergeCell ref="G2:J2"/>
    <mergeCell ref="G3:J3"/>
    <mergeCell ref="B7:K7"/>
    <mergeCell ref="B8:K8"/>
    <mergeCell ref="B9:K9"/>
    <mergeCell ref="F10:H10"/>
    <mergeCell ref="I10:K10"/>
    <mergeCell ref="A17:H17"/>
    <mergeCell ref="B18:K18"/>
    <mergeCell ref="H20:K20"/>
    <mergeCell ref="H21:K21"/>
    <mergeCell ref="B10:B11"/>
    <mergeCell ref="C10:C11"/>
    <mergeCell ref="D10:D11"/>
    <mergeCell ref="E10:E11"/>
  </mergeCells>
  <pageMargins left="0.75" right="0.75" top="0.79" bottom="0.79" header="0.3" footer="0.3"/>
  <pageSetup paperSize="9" scale="95" orientation="landscape" useFirstPageNumber="1"/>
  <headerFooter>
    <oddFooter>&amp;CTrang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8"/>
  <sheetViews>
    <sheetView showGridLines="0" showZeros="0" topLeftCell="B1" workbookViewId="0">
      <selection sqref="A1:I1"/>
    </sheetView>
  </sheetViews>
  <sheetFormatPr defaultColWidth="9.44140625" defaultRowHeight="14.4"/>
  <cols>
    <col min="1" max="1" width="8.77734375" hidden="1" customWidth="1"/>
    <col min="2" max="2" width="3.77734375" customWidth="1"/>
    <col min="3" max="3" width="50.77734375" customWidth="1"/>
    <col min="4" max="4" width="7" customWidth="1"/>
    <col min="5" max="5" width="18.77734375" customWidth="1"/>
    <col min="6" max="8" width="12.77734375" customWidth="1"/>
    <col min="9" max="9" width="8.77734375" customWidth="1"/>
  </cols>
  <sheetData>
    <row r="1" spans="1:9" ht="17.399999999999999">
      <c r="A1" s="940" t="s">
        <v>1103</v>
      </c>
      <c r="B1" s="940"/>
      <c r="C1" s="940"/>
      <c r="D1" s="940"/>
      <c r="E1" s="940"/>
      <c r="F1" s="940"/>
      <c r="G1" s="940"/>
      <c r="H1" s="940"/>
      <c r="I1" s="940"/>
    </row>
    <row r="2" spans="1:9" ht="15.6">
      <c r="A2" s="1025" t="s">
        <v>254</v>
      </c>
      <c r="B2" s="1025"/>
      <c r="C2" s="1025"/>
      <c r="D2" s="1025"/>
      <c r="E2" s="1025"/>
      <c r="F2" s="1025"/>
      <c r="G2" s="1025"/>
      <c r="H2" s="1025"/>
      <c r="I2" s="1025"/>
    </row>
    <row r="3" spans="1:9">
      <c r="A3" s="1026" t="s">
        <v>4</v>
      </c>
      <c r="B3" s="1026"/>
      <c r="C3" s="1026"/>
      <c r="D3" s="1026"/>
      <c r="E3" s="1026"/>
      <c r="F3" s="1026"/>
      <c r="G3" s="1026"/>
      <c r="H3" s="1026"/>
      <c r="I3" s="1026"/>
    </row>
    <row r="4" spans="1:9" ht="27.6">
      <c r="A4" s="100" t="s">
        <v>997</v>
      </c>
      <c r="B4" s="100" t="s">
        <v>5</v>
      </c>
      <c r="C4" s="100" t="s">
        <v>256</v>
      </c>
      <c r="D4" s="100" t="s">
        <v>257</v>
      </c>
      <c r="E4" s="100" t="s">
        <v>258</v>
      </c>
      <c r="F4" s="100" t="s">
        <v>1104</v>
      </c>
      <c r="G4" s="100" t="s">
        <v>1105</v>
      </c>
      <c r="H4" s="100" t="s">
        <v>1106</v>
      </c>
      <c r="I4" s="100" t="s">
        <v>1032</v>
      </c>
    </row>
    <row r="5" spans="1:9" ht="27.6">
      <c r="A5" s="187" t="s">
        <v>1107</v>
      </c>
      <c r="B5" s="188">
        <v>1</v>
      </c>
      <c r="C5" s="189" t="s">
        <v>1108</v>
      </c>
      <c r="D5" s="188" t="s">
        <v>1107</v>
      </c>
      <c r="E5" s="188"/>
      <c r="F5" s="190">
        <f t="shared" ref="F5:H5" si="0">SUM(F6:F6)</f>
        <v>19077514.750566024</v>
      </c>
      <c r="G5" s="190">
        <f t="shared" si="0"/>
        <v>1907751.4750566026</v>
      </c>
      <c r="H5" s="190">
        <f t="shared" si="0"/>
        <v>20985266.225622628</v>
      </c>
      <c r="I5" s="187"/>
    </row>
    <row r="6" spans="1:9">
      <c r="A6" s="67" t="s">
        <v>1109</v>
      </c>
      <c r="B6" s="66" t="s">
        <v>1109</v>
      </c>
      <c r="C6" s="102" t="s">
        <v>1090</v>
      </c>
      <c r="D6" s="66" t="s">
        <v>1110</v>
      </c>
      <c r="E6" s="66" t="str">
        <f>"Gxd trước thuế x "&amp;100*I6&amp;"%"</f>
        <v>Gxd trước thuế x 1%</v>
      </c>
      <c r="F6" s="71">
        <f>'4.THKPHM'!F21*I6</f>
        <v>19077514.750566024</v>
      </c>
      <c r="G6" s="71">
        <f>F6*10%</f>
        <v>1907751.4750566026</v>
      </c>
      <c r="H6" s="71">
        <f>F6+G6</f>
        <v>20985266.225622628</v>
      </c>
      <c r="I6" s="203">
        <v>0.01</v>
      </c>
    </row>
    <row r="7" spans="1:9" ht="27.6">
      <c r="A7" s="191" t="s">
        <v>1111</v>
      </c>
      <c r="B7" s="192">
        <v>2</v>
      </c>
      <c r="C7" s="193" t="s">
        <v>1046</v>
      </c>
      <c r="D7" s="192" t="s">
        <v>1111</v>
      </c>
      <c r="E7" s="192"/>
      <c r="F7" s="194">
        <f t="shared" ref="F7:H7" si="1">SUM(F8:F8)</f>
        <v>47693786.876415066</v>
      </c>
      <c r="G7" s="194">
        <f t="shared" si="1"/>
        <v>4769378.687641507</v>
      </c>
      <c r="H7" s="194">
        <f t="shared" si="1"/>
        <v>52463165.564056575</v>
      </c>
      <c r="I7" s="191"/>
    </row>
    <row r="8" spans="1:9">
      <c r="A8" s="67" t="s">
        <v>1112</v>
      </c>
      <c r="B8" s="66" t="s">
        <v>1112</v>
      </c>
      <c r="C8" s="102" t="s">
        <v>1090</v>
      </c>
      <c r="D8" s="66" t="s">
        <v>1110</v>
      </c>
      <c r="E8" s="66" t="str">
        <f>"Gxd trước thuế x "&amp;100*I8&amp;"%"</f>
        <v>Gxd trước thuế x 2.5%</v>
      </c>
      <c r="F8" s="71">
        <f>'4.THKPHM'!F21*I8</f>
        <v>47693786.876415066</v>
      </c>
      <c r="G8" s="71">
        <f>F8*10%</f>
        <v>4769378.687641507</v>
      </c>
      <c r="H8" s="71">
        <f>F8+G8</f>
        <v>52463165.564056575</v>
      </c>
      <c r="I8" s="203">
        <v>2.5000000000000001E-2</v>
      </c>
    </row>
    <row r="9" spans="1:9">
      <c r="A9" s="191" t="s">
        <v>1113</v>
      </c>
      <c r="B9" s="192">
        <v>3</v>
      </c>
      <c r="C9" s="193" t="s">
        <v>1114</v>
      </c>
      <c r="D9" s="192" t="s">
        <v>1113</v>
      </c>
      <c r="E9" s="192"/>
      <c r="F9" s="194">
        <f t="shared" ref="F9:H9" si="2">SUM(F10:F16)</f>
        <v>0</v>
      </c>
      <c r="G9" s="194">
        <f t="shared" si="2"/>
        <v>0</v>
      </c>
      <c r="H9" s="194">
        <f t="shared" si="2"/>
        <v>0</v>
      </c>
      <c r="I9" s="191"/>
    </row>
    <row r="10" spans="1:9">
      <c r="A10" s="67"/>
      <c r="B10" s="66" t="s">
        <v>1115</v>
      </c>
      <c r="C10" s="102" t="s">
        <v>1116</v>
      </c>
      <c r="D10" s="66"/>
      <c r="E10" s="66"/>
      <c r="F10" s="71">
        <v>0</v>
      </c>
      <c r="G10" s="71">
        <f t="shared" ref="G10:G16" si="3">F10*10%</f>
        <v>0</v>
      </c>
      <c r="H10" s="71">
        <f t="shared" ref="H10:H16" si="4">F10+G10</f>
        <v>0</v>
      </c>
      <c r="I10" s="67"/>
    </row>
    <row r="11" spans="1:9">
      <c r="A11" s="67"/>
      <c r="B11" s="66" t="s">
        <v>1117</v>
      </c>
      <c r="C11" s="102" t="s">
        <v>1118</v>
      </c>
      <c r="D11" s="66"/>
      <c r="E11" s="66"/>
      <c r="F11" s="71">
        <v>0</v>
      </c>
      <c r="G11" s="71">
        <f t="shared" si="3"/>
        <v>0</v>
      </c>
      <c r="H11" s="71">
        <f t="shared" si="4"/>
        <v>0</v>
      </c>
      <c r="I11" s="67"/>
    </row>
    <row r="12" spans="1:9">
      <c r="A12" s="67"/>
      <c r="B12" s="66" t="s">
        <v>1119</v>
      </c>
      <c r="C12" s="102" t="s">
        <v>1120</v>
      </c>
      <c r="D12" s="66"/>
      <c r="E12" s="66"/>
      <c r="F12" s="71">
        <v>0</v>
      </c>
      <c r="G12" s="71">
        <f t="shared" si="3"/>
        <v>0</v>
      </c>
      <c r="H12" s="71">
        <f t="shared" si="4"/>
        <v>0</v>
      </c>
      <c r="I12" s="67"/>
    </row>
    <row r="13" spans="1:9" ht="27.6">
      <c r="A13" s="67"/>
      <c r="B13" s="66" t="s">
        <v>1121</v>
      </c>
      <c r="C13" s="102" t="s">
        <v>1122</v>
      </c>
      <c r="D13" s="66"/>
      <c r="E13" s="66"/>
      <c r="F13" s="71">
        <v>0</v>
      </c>
      <c r="G13" s="71">
        <f t="shared" si="3"/>
        <v>0</v>
      </c>
      <c r="H13" s="71">
        <f t="shared" si="4"/>
        <v>0</v>
      </c>
      <c r="I13" s="67"/>
    </row>
    <row r="14" spans="1:9">
      <c r="A14" s="67"/>
      <c r="B14" s="66" t="s">
        <v>1123</v>
      </c>
      <c r="C14" s="102" t="s">
        <v>1124</v>
      </c>
      <c r="D14" s="66"/>
      <c r="E14" s="66"/>
      <c r="F14" s="71">
        <v>0</v>
      </c>
      <c r="G14" s="71">
        <f t="shared" si="3"/>
        <v>0</v>
      </c>
      <c r="H14" s="71">
        <f t="shared" si="4"/>
        <v>0</v>
      </c>
      <c r="I14" s="67"/>
    </row>
    <row r="15" spans="1:9">
      <c r="A15" s="67"/>
      <c r="B15" s="66" t="s">
        <v>1125</v>
      </c>
      <c r="C15" s="102" t="s">
        <v>1126</v>
      </c>
      <c r="D15" s="66"/>
      <c r="E15" s="66"/>
      <c r="F15" s="71">
        <v>0</v>
      </c>
      <c r="G15" s="71">
        <f t="shared" si="3"/>
        <v>0</v>
      </c>
      <c r="H15" s="71">
        <f t="shared" si="4"/>
        <v>0</v>
      </c>
      <c r="I15" s="67"/>
    </row>
    <row r="16" spans="1:9">
      <c r="A16" s="67"/>
      <c r="B16" s="66" t="s">
        <v>1127</v>
      </c>
      <c r="C16" s="102" t="s">
        <v>1128</v>
      </c>
      <c r="D16" s="66"/>
      <c r="E16" s="66"/>
      <c r="F16" s="71">
        <v>0</v>
      </c>
      <c r="G16" s="71">
        <f t="shared" si="3"/>
        <v>0</v>
      </c>
      <c r="H16" s="71">
        <f t="shared" si="4"/>
        <v>0</v>
      </c>
      <c r="I16" s="67"/>
    </row>
    <row r="17" spans="1:9">
      <c r="A17" s="195" t="s">
        <v>1005</v>
      </c>
      <c r="B17" s="196"/>
      <c r="C17" s="197" t="s">
        <v>1129</v>
      </c>
      <c r="D17" s="196" t="s">
        <v>1130</v>
      </c>
      <c r="E17" s="196"/>
      <c r="F17" s="198">
        <f t="shared" ref="F17:H17" si="5">F5+F7+F9</f>
        <v>66771301.626981094</v>
      </c>
      <c r="G17" s="198">
        <f t="shared" si="5"/>
        <v>6677130.1626981096</v>
      </c>
      <c r="H17" s="198">
        <f t="shared" si="5"/>
        <v>73448431.789679199</v>
      </c>
      <c r="I17" s="195"/>
    </row>
    <row r="18" spans="1:9">
      <c r="A18" s="199"/>
      <c r="B18" s="200"/>
      <c r="C18" s="201"/>
      <c r="D18" s="200"/>
      <c r="E18" s="200"/>
      <c r="F18" s="202"/>
      <c r="G18" s="202"/>
      <c r="H18" s="202"/>
      <c r="I18" s="199"/>
    </row>
  </sheetData>
  <mergeCells count="3">
    <mergeCell ref="A1:I1"/>
    <mergeCell ref="A2:I2"/>
    <mergeCell ref="A3:I3"/>
  </mergeCells>
  <pageMargins left="0.6" right="0.6" top="0.75" bottom="0.75" header="0.3" footer="0.3"/>
  <pageSetup scale="95"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2"/>
  </sheetPr>
  <dimension ref="A4:N35"/>
  <sheetViews>
    <sheetView showZeros="0" workbookViewId="0">
      <selection activeCell="H33" sqref="H33"/>
    </sheetView>
  </sheetViews>
  <sheetFormatPr defaultColWidth="9.44140625" defaultRowHeight="15.6"/>
  <cols>
    <col min="1" max="2" width="9.44140625" style="181"/>
    <col min="3" max="3" width="25" style="181" customWidth="1"/>
    <col min="4" max="16384" width="9.44140625" style="181"/>
  </cols>
  <sheetData>
    <row r="4" spans="1:14">
      <c r="A4" s="183"/>
      <c r="B4" s="183"/>
      <c r="C4" s="183"/>
      <c r="D4" s="183"/>
      <c r="E4" s="183"/>
      <c r="F4" s="183"/>
      <c r="G4" s="183"/>
      <c r="H4" s="183"/>
      <c r="I4" s="183"/>
      <c r="J4" s="183"/>
      <c r="K4" s="183"/>
      <c r="L4" s="183"/>
      <c r="M4" s="183"/>
      <c r="N4" s="183"/>
    </row>
    <row r="5" spans="1:14">
      <c r="A5" s="1028" t="s">
        <v>1131</v>
      </c>
      <c r="B5" s="1028"/>
      <c r="C5" s="1028"/>
      <c r="D5" s="183"/>
      <c r="E5" s="1028" t="s">
        <v>0</v>
      </c>
      <c r="F5" s="1028"/>
      <c r="G5" s="1028"/>
      <c r="H5" s="1028"/>
      <c r="I5" s="1028"/>
      <c r="J5" s="1028"/>
      <c r="K5" s="1028"/>
      <c r="L5" s="1028"/>
      <c r="M5" s="1028"/>
      <c r="N5" s="1028"/>
    </row>
    <row r="6" spans="1:14">
      <c r="A6" s="1031" t="s">
        <v>1132</v>
      </c>
      <c r="B6" s="1032"/>
      <c r="C6" s="1032"/>
      <c r="D6" s="183"/>
      <c r="E6" s="1028" t="s">
        <v>1085</v>
      </c>
      <c r="F6" s="1028"/>
      <c r="G6" s="1028"/>
      <c r="H6" s="1028"/>
      <c r="I6" s="1028"/>
      <c r="J6" s="1028"/>
      <c r="K6" s="1028"/>
      <c r="L6" s="1028"/>
      <c r="M6" s="1028"/>
      <c r="N6" s="1028"/>
    </row>
    <row r="7" spans="1:14">
      <c r="A7" s="1033" t="s">
        <v>1133</v>
      </c>
      <c r="B7" s="1033"/>
      <c r="C7" s="1033"/>
      <c r="D7" s="183"/>
      <c r="E7" s="1033" t="s">
        <v>1134</v>
      </c>
      <c r="F7" s="1033"/>
      <c r="G7" s="1033"/>
      <c r="H7" s="1033"/>
      <c r="I7" s="1033"/>
      <c r="J7" s="1033"/>
      <c r="K7" s="1033"/>
      <c r="L7" s="1033"/>
      <c r="M7" s="1033"/>
      <c r="N7" s="1033"/>
    </row>
    <row r="8" spans="1:14">
      <c r="A8" s="183"/>
      <c r="B8" s="183"/>
      <c r="C8" s="183"/>
      <c r="D8" s="183"/>
      <c r="E8" s="183"/>
      <c r="F8" s="183"/>
      <c r="G8" s="183"/>
      <c r="H8" s="183"/>
      <c r="I8" s="183"/>
      <c r="J8" s="183"/>
      <c r="K8" s="183"/>
      <c r="L8" s="183"/>
      <c r="M8" s="183"/>
      <c r="N8" s="183"/>
    </row>
    <row r="9" spans="1:14">
      <c r="A9" s="183"/>
      <c r="B9" s="183"/>
      <c r="C9" s="183"/>
      <c r="D9" s="183"/>
      <c r="E9" s="183"/>
      <c r="F9" s="183"/>
      <c r="G9" s="183"/>
      <c r="H9" s="183"/>
      <c r="I9" s="183"/>
      <c r="J9" s="183"/>
      <c r="K9" s="183"/>
      <c r="L9" s="183"/>
      <c r="M9" s="183"/>
      <c r="N9" s="183"/>
    </row>
    <row r="10" spans="1:14">
      <c r="A10" s="183"/>
      <c r="B10" s="183"/>
      <c r="C10" s="183"/>
      <c r="D10" s="183"/>
      <c r="E10" s="183"/>
      <c r="F10" s="183"/>
      <c r="G10" s="183"/>
      <c r="H10" s="183"/>
      <c r="I10" s="183"/>
      <c r="J10" s="183"/>
      <c r="K10" s="183"/>
      <c r="L10" s="183"/>
      <c r="M10" s="183"/>
      <c r="N10" s="183"/>
    </row>
    <row r="11" spans="1:14">
      <c r="A11" s="183"/>
      <c r="B11" s="183"/>
      <c r="C11" s="183"/>
      <c r="D11" s="183"/>
      <c r="E11" s="183"/>
      <c r="F11" s="183"/>
      <c r="G11" s="183"/>
      <c r="H11" s="183"/>
      <c r="I11" s="183"/>
      <c r="J11" s="183"/>
      <c r="K11" s="183"/>
      <c r="L11" s="183"/>
      <c r="M11" s="183"/>
      <c r="N11" s="183"/>
    </row>
    <row r="12" spans="1:14">
      <c r="A12" s="183"/>
      <c r="B12" s="183"/>
      <c r="C12" s="183"/>
      <c r="D12" s="183"/>
      <c r="E12" s="183"/>
      <c r="F12" s="183"/>
      <c r="G12" s="183"/>
      <c r="H12" s="183"/>
      <c r="I12" s="183"/>
      <c r="J12" s="183"/>
      <c r="K12" s="183"/>
      <c r="L12" s="183"/>
      <c r="M12" s="183"/>
      <c r="N12" s="183"/>
    </row>
    <row r="13" spans="1:14">
      <c r="A13" s="183"/>
      <c r="B13" s="183"/>
      <c r="C13" s="183"/>
      <c r="D13" s="183"/>
      <c r="E13" s="183"/>
      <c r="F13" s="183"/>
      <c r="G13" s="183"/>
      <c r="H13" s="183"/>
      <c r="I13" s="183"/>
      <c r="J13" s="183"/>
      <c r="K13" s="183"/>
      <c r="L13" s="183"/>
      <c r="M13" s="183"/>
      <c r="N13" s="183"/>
    </row>
    <row r="14" spans="1:14">
      <c r="A14" s="183"/>
      <c r="B14" s="183"/>
      <c r="C14" s="183"/>
      <c r="D14" s="183"/>
      <c r="E14" s="183"/>
      <c r="F14" s="183"/>
      <c r="G14" s="183"/>
      <c r="H14" s="183"/>
      <c r="I14" s="183"/>
      <c r="J14" s="183"/>
      <c r="K14" s="183"/>
      <c r="L14" s="183"/>
      <c r="M14" s="183"/>
      <c r="N14" s="183"/>
    </row>
    <row r="15" spans="1:14">
      <c r="A15" s="183"/>
      <c r="B15" s="183"/>
      <c r="C15" s="183"/>
      <c r="D15" s="183"/>
      <c r="E15" s="183"/>
      <c r="F15" s="183"/>
      <c r="G15" s="183"/>
      <c r="H15" s="183"/>
      <c r="I15" s="183"/>
      <c r="J15" s="183"/>
      <c r="K15" s="183"/>
      <c r="L15" s="183"/>
      <c r="M15" s="183"/>
      <c r="N15" s="183"/>
    </row>
    <row r="16" spans="1:14" ht="20.399999999999999">
      <c r="A16" s="1029" t="s">
        <v>1135</v>
      </c>
      <c r="B16" s="1029"/>
      <c r="C16" s="1029"/>
      <c r="D16" s="1029"/>
      <c r="E16" s="1029"/>
      <c r="F16" s="1029"/>
      <c r="G16" s="1029"/>
      <c r="H16" s="1029"/>
      <c r="I16" s="1029"/>
      <c r="J16" s="1029"/>
      <c r="K16" s="1029"/>
      <c r="L16" s="1029"/>
      <c r="M16" s="1029"/>
      <c r="N16" s="1029"/>
    </row>
    <row r="17" spans="1:14">
      <c r="A17" s="183"/>
      <c r="B17" s="183"/>
      <c r="C17" s="183"/>
      <c r="D17" s="183"/>
      <c r="E17" s="183"/>
      <c r="F17" s="183"/>
      <c r="G17" s="183"/>
      <c r="H17" s="183"/>
      <c r="I17" s="183"/>
      <c r="J17" s="183"/>
      <c r="K17" s="183"/>
      <c r="L17" s="183"/>
      <c r="M17" s="183"/>
      <c r="N17" s="183"/>
    </row>
    <row r="18" spans="1:14">
      <c r="A18" s="1030" t="s">
        <v>1136</v>
      </c>
      <c r="B18" s="1030"/>
      <c r="C18" s="1030"/>
      <c r="D18" s="1030"/>
      <c r="E18" s="1030"/>
      <c r="F18" s="1030"/>
      <c r="G18" s="1030"/>
      <c r="H18" s="1030"/>
      <c r="I18" s="1030"/>
      <c r="J18" s="1030"/>
      <c r="K18" s="1030"/>
      <c r="L18" s="1030"/>
      <c r="M18" s="1030"/>
      <c r="N18" s="1030"/>
    </row>
    <row r="19" spans="1:14">
      <c r="A19" s="183"/>
      <c r="B19" s="183"/>
      <c r="C19" s="183"/>
      <c r="D19" s="183"/>
      <c r="E19" s="183"/>
      <c r="F19" s="183"/>
      <c r="G19" s="183"/>
      <c r="H19" s="183"/>
      <c r="I19" s="183"/>
      <c r="J19" s="183"/>
      <c r="K19" s="183"/>
      <c r="L19" s="183"/>
      <c r="M19" s="183"/>
      <c r="N19" s="183"/>
    </row>
    <row r="20" spans="1:14">
      <c r="A20" s="183"/>
      <c r="B20" s="183"/>
      <c r="C20" s="184" t="s">
        <v>1137</v>
      </c>
      <c r="D20" s="1027" t="s">
        <v>1138</v>
      </c>
      <c r="E20" s="1027"/>
      <c r="F20" s="1027"/>
      <c r="G20" s="1027"/>
      <c r="H20" s="1027"/>
      <c r="I20" s="1027"/>
      <c r="J20" s="1027"/>
      <c r="K20" s="1027"/>
      <c r="L20" s="1027"/>
      <c r="M20" s="1027"/>
      <c r="N20" s="1027"/>
    </row>
    <row r="21" spans="1:14">
      <c r="A21" s="183"/>
      <c r="B21" s="183"/>
      <c r="C21" s="184" t="s">
        <v>1139</v>
      </c>
      <c r="D21" s="1027" t="s">
        <v>1090</v>
      </c>
      <c r="E21" s="1027"/>
      <c r="F21" s="1027"/>
      <c r="G21" s="1027"/>
      <c r="H21" s="1027"/>
      <c r="I21" s="1027"/>
      <c r="J21" s="1027"/>
      <c r="K21" s="1027"/>
      <c r="L21" s="1027"/>
      <c r="M21" s="1027"/>
      <c r="N21" s="1027"/>
    </row>
    <row r="22" spans="1:14">
      <c r="A22" s="183"/>
      <c r="B22" s="183"/>
      <c r="C22" s="184" t="s">
        <v>1140</v>
      </c>
      <c r="D22" s="1027"/>
      <c r="E22" s="1027"/>
      <c r="F22" s="1027"/>
      <c r="G22" s="1027"/>
      <c r="H22" s="1027"/>
      <c r="I22" s="1027"/>
      <c r="J22" s="1027"/>
      <c r="K22" s="1027"/>
      <c r="L22" s="1027"/>
      <c r="M22" s="1027"/>
      <c r="N22" s="1027"/>
    </row>
    <row r="23" spans="1:14">
      <c r="A23" s="183"/>
      <c r="B23" s="183"/>
      <c r="C23" s="184" t="s">
        <v>1141</v>
      </c>
      <c r="D23" s="1027"/>
      <c r="E23" s="1027"/>
      <c r="F23" s="1027"/>
      <c r="G23" s="1027"/>
      <c r="H23" s="1027"/>
      <c r="I23" s="1027"/>
      <c r="J23" s="1027"/>
      <c r="K23" s="1027"/>
      <c r="L23" s="1027"/>
      <c r="M23" s="1027"/>
      <c r="N23" s="1027"/>
    </row>
    <row r="24" spans="1:14">
      <c r="A24" s="183"/>
      <c r="B24" s="183"/>
      <c r="C24" s="183"/>
      <c r="D24" s="183"/>
      <c r="E24" s="183"/>
      <c r="F24" s="183"/>
      <c r="G24" s="183"/>
      <c r="H24" s="183"/>
      <c r="I24" s="183"/>
      <c r="J24" s="183"/>
      <c r="K24" s="183"/>
      <c r="L24" s="183"/>
      <c r="M24" s="183"/>
      <c r="N24" s="183"/>
    </row>
    <row r="25" spans="1:14">
      <c r="A25" s="183"/>
      <c r="B25" s="183"/>
      <c r="C25" s="183"/>
      <c r="D25" s="183"/>
      <c r="E25" s="183"/>
      <c r="F25" s="183"/>
      <c r="G25" s="183"/>
      <c r="H25" s="183"/>
      <c r="I25" s="183"/>
      <c r="J25" s="183"/>
      <c r="K25" s="183"/>
      <c r="L25" s="183"/>
      <c r="M25" s="183"/>
      <c r="N25" s="183"/>
    </row>
    <row r="26" spans="1:14">
      <c r="A26" s="183"/>
      <c r="B26" s="183"/>
      <c r="C26" s="183"/>
      <c r="D26" s="183"/>
      <c r="E26" s="183"/>
      <c r="F26" s="183"/>
      <c r="G26" s="183"/>
      <c r="H26" s="183"/>
      <c r="I26" s="183"/>
      <c r="J26" s="183"/>
      <c r="K26" s="183"/>
      <c r="L26" s="183"/>
      <c r="M26" s="183"/>
      <c r="N26" s="183"/>
    </row>
    <row r="27" spans="1:14">
      <c r="A27" s="183"/>
      <c r="B27" s="183"/>
      <c r="C27" s="183"/>
      <c r="D27" s="183"/>
      <c r="E27" s="183"/>
      <c r="F27" s="183"/>
      <c r="G27" s="183"/>
      <c r="H27" s="183"/>
      <c r="I27" s="183"/>
      <c r="J27" s="183"/>
      <c r="K27" s="183"/>
      <c r="L27" s="183"/>
      <c r="M27" s="183"/>
      <c r="N27" s="183"/>
    </row>
    <row r="28" spans="1:14">
      <c r="A28" s="183"/>
      <c r="B28" s="183"/>
      <c r="C28" s="183"/>
      <c r="D28" s="183"/>
      <c r="E28" s="183"/>
      <c r="F28" s="183"/>
      <c r="G28" s="183"/>
      <c r="H28" s="183"/>
      <c r="I28" s="183"/>
      <c r="J28" s="183"/>
      <c r="K28" s="183"/>
      <c r="L28" s="183"/>
      <c r="M28" s="183"/>
      <c r="N28" s="183"/>
    </row>
    <row r="29" spans="1:14">
      <c r="A29" s="183"/>
      <c r="B29" s="183"/>
      <c r="C29" s="183"/>
      <c r="D29" s="183"/>
      <c r="E29" s="183"/>
      <c r="F29" s="183"/>
      <c r="G29" s="183"/>
      <c r="H29" s="183"/>
      <c r="I29" s="183"/>
      <c r="J29" s="183"/>
      <c r="K29" s="183"/>
      <c r="L29" s="183"/>
      <c r="M29" s="183"/>
      <c r="N29" s="183"/>
    </row>
    <row r="30" spans="1:14">
      <c r="A30" s="183"/>
      <c r="B30" s="183"/>
      <c r="C30" s="183"/>
      <c r="D30" s="183"/>
      <c r="E30" s="183"/>
      <c r="F30" s="183"/>
      <c r="G30" s="183"/>
      <c r="H30" s="183"/>
      <c r="I30" s="183"/>
      <c r="J30" s="183"/>
      <c r="K30" s="183"/>
      <c r="L30" s="183"/>
      <c r="M30" s="183"/>
      <c r="N30" s="183"/>
    </row>
    <row r="31" spans="1:14">
      <c r="A31" s="183"/>
      <c r="B31" s="183"/>
      <c r="C31" s="183"/>
      <c r="D31" s="183"/>
      <c r="E31" s="183"/>
      <c r="F31" s="183"/>
      <c r="G31" s="183"/>
      <c r="H31" s="183"/>
      <c r="I31" s="183"/>
      <c r="J31" s="183"/>
      <c r="K31" s="183"/>
      <c r="L31" s="183"/>
      <c r="M31" s="183"/>
      <c r="N31" s="183"/>
    </row>
    <row r="32" spans="1:14">
      <c r="A32" s="183"/>
      <c r="B32" s="183"/>
      <c r="C32" s="183"/>
      <c r="D32" s="183"/>
      <c r="E32" s="183"/>
      <c r="F32" s="183"/>
      <c r="G32" s="183"/>
      <c r="H32" s="183"/>
      <c r="I32" s="183"/>
      <c r="J32" s="183"/>
      <c r="K32" s="183"/>
      <c r="L32" s="183"/>
      <c r="M32" s="183"/>
      <c r="N32" s="183"/>
    </row>
    <row r="33" spans="1:14">
      <c r="A33" s="183"/>
      <c r="B33" s="183"/>
      <c r="C33" s="183"/>
      <c r="D33" s="183"/>
      <c r="E33" s="183"/>
      <c r="F33" s="183"/>
      <c r="G33" s="183"/>
      <c r="H33" s="183"/>
      <c r="I33" s="183"/>
      <c r="J33" s="183"/>
      <c r="K33" s="183"/>
      <c r="L33" s="183"/>
      <c r="M33" s="183"/>
      <c r="N33" s="183"/>
    </row>
    <row r="34" spans="1:14">
      <c r="A34" s="183"/>
      <c r="B34" s="183"/>
      <c r="C34" s="183"/>
      <c r="D34" s="183"/>
      <c r="E34" s="183"/>
      <c r="F34" s="183"/>
      <c r="G34" s="183"/>
      <c r="H34" s="183"/>
      <c r="I34" s="183"/>
      <c r="J34" s="183"/>
      <c r="K34" s="183"/>
      <c r="L34" s="183"/>
      <c r="M34" s="183"/>
      <c r="N34" s="183"/>
    </row>
    <row r="35" spans="1:14">
      <c r="A35" s="1028" t="s">
        <v>1142</v>
      </c>
      <c r="B35" s="1028"/>
      <c r="C35" s="1028"/>
      <c r="D35" s="1028"/>
      <c r="E35" s="1028"/>
      <c r="F35" s="1028"/>
      <c r="G35" s="1028"/>
      <c r="H35" s="1028"/>
      <c r="I35" s="1028"/>
      <c r="J35" s="1028"/>
      <c r="K35" s="1028"/>
      <c r="L35" s="1028"/>
      <c r="M35" s="1028"/>
      <c r="N35" s="1028"/>
    </row>
  </sheetData>
  <mergeCells count="13">
    <mergeCell ref="A5:C5"/>
    <mergeCell ref="E5:N5"/>
    <mergeCell ref="A6:C6"/>
    <mergeCell ref="E6:N6"/>
    <mergeCell ref="A7:C7"/>
    <mergeCell ref="E7:N7"/>
    <mergeCell ref="D23:N23"/>
    <mergeCell ref="A35:N35"/>
    <mergeCell ref="A16:N16"/>
    <mergeCell ref="A18:N18"/>
    <mergeCell ref="D20:N20"/>
    <mergeCell ref="D21:N21"/>
    <mergeCell ref="D22:N22"/>
  </mergeCells>
  <hyperlinks>
    <hyperlink ref="A6" r:id="rId1" xr:uid="{00000000-0004-0000-2000-000000000000}"/>
  </hyperlinks>
  <pageMargins left="1.18" right="0.59" top="0.79" bottom="0.79" header="0.3" footer="0.3"/>
  <pageSetup paperSize="9" scale="85"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22"/>
  </sheetPr>
  <dimension ref="A1:N31"/>
  <sheetViews>
    <sheetView showZeros="0" topLeftCell="A13" workbookViewId="0">
      <selection activeCell="C10" sqref="C10"/>
    </sheetView>
  </sheetViews>
  <sheetFormatPr defaultColWidth="9.44140625" defaultRowHeight="15.6"/>
  <cols>
    <col min="1" max="2" width="9.44140625" style="181"/>
    <col min="3" max="3" width="23.21875" style="181" customWidth="1"/>
    <col min="4" max="4" width="14" style="181" customWidth="1"/>
    <col min="5" max="16384" width="9.44140625" style="181"/>
  </cols>
  <sheetData>
    <row r="1" spans="1:14">
      <c r="A1" s="183"/>
      <c r="B1" s="183"/>
      <c r="C1" s="183"/>
      <c r="D1" s="183"/>
      <c r="E1" s="183"/>
      <c r="F1" s="183"/>
      <c r="G1" s="183"/>
      <c r="H1" s="183"/>
      <c r="I1" s="183"/>
      <c r="J1" s="183"/>
      <c r="K1" s="183"/>
      <c r="L1" s="183"/>
      <c r="M1" s="183"/>
      <c r="N1" s="183"/>
    </row>
    <row r="2" spans="1:14">
      <c r="A2" s="1028" t="s">
        <v>1131</v>
      </c>
      <c r="B2" s="1028"/>
      <c r="C2" s="1028"/>
      <c r="D2" s="183"/>
      <c r="E2" s="1028" t="s">
        <v>0</v>
      </c>
      <c r="F2" s="1028"/>
      <c r="G2" s="1028"/>
      <c r="H2" s="1028"/>
      <c r="I2" s="1028"/>
      <c r="J2" s="1028"/>
      <c r="K2" s="1028"/>
      <c r="L2" s="1028"/>
      <c r="M2" s="1028"/>
      <c r="N2" s="1028"/>
    </row>
    <row r="3" spans="1:14">
      <c r="A3" s="1031" t="s">
        <v>1132</v>
      </c>
      <c r="B3" s="1032"/>
      <c r="C3" s="1032"/>
      <c r="D3" s="183"/>
      <c r="E3" s="1028" t="s">
        <v>1085</v>
      </c>
      <c r="F3" s="1028"/>
      <c r="G3" s="1028"/>
      <c r="H3" s="1028"/>
      <c r="I3" s="1028"/>
      <c r="J3" s="1028"/>
      <c r="K3" s="1028"/>
      <c r="L3" s="1028"/>
      <c r="M3" s="1028"/>
      <c r="N3" s="1028"/>
    </row>
    <row r="4" spans="1:14">
      <c r="A4" s="1033" t="s">
        <v>1133</v>
      </c>
      <c r="B4" s="1033"/>
      <c r="C4" s="1033"/>
      <c r="D4" s="183"/>
      <c r="E4" s="1033" t="s">
        <v>1134</v>
      </c>
      <c r="F4" s="1033"/>
      <c r="G4" s="1033"/>
      <c r="H4" s="1033"/>
      <c r="I4" s="1033"/>
      <c r="J4" s="1033"/>
      <c r="K4" s="1033"/>
      <c r="L4" s="1033"/>
      <c r="M4" s="1033"/>
      <c r="N4" s="1033"/>
    </row>
    <row r="5" spans="1:14">
      <c r="A5" s="1033" t="s">
        <v>1136</v>
      </c>
      <c r="B5" s="1033"/>
      <c r="C5" s="1033"/>
      <c r="D5" s="183"/>
      <c r="E5" s="183"/>
      <c r="F5" s="183"/>
      <c r="G5" s="183"/>
      <c r="H5" s="183"/>
      <c r="I5" s="183"/>
      <c r="J5" s="183"/>
      <c r="K5" s="183"/>
      <c r="L5" s="183"/>
      <c r="M5" s="183"/>
      <c r="N5" s="183"/>
    </row>
    <row r="6" spans="1:14">
      <c r="A6" s="183"/>
      <c r="B6" s="183"/>
      <c r="C6" s="183"/>
      <c r="D6" s="183"/>
      <c r="E6" s="183"/>
      <c r="F6" s="183"/>
      <c r="G6" s="183"/>
      <c r="H6" s="183"/>
      <c r="I6" s="183"/>
      <c r="J6" s="183"/>
      <c r="K6" s="183"/>
      <c r="L6" s="183"/>
      <c r="M6" s="183"/>
      <c r="N6" s="183"/>
    </row>
    <row r="7" spans="1:14">
      <c r="A7" s="183"/>
      <c r="B7" s="183"/>
      <c r="C7" s="183"/>
      <c r="D7" s="183"/>
      <c r="E7" s="183"/>
      <c r="F7" s="183"/>
      <c r="G7" s="183"/>
      <c r="H7" s="183"/>
      <c r="I7" s="183"/>
      <c r="J7" s="183"/>
      <c r="K7" s="183"/>
      <c r="L7" s="183"/>
      <c r="M7" s="183"/>
      <c r="N7" s="183"/>
    </row>
    <row r="8" spans="1:14">
      <c r="A8" s="183"/>
      <c r="B8" s="183"/>
      <c r="C8" s="183"/>
      <c r="D8" s="183"/>
      <c r="E8" s="183"/>
      <c r="F8" s="183"/>
      <c r="G8" s="183"/>
      <c r="H8" s="183"/>
      <c r="I8" s="183"/>
      <c r="J8" s="183"/>
      <c r="K8" s="183"/>
      <c r="L8" s="183"/>
      <c r="M8" s="183"/>
      <c r="N8" s="183"/>
    </row>
    <row r="9" spans="1:14">
      <c r="A9" s="183"/>
      <c r="B9" s="183"/>
      <c r="C9" s="183"/>
      <c r="D9" s="183"/>
      <c r="E9" s="183"/>
      <c r="F9" s="183"/>
      <c r="G9" s="183"/>
      <c r="H9" s="183"/>
      <c r="I9" s="183"/>
      <c r="J9" s="183"/>
      <c r="K9" s="183"/>
      <c r="L9" s="183"/>
      <c r="M9" s="183"/>
      <c r="N9" s="183"/>
    </row>
    <row r="10" spans="1:14">
      <c r="A10" s="183"/>
      <c r="B10" s="183"/>
      <c r="C10" s="183"/>
      <c r="D10" s="183"/>
      <c r="E10" s="183"/>
      <c r="F10" s="183"/>
      <c r="G10" s="183"/>
      <c r="H10" s="183"/>
      <c r="I10" s="183"/>
      <c r="J10" s="183"/>
      <c r="K10" s="183"/>
      <c r="L10" s="183"/>
      <c r="M10" s="183"/>
      <c r="N10" s="183"/>
    </row>
    <row r="11" spans="1:14">
      <c r="A11" s="183"/>
      <c r="B11" s="183"/>
      <c r="C11" s="183"/>
      <c r="D11" s="183"/>
      <c r="E11" s="183"/>
      <c r="F11" s="183"/>
      <c r="G11" s="183"/>
      <c r="H11" s="183"/>
      <c r="I11" s="183"/>
      <c r="J11" s="183"/>
      <c r="K11" s="183"/>
      <c r="L11" s="183"/>
      <c r="M11" s="183"/>
      <c r="N11" s="183"/>
    </row>
    <row r="12" spans="1:14">
      <c r="A12" s="183"/>
      <c r="B12" s="183"/>
      <c r="C12" s="183"/>
      <c r="D12" s="183"/>
      <c r="E12" s="183"/>
      <c r="F12" s="183"/>
      <c r="G12" s="183"/>
      <c r="H12" s="183"/>
      <c r="I12" s="183"/>
      <c r="J12" s="183"/>
      <c r="K12" s="183"/>
      <c r="L12" s="183"/>
      <c r="M12" s="183"/>
      <c r="N12" s="183"/>
    </row>
    <row r="13" spans="1:14" ht="20.399999999999999">
      <c r="A13" s="1029" t="s">
        <v>1135</v>
      </c>
      <c r="B13" s="1029"/>
      <c r="C13" s="1029"/>
      <c r="D13" s="1029"/>
      <c r="E13" s="1029"/>
      <c r="F13" s="1029"/>
      <c r="G13" s="1029"/>
      <c r="H13" s="1029"/>
      <c r="I13" s="1029"/>
      <c r="J13" s="1029"/>
      <c r="K13" s="1029"/>
      <c r="L13" s="1029"/>
      <c r="M13" s="1029"/>
      <c r="N13" s="1029"/>
    </row>
    <row r="14" spans="1:14">
      <c r="A14" s="183"/>
      <c r="B14" s="183"/>
      <c r="C14" s="183"/>
      <c r="D14" s="183"/>
      <c r="E14" s="183"/>
      <c r="F14" s="183"/>
      <c r="G14" s="183"/>
      <c r="H14" s="183"/>
      <c r="I14" s="183"/>
      <c r="J14" s="183"/>
      <c r="K14" s="183"/>
      <c r="L14" s="183"/>
      <c r="M14" s="183"/>
      <c r="N14" s="183"/>
    </row>
    <row r="15" spans="1:14">
      <c r="A15" s="183"/>
      <c r="B15" s="183"/>
      <c r="C15" s="184" t="s">
        <v>1137</v>
      </c>
      <c r="D15" s="1027" t="s">
        <v>1138</v>
      </c>
      <c r="E15" s="1027"/>
      <c r="F15" s="1027"/>
      <c r="G15" s="1027"/>
      <c r="H15" s="1027"/>
      <c r="I15" s="1027"/>
      <c r="J15" s="1027"/>
      <c r="K15" s="1027"/>
      <c r="L15" s="1027"/>
      <c r="M15" s="1027"/>
      <c r="N15" s="1027"/>
    </row>
    <row r="16" spans="1:14">
      <c r="A16" s="183"/>
      <c r="B16" s="183"/>
      <c r="C16" s="184" t="s">
        <v>1139</v>
      </c>
      <c r="D16" s="1027" t="s">
        <v>1090</v>
      </c>
      <c r="E16" s="1027"/>
      <c r="F16" s="1027"/>
      <c r="G16" s="1027"/>
      <c r="H16" s="1027"/>
      <c r="I16" s="1027"/>
      <c r="J16" s="1027"/>
      <c r="K16" s="1027"/>
      <c r="L16" s="1027"/>
      <c r="M16" s="1027"/>
      <c r="N16" s="1027"/>
    </row>
    <row r="17" spans="1:14">
      <c r="A17" s="183"/>
      <c r="B17" s="183"/>
      <c r="C17" s="184" t="s">
        <v>1140</v>
      </c>
      <c r="D17" s="1027"/>
      <c r="E17" s="1027"/>
      <c r="F17" s="1027"/>
      <c r="G17" s="1027"/>
      <c r="H17" s="1027"/>
      <c r="I17" s="1027"/>
      <c r="J17" s="1027"/>
      <c r="K17" s="1027"/>
      <c r="L17" s="1027"/>
      <c r="M17" s="1027"/>
      <c r="N17" s="1027"/>
    </row>
    <row r="18" spans="1:14">
      <c r="A18" s="183"/>
      <c r="B18" s="183"/>
      <c r="C18" s="184" t="s">
        <v>1141</v>
      </c>
      <c r="D18" s="1027"/>
      <c r="E18" s="1027"/>
      <c r="F18" s="1027"/>
      <c r="G18" s="1027"/>
      <c r="H18" s="1027"/>
      <c r="I18" s="1027"/>
      <c r="J18" s="1027"/>
      <c r="K18" s="1027"/>
      <c r="L18" s="1027"/>
      <c r="M18" s="1027"/>
      <c r="N18" s="1027"/>
    </row>
    <row r="19" spans="1:14">
      <c r="A19" s="183"/>
      <c r="B19" s="183"/>
      <c r="C19" s="183"/>
      <c r="D19" s="183"/>
      <c r="E19" s="183"/>
      <c r="F19" s="183"/>
      <c r="G19" s="183"/>
      <c r="H19" s="183"/>
      <c r="I19" s="183"/>
      <c r="J19" s="183"/>
      <c r="K19" s="183"/>
      <c r="L19" s="183"/>
      <c r="M19" s="183"/>
      <c r="N19" s="183"/>
    </row>
    <row r="20" spans="1:14" ht="16.2">
      <c r="A20" s="183"/>
      <c r="B20" s="183"/>
      <c r="C20" s="185" t="s">
        <v>1143</v>
      </c>
      <c r="D20" s="1034">
        <v>7360582000</v>
      </c>
      <c r="E20" s="1034"/>
      <c r="F20" s="186" t="s">
        <v>102</v>
      </c>
      <c r="G20" s="183"/>
      <c r="H20" s="183"/>
      <c r="I20" s="183"/>
      <c r="J20" s="183"/>
      <c r="K20" s="183"/>
      <c r="L20" s="183"/>
      <c r="M20" s="183"/>
      <c r="N20" s="183"/>
    </row>
    <row r="21" spans="1:14" ht="16.2">
      <c r="A21" s="183"/>
      <c r="B21" s="183"/>
      <c r="C21" s="1035" t="s">
        <v>1144</v>
      </c>
      <c r="D21" s="1035"/>
      <c r="E21" s="1035"/>
      <c r="F21" s="1035"/>
      <c r="G21" s="1035"/>
      <c r="H21" s="1035"/>
      <c r="I21" s="1035"/>
      <c r="J21" s="1035"/>
      <c r="K21" s="1035"/>
      <c r="L21" s="1035"/>
      <c r="M21" s="1035"/>
      <c r="N21" s="183"/>
    </row>
    <row r="22" spans="1:14">
      <c r="A22" s="183"/>
      <c r="B22" s="183"/>
      <c r="C22" s="183"/>
      <c r="D22" s="183"/>
      <c r="E22" s="183"/>
      <c r="F22" s="183"/>
      <c r="G22" s="183"/>
      <c r="H22" s="183"/>
      <c r="I22" s="183"/>
      <c r="J22" s="183"/>
      <c r="K22" s="183"/>
      <c r="L22" s="183"/>
      <c r="M22" s="183"/>
      <c r="N22" s="183"/>
    </row>
    <row r="23" spans="1:14">
      <c r="A23" s="183"/>
      <c r="B23" s="183"/>
      <c r="C23" s="183"/>
      <c r="D23" s="183"/>
      <c r="E23" s="183"/>
      <c r="F23" s="183"/>
      <c r="G23" s="183"/>
      <c r="H23" s="183"/>
      <c r="I23" s="183"/>
      <c r="J23" s="183"/>
      <c r="K23" s="183"/>
      <c r="L23" s="183"/>
      <c r="M23" s="183"/>
      <c r="N23" s="183"/>
    </row>
    <row r="24" spans="1:14">
      <c r="A24" s="183"/>
      <c r="B24" s="183"/>
      <c r="C24" s="183"/>
      <c r="D24" s="183"/>
      <c r="E24" s="183"/>
      <c r="F24" s="1033" t="s">
        <v>1145</v>
      </c>
      <c r="G24" s="1033"/>
      <c r="H24" s="1033"/>
      <c r="I24" s="1033"/>
      <c r="J24" s="1033"/>
      <c r="K24" s="1033"/>
      <c r="L24" s="1033"/>
      <c r="M24" s="1033"/>
      <c r="N24" s="183"/>
    </row>
    <row r="25" spans="1:14">
      <c r="A25" s="183"/>
      <c r="B25" s="183"/>
      <c r="C25" s="183"/>
      <c r="D25" s="183"/>
      <c r="E25" s="183"/>
      <c r="F25" s="1028" t="s">
        <v>3</v>
      </c>
      <c r="G25" s="1028"/>
      <c r="H25" s="1028"/>
      <c r="I25" s="1028"/>
      <c r="J25" s="1028"/>
      <c r="K25" s="1028"/>
      <c r="L25" s="1028"/>
      <c r="M25" s="1028"/>
      <c r="N25" s="183"/>
    </row>
    <row r="26" spans="1:14">
      <c r="A26" s="183"/>
      <c r="B26" s="183"/>
      <c r="C26" s="183"/>
      <c r="D26" s="183"/>
      <c r="E26" s="183"/>
      <c r="F26" s="183"/>
      <c r="G26" s="183"/>
      <c r="H26" s="183"/>
      <c r="I26" s="183"/>
      <c r="J26" s="183"/>
      <c r="K26" s="183"/>
      <c r="L26" s="183"/>
      <c r="M26" s="183"/>
      <c r="N26" s="183"/>
    </row>
    <row r="27" spans="1:14">
      <c r="A27" s="183"/>
      <c r="B27" s="183"/>
      <c r="C27" s="183"/>
      <c r="D27" s="183"/>
      <c r="E27" s="183"/>
      <c r="F27" s="183"/>
      <c r="G27" s="183"/>
      <c r="H27" s="183"/>
      <c r="I27" s="183"/>
      <c r="J27" s="183"/>
      <c r="K27" s="183"/>
      <c r="L27" s="183"/>
      <c r="M27" s="183"/>
      <c r="N27" s="183"/>
    </row>
    <row r="28" spans="1:14">
      <c r="A28" s="183"/>
      <c r="B28" s="183"/>
      <c r="C28" s="183"/>
      <c r="D28" s="183"/>
      <c r="E28" s="183"/>
      <c r="F28" s="183"/>
      <c r="G28" s="183"/>
      <c r="H28" s="183"/>
      <c r="I28" s="183"/>
      <c r="J28" s="183"/>
      <c r="K28" s="183"/>
      <c r="L28" s="183"/>
      <c r="M28" s="183"/>
      <c r="N28" s="183"/>
    </row>
    <row r="29" spans="1:14">
      <c r="A29" s="183"/>
      <c r="B29" s="183"/>
      <c r="C29" s="183"/>
      <c r="D29" s="183"/>
      <c r="E29" s="183"/>
      <c r="F29" s="183"/>
      <c r="G29" s="183"/>
      <c r="H29" s="183"/>
      <c r="I29" s="183"/>
      <c r="J29" s="183"/>
      <c r="K29" s="183"/>
      <c r="L29" s="183"/>
      <c r="M29" s="183"/>
      <c r="N29" s="183"/>
    </row>
    <row r="30" spans="1:14">
      <c r="A30" s="183"/>
      <c r="B30" s="183"/>
      <c r="C30" s="183"/>
      <c r="D30" s="183"/>
      <c r="E30" s="183"/>
      <c r="F30" s="183"/>
      <c r="G30" s="183"/>
      <c r="H30" s="183"/>
      <c r="I30" s="183"/>
      <c r="J30" s="183"/>
      <c r="K30" s="183"/>
      <c r="L30" s="183"/>
      <c r="M30" s="183"/>
      <c r="N30" s="183"/>
    </row>
    <row r="31" spans="1:14">
      <c r="A31" s="182"/>
      <c r="B31" s="183"/>
      <c r="C31" s="183"/>
      <c r="D31" s="183"/>
      <c r="E31" s="183"/>
      <c r="F31" s="1033" t="s">
        <v>298</v>
      </c>
      <c r="G31" s="1033"/>
      <c r="H31" s="1033"/>
      <c r="I31" s="1033"/>
      <c r="J31" s="1033"/>
      <c r="K31" s="1033"/>
      <c r="L31" s="1033"/>
      <c r="M31" s="1033"/>
      <c r="N31" s="183"/>
    </row>
  </sheetData>
  <mergeCells count="17">
    <mergeCell ref="A2:C2"/>
    <mergeCell ref="E2:N2"/>
    <mergeCell ref="A3:C3"/>
    <mergeCell ref="E3:N3"/>
    <mergeCell ref="A4:C4"/>
    <mergeCell ref="E4:N4"/>
    <mergeCell ref="A5:C5"/>
    <mergeCell ref="A13:N13"/>
    <mergeCell ref="D15:N15"/>
    <mergeCell ref="D16:N16"/>
    <mergeCell ref="D17:N17"/>
    <mergeCell ref="F31:M31"/>
    <mergeCell ref="D18:N18"/>
    <mergeCell ref="D20:E20"/>
    <mergeCell ref="C21:M21"/>
    <mergeCell ref="F24:M24"/>
    <mergeCell ref="F25:M25"/>
  </mergeCells>
  <hyperlinks>
    <hyperlink ref="A3" r:id="rId1" xr:uid="{00000000-0004-0000-2100-000000000000}"/>
  </hyperlinks>
  <pageMargins left="1.18" right="0.59" top="0.79" bottom="0.79" header="0.3" footer="0.3"/>
  <pageSetup paperSize="9" scale="85"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22"/>
  </sheetPr>
  <dimension ref="A1:O34"/>
  <sheetViews>
    <sheetView showZeros="0" topLeftCell="A4" workbookViewId="0">
      <selection activeCell="A20" sqref="A20:O20"/>
    </sheetView>
  </sheetViews>
  <sheetFormatPr defaultColWidth="9.44140625" defaultRowHeight="15.6"/>
  <cols>
    <col min="1" max="16384" width="9.44140625" style="181"/>
  </cols>
  <sheetData>
    <row r="1" spans="1:15">
      <c r="A1" s="1028" t="s">
        <v>1131</v>
      </c>
      <c r="B1" s="1028"/>
      <c r="C1" s="1028"/>
      <c r="D1" s="1028"/>
      <c r="E1" s="1028"/>
      <c r="F1" s="183"/>
      <c r="G1" s="183"/>
      <c r="H1" s="1028" t="s">
        <v>1146</v>
      </c>
      <c r="I1" s="1028"/>
      <c r="J1" s="1028"/>
      <c r="K1" s="1028"/>
      <c r="L1" s="1028"/>
      <c r="M1" s="1028"/>
      <c r="N1" s="1028"/>
      <c r="O1" s="1028"/>
    </row>
    <row r="2" spans="1:15">
      <c r="A2" s="183"/>
      <c r="B2" s="183"/>
      <c r="C2" s="183"/>
      <c r="D2" s="183"/>
      <c r="E2" s="183"/>
      <c r="F2" s="183"/>
      <c r="G2" s="183"/>
      <c r="H2" s="1028" t="s">
        <v>1147</v>
      </c>
      <c r="I2" s="1028"/>
      <c r="J2" s="1028"/>
      <c r="K2" s="1028"/>
      <c r="L2" s="1028"/>
      <c r="M2" s="1028"/>
      <c r="N2" s="1028"/>
      <c r="O2" s="1028"/>
    </row>
    <row r="3" spans="1:15">
      <c r="A3" s="183"/>
      <c r="B3" s="183"/>
      <c r="C3" s="183"/>
      <c r="D3" s="183"/>
      <c r="E3" s="183"/>
      <c r="F3" s="183"/>
      <c r="G3" s="183"/>
      <c r="H3" s="183"/>
      <c r="I3" s="183"/>
      <c r="J3" s="183"/>
      <c r="K3" s="183"/>
      <c r="L3" s="183"/>
      <c r="M3" s="183"/>
      <c r="N3" s="183"/>
      <c r="O3" s="183"/>
    </row>
    <row r="4" spans="1:15">
      <c r="A4" s="183"/>
      <c r="B4" s="183"/>
      <c r="C4" s="183"/>
      <c r="D4" s="183"/>
      <c r="E4" s="183"/>
      <c r="F4" s="183"/>
      <c r="G4" s="183"/>
      <c r="H4" s="183"/>
      <c r="I4" s="183"/>
      <c r="J4" s="183"/>
      <c r="K4" s="183"/>
      <c r="L4" s="183"/>
      <c r="M4" s="183"/>
      <c r="N4" s="183"/>
      <c r="O4" s="183"/>
    </row>
    <row r="5" spans="1:15" ht="20.399999999999999">
      <c r="A5" s="1029" t="s">
        <v>1148</v>
      </c>
      <c r="B5" s="1029"/>
      <c r="C5" s="1029"/>
      <c r="D5" s="1029"/>
      <c r="E5" s="1029"/>
      <c r="F5" s="1029"/>
      <c r="G5" s="1029"/>
      <c r="H5" s="1029"/>
      <c r="I5" s="1029"/>
      <c r="J5" s="1029"/>
      <c r="K5" s="1029"/>
      <c r="L5" s="1029"/>
      <c r="M5" s="1029"/>
      <c r="N5" s="1029"/>
      <c r="O5" s="1029"/>
    </row>
    <row r="6" spans="1:15">
      <c r="A6" s="1028" t="s">
        <v>1149</v>
      </c>
      <c r="B6" s="1028"/>
      <c r="C6" s="1028"/>
      <c r="D6" s="1028"/>
      <c r="E6" s="1028"/>
      <c r="F6" s="1028"/>
      <c r="G6" s="1028"/>
      <c r="H6" s="1028"/>
      <c r="I6" s="1028"/>
      <c r="J6" s="1028"/>
      <c r="K6" s="1028"/>
      <c r="L6" s="1028"/>
      <c r="M6" s="1028"/>
      <c r="N6" s="1028"/>
      <c r="O6" s="1028"/>
    </row>
    <row r="7" spans="1:15" ht="21.75" customHeight="1">
      <c r="A7" s="1027" t="s">
        <v>1150</v>
      </c>
      <c r="B7" s="1027"/>
      <c r="C7" s="1027"/>
      <c r="D7" s="1027"/>
      <c r="E7" s="1027"/>
      <c r="F7" s="1027"/>
      <c r="G7" s="1027"/>
      <c r="H7" s="1027"/>
      <c r="I7" s="1027"/>
      <c r="J7" s="1027"/>
      <c r="K7" s="1027"/>
      <c r="L7" s="1027"/>
      <c r="M7" s="1027"/>
      <c r="N7" s="1027"/>
      <c r="O7" s="1027"/>
    </row>
    <row r="8" spans="1:15" ht="19.5" customHeight="1">
      <c r="A8" s="1027" t="s">
        <v>1151</v>
      </c>
      <c r="B8" s="1027"/>
      <c r="C8" s="1027"/>
      <c r="D8" s="1027"/>
      <c r="E8" s="1027"/>
      <c r="F8" s="1027"/>
      <c r="G8" s="1027"/>
      <c r="H8" s="1027"/>
      <c r="I8" s="1027"/>
      <c r="J8" s="1027"/>
      <c r="K8" s="1027"/>
      <c r="L8" s="1027"/>
      <c r="M8" s="1027"/>
      <c r="N8" s="1027"/>
      <c r="O8" s="1027"/>
    </row>
    <row r="9" spans="1:15" ht="18" customHeight="1">
      <c r="A9" s="1038" t="s">
        <v>1152</v>
      </c>
      <c r="B9" s="1036"/>
      <c r="C9" s="1036"/>
      <c r="D9" s="1036"/>
      <c r="E9" s="1036"/>
      <c r="F9" s="1036"/>
      <c r="G9" s="1036"/>
      <c r="H9" s="1036"/>
      <c r="I9" s="1036"/>
      <c r="J9" s="1036"/>
      <c r="K9" s="1036"/>
      <c r="L9" s="1036"/>
      <c r="M9" s="1036"/>
      <c r="N9" s="1036"/>
      <c r="O9" s="1036"/>
    </row>
    <row r="10" spans="1:15" ht="18" customHeight="1">
      <c r="A10" s="1038" t="s">
        <v>1153</v>
      </c>
      <c r="B10" s="1036"/>
      <c r="C10" s="1036"/>
      <c r="D10" s="1036"/>
      <c r="E10" s="1036"/>
      <c r="F10" s="1036"/>
      <c r="G10" s="1036"/>
      <c r="H10" s="1036"/>
      <c r="I10" s="1036"/>
      <c r="J10" s="1036"/>
      <c r="K10" s="1036"/>
      <c r="L10" s="1036"/>
      <c r="M10" s="1036"/>
      <c r="N10" s="1036"/>
      <c r="O10" s="1036"/>
    </row>
    <row r="11" spans="1:15" ht="18" customHeight="1">
      <c r="A11" s="1038" t="s">
        <v>1154</v>
      </c>
      <c r="B11" s="1036"/>
      <c r="C11" s="1036"/>
      <c r="D11" s="1036"/>
      <c r="E11" s="1036"/>
      <c r="F11" s="1036"/>
      <c r="G11" s="1036"/>
      <c r="H11" s="1036"/>
      <c r="I11" s="1036"/>
      <c r="J11" s="1036"/>
      <c r="K11" s="1036"/>
      <c r="L11" s="1036"/>
      <c r="M11" s="1036"/>
      <c r="N11" s="1036"/>
      <c r="O11" s="1036"/>
    </row>
    <row r="12" spans="1:15" ht="18" customHeight="1">
      <c r="A12" s="1038" t="s">
        <v>1155</v>
      </c>
      <c r="B12" s="1036"/>
      <c r="C12" s="1036"/>
      <c r="D12" s="1036"/>
      <c r="E12" s="1036"/>
      <c r="F12" s="1036"/>
      <c r="G12" s="1036"/>
      <c r="H12" s="1036"/>
      <c r="I12" s="1036"/>
      <c r="J12" s="1036"/>
      <c r="K12" s="1036"/>
      <c r="L12" s="1036"/>
      <c r="M12" s="1036"/>
      <c r="N12" s="1036"/>
      <c r="O12" s="1036"/>
    </row>
    <row r="13" spans="1:15" ht="18" customHeight="1">
      <c r="A13" s="1038" t="s">
        <v>1156</v>
      </c>
      <c r="B13" s="1036"/>
      <c r="C13" s="1036"/>
      <c r="D13" s="1036"/>
      <c r="E13" s="1036"/>
      <c r="F13" s="1036"/>
      <c r="G13" s="1036"/>
      <c r="H13" s="1036"/>
      <c r="I13" s="1036"/>
      <c r="J13" s="1036"/>
      <c r="K13" s="1036"/>
      <c r="L13" s="1036"/>
      <c r="M13" s="1036"/>
      <c r="N13" s="1036"/>
      <c r="O13" s="1036"/>
    </row>
    <row r="14" spans="1:15" ht="18" customHeight="1">
      <c r="A14" s="1038" t="s">
        <v>1157</v>
      </c>
      <c r="B14" s="1036"/>
      <c r="C14" s="1036"/>
      <c r="D14" s="1036"/>
      <c r="E14" s="1036"/>
      <c r="F14" s="1036"/>
      <c r="G14" s="1036"/>
      <c r="H14" s="1036"/>
      <c r="I14" s="1036"/>
      <c r="J14" s="1036"/>
      <c r="K14" s="1036"/>
      <c r="L14" s="1036"/>
      <c r="M14" s="1036"/>
      <c r="N14" s="1036"/>
      <c r="O14" s="1036"/>
    </row>
    <row r="15" spans="1:15" ht="18" customHeight="1">
      <c r="A15" s="1038" t="s">
        <v>1158</v>
      </c>
      <c r="B15" s="1036"/>
      <c r="C15" s="1036"/>
      <c r="D15" s="1036"/>
      <c r="E15" s="1036"/>
      <c r="F15" s="1036"/>
      <c r="G15" s="1036"/>
      <c r="H15" s="1036"/>
      <c r="I15" s="1036"/>
      <c r="J15" s="1036"/>
      <c r="K15" s="1036"/>
      <c r="L15" s="1036"/>
      <c r="M15" s="1036"/>
      <c r="N15" s="1036"/>
      <c r="O15" s="1036"/>
    </row>
    <row r="16" spans="1:15" ht="18" customHeight="1">
      <c r="A16" s="1038" t="s">
        <v>1159</v>
      </c>
      <c r="B16" s="1036"/>
      <c r="C16" s="1036"/>
      <c r="D16" s="1036"/>
      <c r="E16" s="1036"/>
      <c r="F16" s="1036"/>
      <c r="G16" s="1036"/>
      <c r="H16" s="1036"/>
      <c r="I16" s="1036"/>
      <c r="J16" s="1036"/>
      <c r="K16" s="1036"/>
      <c r="L16" s="1036"/>
      <c r="M16" s="1036"/>
      <c r="N16" s="1036"/>
      <c r="O16" s="1036"/>
    </row>
    <row r="17" spans="1:15" ht="18" customHeight="1">
      <c r="A17" s="1038" t="s">
        <v>1160</v>
      </c>
      <c r="B17" s="1036"/>
      <c r="C17" s="1036"/>
      <c r="D17" s="1036"/>
      <c r="E17" s="1036"/>
      <c r="F17" s="1036"/>
      <c r="G17" s="1036"/>
      <c r="H17" s="1036"/>
      <c r="I17" s="1036"/>
      <c r="J17" s="1036"/>
      <c r="K17" s="1036"/>
      <c r="L17" s="1036"/>
      <c r="M17" s="1036"/>
      <c r="N17" s="1036"/>
      <c r="O17" s="1036"/>
    </row>
    <row r="18" spans="1:15" ht="18" customHeight="1">
      <c r="A18" s="1038" t="s">
        <v>1161</v>
      </c>
      <c r="B18" s="1036"/>
      <c r="C18" s="1036"/>
      <c r="D18" s="1036"/>
      <c r="E18" s="1036"/>
      <c r="F18" s="1036"/>
      <c r="G18" s="1036"/>
      <c r="H18" s="1036"/>
      <c r="I18" s="1036"/>
      <c r="J18" s="1036"/>
      <c r="K18" s="1036"/>
      <c r="L18" s="1036"/>
      <c r="M18" s="1036"/>
      <c r="N18" s="1036"/>
      <c r="O18" s="1036"/>
    </row>
    <row r="19" spans="1:15" ht="19.5" customHeight="1">
      <c r="A19" s="1027" t="s">
        <v>1162</v>
      </c>
      <c r="B19" s="1027"/>
      <c r="C19" s="1027"/>
      <c r="D19" s="1027"/>
      <c r="E19" s="1027"/>
      <c r="F19" s="1027"/>
      <c r="G19" s="1027"/>
      <c r="H19" s="1027"/>
      <c r="I19" s="1027"/>
      <c r="J19" s="1027"/>
      <c r="K19" s="1027"/>
      <c r="L19" s="1027"/>
      <c r="M19" s="1027"/>
      <c r="N19" s="1027"/>
      <c r="O19" s="1027"/>
    </row>
    <row r="20" spans="1:15" ht="18" customHeight="1">
      <c r="A20" s="1038" t="s">
        <v>1163</v>
      </c>
      <c r="B20" s="1036"/>
      <c r="C20" s="1036"/>
      <c r="D20" s="1036"/>
      <c r="E20" s="1036"/>
      <c r="F20" s="1036"/>
      <c r="G20" s="1036"/>
      <c r="H20" s="1036"/>
      <c r="I20" s="1036"/>
      <c r="J20" s="1036"/>
      <c r="K20" s="1036"/>
      <c r="L20" s="1036"/>
      <c r="M20" s="1036"/>
      <c r="N20" s="1036"/>
      <c r="O20" s="1036"/>
    </row>
    <row r="21" spans="1:15" ht="18" customHeight="1">
      <c r="A21" s="1038" t="s">
        <v>1164</v>
      </c>
      <c r="B21" s="1036"/>
      <c r="C21" s="1036"/>
      <c r="D21" s="1036"/>
      <c r="E21" s="1036"/>
      <c r="F21" s="1036"/>
      <c r="G21" s="1036"/>
      <c r="H21" s="1036"/>
      <c r="I21" s="1036"/>
      <c r="J21" s="1036"/>
      <c r="K21" s="1036"/>
      <c r="L21" s="1036"/>
      <c r="M21" s="1036"/>
      <c r="N21" s="1036"/>
      <c r="O21" s="1036"/>
    </row>
    <row r="22" spans="1:15" ht="18" customHeight="1">
      <c r="A22" s="1036" t="s">
        <v>1165</v>
      </c>
      <c r="B22" s="1036"/>
      <c r="C22" s="1036"/>
      <c r="D22" s="1036"/>
      <c r="E22" s="1036"/>
      <c r="F22" s="1036"/>
      <c r="G22" s="1036"/>
      <c r="H22" s="1036"/>
      <c r="I22" s="1036"/>
      <c r="J22" s="1036"/>
      <c r="K22" s="1036"/>
      <c r="L22" s="1036"/>
      <c r="M22" s="1036"/>
      <c r="N22" s="1036"/>
      <c r="O22" s="1036"/>
    </row>
    <row r="23" spans="1:15" ht="19.5" customHeight="1">
      <c r="A23" s="1027" t="s">
        <v>1166</v>
      </c>
      <c r="B23" s="1027"/>
      <c r="C23" s="1027"/>
      <c r="D23" s="1027"/>
      <c r="E23" s="1027"/>
      <c r="F23" s="1027"/>
      <c r="G23" s="1027"/>
      <c r="H23" s="1027"/>
      <c r="I23" s="1027"/>
      <c r="J23" s="1027"/>
      <c r="K23" s="1027"/>
      <c r="L23" s="1027"/>
      <c r="M23" s="1027"/>
      <c r="N23" s="1027"/>
      <c r="O23" s="1027"/>
    </row>
    <row r="24" spans="1:15" ht="18" customHeight="1">
      <c r="A24" s="1038" t="s">
        <v>1167</v>
      </c>
      <c r="B24" s="1036"/>
      <c r="C24" s="1036"/>
      <c r="D24" s="1036"/>
      <c r="E24" s="1036"/>
      <c r="F24" s="1036"/>
      <c r="G24" s="1036"/>
      <c r="H24" s="1036"/>
      <c r="I24" s="1036"/>
      <c r="J24" s="1036"/>
      <c r="K24" s="1036"/>
      <c r="L24" s="1036"/>
      <c r="M24" s="1036"/>
      <c r="N24" s="1036"/>
      <c r="O24" s="1036"/>
    </row>
    <row r="25" spans="1:15" ht="18" customHeight="1">
      <c r="A25" s="1038" t="s">
        <v>1168</v>
      </c>
      <c r="B25" s="1036"/>
      <c r="C25" s="1036"/>
      <c r="D25" s="1036"/>
      <c r="E25" s="1036"/>
      <c r="F25" s="1036"/>
      <c r="G25" s="1036"/>
      <c r="H25" s="1036"/>
      <c r="I25" s="1036"/>
      <c r="J25" s="1036"/>
      <c r="K25" s="1036"/>
      <c r="L25" s="1036"/>
      <c r="M25" s="1036"/>
      <c r="N25" s="1036"/>
      <c r="O25" s="1036"/>
    </row>
    <row r="26" spans="1:15" ht="18" customHeight="1">
      <c r="A26" s="1038" t="s">
        <v>1169</v>
      </c>
      <c r="B26" s="1036"/>
      <c r="C26" s="1036"/>
      <c r="D26" s="1036"/>
      <c r="E26" s="1036"/>
      <c r="F26" s="1036"/>
      <c r="G26" s="1036"/>
      <c r="H26" s="1036"/>
      <c r="I26" s="1036"/>
      <c r="J26" s="1036"/>
      <c r="K26" s="1036"/>
      <c r="L26" s="1036"/>
      <c r="M26" s="1036"/>
      <c r="N26" s="1036"/>
      <c r="O26" s="1036"/>
    </row>
    <row r="27" spans="1:15">
      <c r="A27" s="1036" t="s">
        <v>1165</v>
      </c>
      <c r="B27" s="1036"/>
      <c r="C27" s="1036"/>
      <c r="D27" s="1036"/>
      <c r="E27" s="1036"/>
      <c r="F27" s="1036"/>
      <c r="G27" s="1036"/>
      <c r="H27" s="1036"/>
      <c r="I27" s="1036"/>
      <c r="J27" s="1036"/>
      <c r="K27" s="1036"/>
      <c r="L27" s="1036"/>
      <c r="M27" s="1036"/>
      <c r="N27" s="1036"/>
      <c r="O27" s="1036"/>
    </row>
    <row r="28" spans="1:15">
      <c r="A28" s="1036"/>
      <c r="B28" s="1036"/>
      <c r="C28" s="1036"/>
      <c r="D28" s="1036"/>
      <c r="E28" s="1036"/>
      <c r="F28" s="1036"/>
      <c r="G28" s="1036"/>
      <c r="H28" s="1036"/>
      <c r="I28" s="1036"/>
      <c r="J28" s="1036"/>
      <c r="K28" s="1036"/>
      <c r="L28" s="1036"/>
      <c r="M28" s="1036"/>
      <c r="N28" s="1036"/>
      <c r="O28" s="1036"/>
    </row>
    <row r="29" spans="1:15">
      <c r="A29" s="1036"/>
      <c r="B29" s="1036"/>
      <c r="C29" s="1036"/>
      <c r="D29" s="1036"/>
      <c r="E29" s="1036"/>
      <c r="F29" s="1036"/>
      <c r="G29" s="1036"/>
      <c r="H29" s="1036"/>
      <c r="I29" s="1036"/>
      <c r="J29" s="1036"/>
      <c r="K29" s="1036"/>
      <c r="L29" s="1036"/>
      <c r="M29" s="1036"/>
      <c r="N29" s="1036"/>
      <c r="O29" s="1036"/>
    </row>
    <row r="30" spans="1:15">
      <c r="A30" s="1027" t="s">
        <v>1170</v>
      </c>
      <c r="B30" s="1027"/>
      <c r="C30" s="1027"/>
      <c r="D30" s="1037"/>
      <c r="E30" s="1037"/>
      <c r="F30" s="1037"/>
      <c r="G30" s="184" t="s">
        <v>102</v>
      </c>
      <c r="H30" s="183"/>
      <c r="I30" s="183"/>
      <c r="J30" s="183"/>
      <c r="K30" s="183"/>
      <c r="L30" s="183"/>
      <c r="M30" s="183"/>
      <c r="N30" s="183"/>
      <c r="O30" s="183"/>
    </row>
    <row r="31" spans="1:15" ht="16.2">
      <c r="A31" s="1035"/>
      <c r="B31" s="1035"/>
      <c r="C31" s="1035"/>
      <c r="D31" s="1035"/>
      <c r="E31" s="1035"/>
      <c r="F31" s="1035"/>
      <c r="G31" s="1035"/>
      <c r="H31" s="1035"/>
      <c r="I31" s="1035"/>
      <c r="J31" s="1035"/>
      <c r="K31" s="1035"/>
      <c r="L31" s="1035"/>
      <c r="M31" s="1035"/>
      <c r="N31" s="1035"/>
      <c r="O31" s="1035"/>
    </row>
    <row r="32" spans="1:15">
      <c r="A32" s="183"/>
      <c r="B32" s="183"/>
      <c r="C32" s="183"/>
      <c r="D32" s="183"/>
      <c r="E32" s="183"/>
      <c r="F32" s="183"/>
      <c r="G32" s="183"/>
      <c r="H32" s="183"/>
      <c r="I32" s="183"/>
      <c r="J32" s="183"/>
      <c r="K32" s="183"/>
      <c r="L32" s="183"/>
      <c r="M32" s="183"/>
      <c r="N32" s="183"/>
      <c r="O32" s="183"/>
    </row>
    <row r="33" spans="1:15">
      <c r="A33" s="183"/>
      <c r="B33" s="183"/>
      <c r="C33" s="183"/>
      <c r="D33" s="183"/>
      <c r="E33" s="183"/>
      <c r="F33" s="183"/>
      <c r="G33" s="183"/>
      <c r="H33" s="183"/>
      <c r="I33" s="183"/>
      <c r="J33" s="1033" t="s">
        <v>1145</v>
      </c>
      <c r="K33" s="1033"/>
      <c r="L33" s="1033"/>
      <c r="M33" s="1033"/>
      <c r="N33" s="1033"/>
      <c r="O33" s="1033"/>
    </row>
    <row r="34" spans="1:15">
      <c r="A34" s="1028" t="s">
        <v>1171</v>
      </c>
      <c r="B34" s="1028"/>
      <c r="C34" s="1028"/>
      <c r="D34" s="1028"/>
      <c r="E34" s="183"/>
      <c r="F34" s="183"/>
      <c r="G34" s="183"/>
      <c r="H34" s="183"/>
      <c r="I34" s="183"/>
      <c r="J34" s="1028" t="s">
        <v>2</v>
      </c>
      <c r="K34" s="1028"/>
      <c r="L34" s="1028"/>
      <c r="M34" s="1028"/>
      <c r="N34" s="1028"/>
      <c r="O34" s="1028"/>
    </row>
  </sheetData>
  <mergeCells count="34">
    <mergeCell ref="A1:E1"/>
    <mergeCell ref="H1:O1"/>
    <mergeCell ref="H2:O2"/>
    <mergeCell ref="A5:O5"/>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31:O31"/>
    <mergeCell ref="J33:O33"/>
    <mergeCell ref="A34:D34"/>
    <mergeCell ref="J34:O34"/>
    <mergeCell ref="A27:O27"/>
    <mergeCell ref="A28:O28"/>
    <mergeCell ref="A29:O29"/>
    <mergeCell ref="A30:C30"/>
    <mergeCell ref="D30:F30"/>
  </mergeCells>
  <pageMargins left="1.18" right="0.59" top="0.79" bottom="0.79" header="0.3" footer="0.3"/>
  <pageSetup paperSize="9" scale="85"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21"/>
  </sheetPr>
  <dimension ref="A1:F94"/>
  <sheetViews>
    <sheetView showZeros="0" topLeftCell="A55" workbookViewId="0">
      <selection activeCell="E63" sqref="E63"/>
    </sheetView>
  </sheetViews>
  <sheetFormatPr defaultColWidth="9.21875" defaultRowHeight="13.8"/>
  <cols>
    <col min="1" max="1" width="7.44140625" style="146" customWidth="1"/>
    <col min="2" max="2" width="5.77734375" style="147" customWidth="1"/>
    <col min="3" max="3" width="13.44140625" style="148" customWidth="1"/>
    <col min="4" max="4" width="39.44140625" style="146" customWidth="1"/>
    <col min="5" max="5" width="66.44140625" style="146" customWidth="1"/>
    <col min="6" max="6" width="25.21875" style="146" customWidth="1"/>
    <col min="7" max="16384" width="9.21875" style="146"/>
  </cols>
  <sheetData>
    <row r="1" spans="1:6">
      <c r="B1" s="1039" t="s">
        <v>1172</v>
      </c>
      <c r="C1" s="1039"/>
      <c r="D1" s="1040"/>
      <c r="E1" s="149"/>
    </row>
    <row r="2" spans="1:6" ht="17.399999999999999">
      <c r="B2" s="150"/>
      <c r="C2" s="151"/>
      <c r="D2" s="150"/>
      <c r="E2" s="150"/>
      <c r="F2" s="150"/>
    </row>
    <row r="3" spans="1:6">
      <c r="A3" s="146" t="s">
        <v>1173</v>
      </c>
      <c r="B3" s="1041" t="s">
        <v>1174</v>
      </c>
      <c r="C3" s="1041"/>
      <c r="D3" s="1041"/>
      <c r="E3" s="1041"/>
      <c r="F3" s="1041"/>
    </row>
    <row r="4" spans="1:6" ht="17.25" customHeight="1">
      <c r="B4" s="152" t="s">
        <v>5</v>
      </c>
      <c r="C4" s="153" t="s">
        <v>257</v>
      </c>
      <c r="D4" s="152" t="s">
        <v>1175</v>
      </c>
      <c r="E4" s="152" t="s">
        <v>90</v>
      </c>
      <c r="F4" s="152" t="s">
        <v>698</v>
      </c>
    </row>
    <row r="5" spans="1:6" ht="27.6">
      <c r="B5" s="154">
        <v>1</v>
      </c>
      <c r="C5" s="155"/>
      <c r="D5" s="156" t="s">
        <v>1176</v>
      </c>
      <c r="E5" s="157" t="s">
        <v>1138</v>
      </c>
      <c r="F5" s="158"/>
    </row>
    <row r="6" spans="1:6">
      <c r="B6" s="159">
        <f t="shared" ref="B6:B29" si="0">B5+1</f>
        <v>2</v>
      </c>
      <c r="C6" s="160"/>
      <c r="D6" s="161" t="s">
        <v>1177</v>
      </c>
      <c r="E6" s="162" t="s">
        <v>590</v>
      </c>
      <c r="F6" s="161"/>
    </row>
    <row r="7" spans="1:6">
      <c r="B7" s="159">
        <f t="shared" si="0"/>
        <v>3</v>
      </c>
      <c r="C7" s="160"/>
      <c r="D7" s="161" t="s">
        <v>1178</v>
      </c>
      <c r="E7" s="162" t="s">
        <v>590</v>
      </c>
      <c r="F7" s="161"/>
    </row>
    <row r="8" spans="1:6">
      <c r="B8" s="159">
        <f t="shared" si="0"/>
        <v>4</v>
      </c>
      <c r="C8" s="160"/>
      <c r="D8" s="161" t="s">
        <v>1179</v>
      </c>
      <c r="E8" s="162" t="s">
        <v>590</v>
      </c>
      <c r="F8" s="161"/>
    </row>
    <row r="9" spans="1:6">
      <c r="B9" s="159">
        <f t="shared" si="0"/>
        <v>5</v>
      </c>
      <c r="C9" s="160"/>
      <c r="D9" s="161" t="s">
        <v>143</v>
      </c>
      <c r="E9" s="161" t="s">
        <v>100</v>
      </c>
      <c r="F9" s="161"/>
    </row>
    <row r="10" spans="1:6">
      <c r="B10" s="159">
        <f t="shared" si="0"/>
        <v>6</v>
      </c>
      <c r="C10" s="160"/>
      <c r="D10" s="161" t="s">
        <v>1180</v>
      </c>
      <c r="E10" s="161" t="s">
        <v>1181</v>
      </c>
      <c r="F10" s="161"/>
    </row>
    <row r="11" spans="1:6">
      <c r="B11" s="159">
        <f t="shared" si="0"/>
        <v>7</v>
      </c>
      <c r="C11" s="160"/>
      <c r="D11" s="161" t="s">
        <v>110</v>
      </c>
      <c r="E11" s="161" t="s">
        <v>1182</v>
      </c>
      <c r="F11" s="161"/>
    </row>
    <row r="12" spans="1:6">
      <c r="B12" s="159">
        <f t="shared" si="0"/>
        <v>8</v>
      </c>
      <c r="C12" s="160"/>
      <c r="D12" s="161" t="s">
        <v>1183</v>
      </c>
      <c r="E12" s="161"/>
      <c r="F12" s="161"/>
    </row>
    <row r="13" spans="1:6">
      <c r="B13" s="159">
        <f t="shared" si="0"/>
        <v>9</v>
      </c>
      <c r="C13" s="160"/>
      <c r="D13" s="161"/>
      <c r="E13" s="161"/>
      <c r="F13" s="161"/>
    </row>
    <row r="14" spans="1:6">
      <c r="B14" s="159">
        <f t="shared" si="0"/>
        <v>10</v>
      </c>
      <c r="C14" s="160"/>
      <c r="D14" s="161"/>
      <c r="E14" s="161"/>
      <c r="F14" s="161"/>
    </row>
    <row r="15" spans="1:6">
      <c r="B15" s="159">
        <f t="shared" si="0"/>
        <v>11</v>
      </c>
      <c r="C15" s="160"/>
      <c r="D15" s="161"/>
      <c r="E15" s="161"/>
      <c r="F15" s="161"/>
    </row>
    <row r="16" spans="1:6">
      <c r="B16" s="159">
        <f t="shared" si="0"/>
        <v>12</v>
      </c>
      <c r="C16" s="160"/>
      <c r="D16" s="161" t="s">
        <v>1184</v>
      </c>
      <c r="E16" s="161" t="s">
        <v>1185</v>
      </c>
      <c r="F16" s="161"/>
    </row>
    <row r="17" spans="1:6">
      <c r="B17" s="159">
        <f t="shared" si="0"/>
        <v>13</v>
      </c>
      <c r="C17" s="160"/>
      <c r="D17" s="161" t="s">
        <v>1186</v>
      </c>
      <c r="E17" s="163">
        <v>45072.737997685203</v>
      </c>
      <c r="F17" s="161"/>
    </row>
    <row r="18" spans="1:6">
      <c r="B18" s="159">
        <f t="shared" si="0"/>
        <v>14</v>
      </c>
      <c r="C18" s="160"/>
      <c r="D18" s="161" t="s">
        <v>1187</v>
      </c>
      <c r="E18" s="161" t="s">
        <v>1188</v>
      </c>
      <c r="F18" s="161"/>
    </row>
    <row r="19" spans="1:6">
      <c r="B19" s="159">
        <f t="shared" si="0"/>
        <v>15</v>
      </c>
      <c r="C19" s="160"/>
      <c r="D19" s="161" t="s">
        <v>326</v>
      </c>
      <c r="E19" s="161" t="s">
        <v>1189</v>
      </c>
      <c r="F19" s="161"/>
    </row>
    <row r="20" spans="1:6">
      <c r="B20" s="159">
        <f t="shared" si="0"/>
        <v>16</v>
      </c>
      <c r="C20" s="160"/>
      <c r="D20" s="161"/>
      <c r="E20" s="161"/>
      <c r="F20" s="161"/>
    </row>
    <row r="21" spans="1:6">
      <c r="B21" s="159">
        <f t="shared" si="0"/>
        <v>17</v>
      </c>
      <c r="C21" s="160"/>
      <c r="D21" s="161"/>
      <c r="E21" s="161"/>
      <c r="F21" s="161"/>
    </row>
    <row r="22" spans="1:6">
      <c r="B22" s="159">
        <f t="shared" si="0"/>
        <v>18</v>
      </c>
      <c r="C22" s="160"/>
      <c r="D22" s="161"/>
      <c r="E22" s="161"/>
      <c r="F22" s="161"/>
    </row>
    <row r="23" spans="1:6">
      <c r="B23" s="159">
        <f t="shared" si="0"/>
        <v>19</v>
      </c>
      <c r="C23" s="160"/>
      <c r="D23" s="161"/>
      <c r="E23" s="161"/>
      <c r="F23" s="161"/>
    </row>
    <row r="24" spans="1:6">
      <c r="B24" s="159">
        <f t="shared" si="0"/>
        <v>20</v>
      </c>
      <c r="C24" s="160"/>
      <c r="D24" s="161"/>
      <c r="E24" s="161"/>
      <c r="F24" s="161"/>
    </row>
    <row r="25" spans="1:6">
      <c r="B25" s="159">
        <f t="shared" si="0"/>
        <v>21</v>
      </c>
      <c r="C25" s="160"/>
      <c r="D25" s="161"/>
      <c r="E25" s="161"/>
      <c r="F25" s="161"/>
    </row>
    <row r="26" spans="1:6">
      <c r="B26" s="159">
        <f t="shared" si="0"/>
        <v>22</v>
      </c>
      <c r="C26" s="160"/>
      <c r="D26" s="161"/>
      <c r="E26" s="161"/>
      <c r="F26" s="161"/>
    </row>
    <row r="27" spans="1:6">
      <c r="B27" s="159">
        <f t="shared" si="0"/>
        <v>23</v>
      </c>
      <c r="C27" s="160"/>
      <c r="D27" s="161"/>
      <c r="E27" s="161"/>
      <c r="F27" s="161"/>
    </row>
    <row r="28" spans="1:6">
      <c r="B28" s="159">
        <f t="shared" si="0"/>
        <v>24</v>
      </c>
      <c r="C28" s="160"/>
      <c r="D28" s="161"/>
      <c r="E28" s="161"/>
      <c r="F28" s="161"/>
    </row>
    <row r="29" spans="1:6">
      <c r="B29" s="164">
        <f t="shared" si="0"/>
        <v>25</v>
      </c>
      <c r="C29" s="165"/>
      <c r="D29" s="166"/>
      <c r="E29" s="166"/>
      <c r="F29" s="166"/>
    </row>
    <row r="31" spans="1:6">
      <c r="A31" s="146" t="s">
        <v>1173</v>
      </c>
      <c r="B31" s="1042" t="s">
        <v>1190</v>
      </c>
      <c r="C31" s="1042"/>
      <c r="D31" s="1042"/>
      <c r="E31" s="1042"/>
      <c r="F31" s="1042"/>
    </row>
    <row r="32" spans="1:6">
      <c r="B32" s="152" t="s">
        <v>5</v>
      </c>
      <c r="C32" s="153" t="s">
        <v>257</v>
      </c>
      <c r="D32" s="152" t="s">
        <v>1175</v>
      </c>
      <c r="E32" s="152" t="s">
        <v>1191</v>
      </c>
      <c r="F32" s="167"/>
    </row>
    <row r="33" spans="1:6" ht="15" customHeight="1">
      <c r="B33" s="154">
        <v>1</v>
      </c>
      <c r="C33" s="155"/>
      <c r="D33" s="156" t="s">
        <v>1088</v>
      </c>
      <c r="E33" s="156" t="s">
        <v>1192</v>
      </c>
      <c r="F33" s="168"/>
    </row>
    <row r="34" spans="1:6">
      <c r="B34" s="159">
        <f>B33+1</f>
        <v>2</v>
      </c>
      <c r="C34" s="160"/>
      <c r="D34" s="161" t="s">
        <v>326</v>
      </c>
      <c r="E34" s="161"/>
      <c r="F34" s="168"/>
    </row>
    <row r="35" spans="1:6">
      <c r="B35" s="154">
        <v>2</v>
      </c>
      <c r="C35" s="155"/>
      <c r="D35" s="161" t="s">
        <v>1193</v>
      </c>
      <c r="E35" s="161"/>
      <c r="F35" s="168"/>
    </row>
    <row r="36" spans="1:6">
      <c r="B36" s="159">
        <f>B35+1</f>
        <v>3</v>
      </c>
      <c r="C36" s="160"/>
      <c r="D36" s="161" t="s">
        <v>1194</v>
      </c>
      <c r="E36" s="161"/>
      <c r="F36" s="168"/>
    </row>
    <row r="37" spans="1:6">
      <c r="B37" s="154">
        <v>3</v>
      </c>
      <c r="C37" s="155"/>
      <c r="D37" s="161" t="s">
        <v>1195</v>
      </c>
      <c r="E37" s="161"/>
      <c r="F37" s="168"/>
    </row>
    <row r="38" spans="1:6">
      <c r="B38" s="159">
        <f>B37+1</f>
        <v>4</v>
      </c>
      <c r="C38" s="160"/>
      <c r="D38" s="161" t="s">
        <v>1196</v>
      </c>
      <c r="E38" s="161"/>
      <c r="F38" s="168"/>
    </row>
    <row r="39" spans="1:6">
      <c r="A39" s="146" t="s">
        <v>1173</v>
      </c>
      <c r="B39" s="154">
        <v>4</v>
      </c>
      <c r="C39" s="155"/>
      <c r="D39" s="169" t="s">
        <v>1197</v>
      </c>
      <c r="E39" s="161"/>
      <c r="F39" s="168"/>
    </row>
    <row r="40" spans="1:6">
      <c r="B40" s="159">
        <f>B39+1</f>
        <v>5</v>
      </c>
      <c r="C40" s="160"/>
      <c r="D40" s="170" t="s">
        <v>1198</v>
      </c>
      <c r="E40" s="161"/>
      <c r="F40" s="168"/>
    </row>
    <row r="41" spans="1:6">
      <c r="B41" s="154">
        <v>5</v>
      </c>
      <c r="C41" s="155"/>
      <c r="D41" s="170" t="s">
        <v>1199</v>
      </c>
      <c r="E41" s="161"/>
      <c r="F41" s="168"/>
    </row>
    <row r="42" spans="1:6">
      <c r="B42" s="159">
        <f>B41+1</f>
        <v>6</v>
      </c>
      <c r="C42" s="160"/>
      <c r="D42" s="170" t="s">
        <v>1200</v>
      </c>
      <c r="E42" s="161"/>
      <c r="F42" s="168"/>
    </row>
    <row r="43" spans="1:6">
      <c r="B43" s="154">
        <v>6</v>
      </c>
      <c r="C43" s="155"/>
      <c r="D43" s="170" t="s">
        <v>1201</v>
      </c>
      <c r="E43" s="161"/>
      <c r="F43" s="168"/>
    </row>
    <row r="44" spans="1:6">
      <c r="B44" s="159">
        <f>B43+1</f>
        <v>7</v>
      </c>
      <c r="C44" s="160"/>
      <c r="D44" s="170" t="s">
        <v>1202</v>
      </c>
      <c r="E44" s="161"/>
      <c r="F44" s="168"/>
    </row>
    <row r="45" spans="1:6">
      <c r="B45" s="154">
        <v>7</v>
      </c>
      <c r="C45" s="155"/>
      <c r="D45" s="170" t="s">
        <v>1203</v>
      </c>
      <c r="E45" s="161"/>
      <c r="F45" s="168"/>
    </row>
    <row r="46" spans="1:6">
      <c r="B46" s="159">
        <f>B45+1</f>
        <v>8</v>
      </c>
      <c r="C46" s="160"/>
      <c r="D46" s="170" t="s">
        <v>1204</v>
      </c>
      <c r="E46" s="161"/>
      <c r="F46" s="168"/>
    </row>
    <row r="47" spans="1:6">
      <c r="B47" s="154">
        <v>8</v>
      </c>
      <c r="C47" s="155"/>
      <c r="D47" s="170" t="s">
        <v>1205</v>
      </c>
      <c r="E47" s="161"/>
      <c r="F47" s="168"/>
    </row>
    <row r="48" spans="1:6">
      <c r="B48" s="159">
        <f t="shared" ref="B48:B53" si="1">B47+1</f>
        <v>9</v>
      </c>
      <c r="C48" s="160"/>
      <c r="D48" s="170" t="s">
        <v>1206</v>
      </c>
      <c r="E48" s="161"/>
      <c r="F48" s="168"/>
    </row>
    <row r="49" spans="1:6">
      <c r="B49" s="159">
        <f t="shared" si="1"/>
        <v>10</v>
      </c>
      <c r="C49" s="160"/>
      <c r="D49" s="170" t="s">
        <v>1207</v>
      </c>
      <c r="E49" s="161"/>
      <c r="F49" s="168"/>
    </row>
    <row r="50" spans="1:6">
      <c r="B50" s="159">
        <f t="shared" si="1"/>
        <v>11</v>
      </c>
      <c r="C50" s="171"/>
      <c r="D50" s="172" t="s">
        <v>1208</v>
      </c>
      <c r="E50" s="173"/>
      <c r="F50" s="168"/>
    </row>
    <row r="51" spans="1:6">
      <c r="B51" s="159">
        <f t="shared" si="1"/>
        <v>12</v>
      </c>
      <c r="C51" s="160"/>
      <c r="D51" s="174" t="s">
        <v>1209</v>
      </c>
      <c r="E51" s="173" t="s">
        <v>1210</v>
      </c>
      <c r="F51" s="168"/>
    </row>
    <row r="52" spans="1:6">
      <c r="B52" s="159">
        <f t="shared" si="1"/>
        <v>13</v>
      </c>
      <c r="C52" s="160"/>
      <c r="D52" s="174"/>
      <c r="E52" s="173"/>
      <c r="F52" s="168"/>
    </row>
    <row r="53" spans="1:6">
      <c r="B53" s="159">
        <f t="shared" si="1"/>
        <v>14</v>
      </c>
      <c r="C53" s="160"/>
      <c r="D53" s="174"/>
      <c r="E53" s="173"/>
      <c r="F53" s="168"/>
    </row>
    <row r="54" spans="1:6">
      <c r="B54" s="159"/>
      <c r="C54" s="160"/>
      <c r="D54" s="174"/>
      <c r="E54" s="173"/>
      <c r="F54" s="168"/>
    </row>
    <row r="55" spans="1:6">
      <c r="B55" s="159">
        <f>B53+1</f>
        <v>15</v>
      </c>
      <c r="C55" s="160"/>
      <c r="D55" s="174"/>
      <c r="E55" s="173"/>
      <c r="F55" s="168"/>
    </row>
    <row r="56" spans="1:6">
      <c r="B56" s="159">
        <f t="shared" ref="B56:B94" si="2">B55+1</f>
        <v>16</v>
      </c>
      <c r="C56" s="160"/>
      <c r="D56" s="174"/>
      <c r="E56" s="173"/>
      <c r="F56" s="168"/>
    </row>
    <row r="57" spans="1:6">
      <c r="A57" s="146" t="s">
        <v>1173</v>
      </c>
      <c r="B57" s="159">
        <f t="shared" si="2"/>
        <v>17</v>
      </c>
      <c r="C57" s="160"/>
      <c r="D57" s="175" t="s">
        <v>1211</v>
      </c>
      <c r="E57" s="175"/>
      <c r="F57" s="168"/>
    </row>
    <row r="58" spans="1:6">
      <c r="B58" s="159">
        <f t="shared" si="2"/>
        <v>18</v>
      </c>
      <c r="C58" s="160"/>
      <c r="D58" s="176"/>
      <c r="E58" s="177"/>
      <c r="F58" s="168"/>
    </row>
    <row r="59" spans="1:6">
      <c r="B59" s="159">
        <f t="shared" si="2"/>
        <v>19</v>
      </c>
      <c r="C59" s="160" t="s">
        <v>1212</v>
      </c>
      <c r="D59" s="176" t="s">
        <v>1213</v>
      </c>
      <c r="E59" s="178">
        <f>10%</f>
        <v>0.1</v>
      </c>
      <c r="F59" s="168"/>
    </row>
    <row r="60" spans="1:6">
      <c r="B60" s="159">
        <f t="shared" si="2"/>
        <v>20</v>
      </c>
      <c r="C60" s="160" t="s">
        <v>1214</v>
      </c>
      <c r="D60" s="176" t="s">
        <v>1215</v>
      </c>
      <c r="E60" s="178">
        <f>2.2%</f>
        <v>2.2000000000000002E-2</v>
      </c>
      <c r="F60" s="168"/>
    </row>
    <row r="61" spans="1:6">
      <c r="B61" s="159">
        <f t="shared" si="2"/>
        <v>21</v>
      </c>
      <c r="C61" s="160" t="s">
        <v>1216</v>
      </c>
      <c r="D61" s="176" t="s">
        <v>1099</v>
      </c>
      <c r="E61" s="178">
        <f>10%</f>
        <v>0.1</v>
      </c>
      <c r="F61" s="168"/>
    </row>
    <row r="62" spans="1:6">
      <c r="B62" s="159">
        <f t="shared" si="2"/>
        <v>22</v>
      </c>
      <c r="C62" s="160" t="s">
        <v>1217</v>
      </c>
      <c r="D62" s="176" t="s">
        <v>1218</v>
      </c>
      <c r="E62" s="177">
        <v>1</v>
      </c>
      <c r="F62" s="168"/>
    </row>
    <row r="63" spans="1:6">
      <c r="B63" s="159">
        <f t="shared" si="2"/>
        <v>23</v>
      </c>
      <c r="C63" s="160" t="s">
        <v>1219</v>
      </c>
      <c r="D63" s="176" t="s">
        <v>1220</v>
      </c>
      <c r="E63" s="178">
        <f>6%</f>
        <v>0.06</v>
      </c>
      <c r="F63" s="168"/>
    </row>
    <row r="64" spans="1:6">
      <c r="B64" s="159">
        <f t="shared" si="2"/>
        <v>24</v>
      </c>
      <c r="C64" s="160" t="s">
        <v>1221</v>
      </c>
      <c r="D64" s="179" t="s">
        <v>1222</v>
      </c>
      <c r="E64" s="178">
        <f>1%</f>
        <v>0.01</v>
      </c>
      <c r="F64" s="168"/>
    </row>
    <row r="65" spans="2:6">
      <c r="B65" s="159">
        <f t="shared" si="2"/>
        <v>25</v>
      </c>
      <c r="C65" s="160" t="s">
        <v>1223</v>
      </c>
      <c r="D65" s="176" t="s">
        <v>1224</v>
      </c>
      <c r="E65" s="178">
        <f>2%</f>
        <v>0.02</v>
      </c>
      <c r="F65" s="168"/>
    </row>
    <row r="66" spans="2:6">
      <c r="B66" s="159">
        <f t="shared" si="2"/>
        <v>26</v>
      </c>
      <c r="C66" s="160" t="s">
        <v>1225</v>
      </c>
      <c r="D66" s="180" t="s">
        <v>1226</v>
      </c>
      <c r="E66" s="177"/>
      <c r="F66" s="168"/>
    </row>
    <row r="67" spans="2:6">
      <c r="B67" s="159">
        <f t="shared" si="2"/>
        <v>27</v>
      </c>
      <c r="C67" s="160" t="s">
        <v>1227</v>
      </c>
      <c r="D67" s="180" t="s">
        <v>1228</v>
      </c>
      <c r="E67" s="178">
        <f>6.2%</f>
        <v>6.2E-2</v>
      </c>
      <c r="F67" s="168"/>
    </row>
    <row r="68" spans="2:6">
      <c r="B68" s="159">
        <f t="shared" si="2"/>
        <v>28</v>
      </c>
      <c r="C68" s="160" t="s">
        <v>1229</v>
      </c>
      <c r="D68" s="180" t="s">
        <v>1230</v>
      </c>
      <c r="E68" s="177">
        <v>0</v>
      </c>
      <c r="F68" s="168"/>
    </row>
    <row r="69" spans="2:6">
      <c r="B69" s="159">
        <f t="shared" si="2"/>
        <v>29</v>
      </c>
      <c r="C69" s="160" t="s">
        <v>1231</v>
      </c>
      <c r="D69" s="180" t="s">
        <v>1232</v>
      </c>
      <c r="E69" s="177">
        <v>1</v>
      </c>
      <c r="F69" s="168"/>
    </row>
    <row r="70" spans="2:6">
      <c r="B70" s="159">
        <f t="shared" si="2"/>
        <v>30</v>
      </c>
      <c r="C70" s="160" t="s">
        <v>1233</v>
      </c>
      <c r="D70" s="180" t="s">
        <v>1234</v>
      </c>
      <c r="E70" s="177">
        <v>1</v>
      </c>
      <c r="F70" s="168"/>
    </row>
    <row r="71" spans="2:6">
      <c r="B71" s="159">
        <f t="shared" si="2"/>
        <v>31</v>
      </c>
      <c r="C71" s="160" t="s">
        <v>1235</v>
      </c>
      <c r="D71" s="180" t="s">
        <v>1236</v>
      </c>
      <c r="E71" s="177">
        <v>1</v>
      </c>
      <c r="F71" s="168"/>
    </row>
    <row r="72" spans="2:6">
      <c r="B72" s="159">
        <f t="shared" si="2"/>
        <v>32</v>
      </c>
      <c r="C72" s="160" t="s">
        <v>1237</v>
      </c>
      <c r="D72" s="180" t="s">
        <v>1238</v>
      </c>
      <c r="E72" s="177">
        <v>1</v>
      </c>
      <c r="F72" s="168"/>
    </row>
    <row r="73" spans="2:6">
      <c r="B73" s="159">
        <f t="shared" si="2"/>
        <v>33</v>
      </c>
      <c r="C73" s="160" t="s">
        <v>1239</v>
      </c>
      <c r="D73" s="180" t="s">
        <v>1240</v>
      </c>
      <c r="E73" s="177">
        <v>1</v>
      </c>
      <c r="F73" s="168"/>
    </row>
    <row r="74" spans="2:6">
      <c r="B74" s="159">
        <f t="shared" si="2"/>
        <v>34</v>
      </c>
      <c r="C74" s="160" t="s">
        <v>1241</v>
      </c>
      <c r="D74" s="180" t="s">
        <v>1242</v>
      </c>
      <c r="E74" s="177">
        <v>1</v>
      </c>
      <c r="F74" s="168"/>
    </row>
    <row r="75" spans="2:6">
      <c r="B75" s="159">
        <f t="shared" si="2"/>
        <v>35</v>
      </c>
      <c r="C75" s="160"/>
      <c r="D75" s="180"/>
      <c r="E75" s="177"/>
      <c r="F75" s="168"/>
    </row>
    <row r="76" spans="2:6">
      <c r="B76" s="159">
        <f t="shared" si="2"/>
        <v>36</v>
      </c>
      <c r="C76" s="160"/>
      <c r="D76" s="174"/>
      <c r="E76" s="159"/>
      <c r="F76" s="168"/>
    </row>
    <row r="77" spans="2:6">
      <c r="B77" s="159">
        <f t="shared" si="2"/>
        <v>37</v>
      </c>
      <c r="C77" s="160"/>
      <c r="D77" s="174"/>
      <c r="E77" s="159"/>
      <c r="F77" s="168"/>
    </row>
    <row r="78" spans="2:6">
      <c r="B78" s="159">
        <f t="shared" si="2"/>
        <v>38</v>
      </c>
      <c r="C78" s="160"/>
      <c r="D78" s="174"/>
      <c r="E78" s="159"/>
      <c r="F78" s="168"/>
    </row>
    <row r="79" spans="2:6">
      <c r="B79" s="159">
        <f t="shared" si="2"/>
        <v>39</v>
      </c>
      <c r="C79" s="160"/>
      <c r="D79" s="174"/>
      <c r="E79" s="159"/>
      <c r="F79" s="168"/>
    </row>
    <row r="80" spans="2:6">
      <c r="B80" s="159">
        <f t="shared" si="2"/>
        <v>40</v>
      </c>
      <c r="C80" s="160"/>
      <c r="D80" s="174"/>
      <c r="E80" s="159"/>
      <c r="F80" s="168"/>
    </row>
    <row r="81" spans="2:6">
      <c r="B81" s="159">
        <f t="shared" si="2"/>
        <v>41</v>
      </c>
      <c r="C81" s="160"/>
      <c r="D81" s="174"/>
      <c r="E81" s="159"/>
      <c r="F81" s="168"/>
    </row>
    <row r="82" spans="2:6">
      <c r="B82" s="159">
        <f t="shared" si="2"/>
        <v>42</v>
      </c>
      <c r="C82" s="160"/>
      <c r="D82" s="174"/>
      <c r="E82" s="159"/>
      <c r="F82" s="168"/>
    </row>
    <row r="83" spans="2:6">
      <c r="B83" s="159">
        <f t="shared" si="2"/>
        <v>43</v>
      </c>
      <c r="C83" s="160"/>
      <c r="D83" s="161"/>
      <c r="E83" s="159"/>
      <c r="F83" s="168"/>
    </row>
    <row r="84" spans="2:6">
      <c r="B84" s="159">
        <f t="shared" si="2"/>
        <v>44</v>
      </c>
      <c r="C84" s="160"/>
      <c r="D84" s="161"/>
      <c r="E84" s="159"/>
      <c r="F84" s="168"/>
    </row>
    <row r="85" spans="2:6">
      <c r="B85" s="159">
        <f t="shared" si="2"/>
        <v>45</v>
      </c>
      <c r="C85" s="160"/>
      <c r="D85" s="161"/>
      <c r="E85" s="159"/>
      <c r="F85" s="168"/>
    </row>
    <row r="86" spans="2:6">
      <c r="B86" s="159">
        <f t="shared" si="2"/>
        <v>46</v>
      </c>
      <c r="C86" s="160"/>
      <c r="D86" s="161"/>
      <c r="E86" s="161"/>
      <c r="F86" s="168"/>
    </row>
    <row r="87" spans="2:6">
      <c r="B87" s="159">
        <f t="shared" si="2"/>
        <v>47</v>
      </c>
      <c r="C87" s="160"/>
      <c r="D87" s="161"/>
      <c r="E87" s="161"/>
      <c r="F87" s="168"/>
    </row>
    <row r="88" spans="2:6">
      <c r="B88" s="159">
        <f t="shared" si="2"/>
        <v>48</v>
      </c>
      <c r="C88" s="160"/>
      <c r="D88" s="161"/>
      <c r="E88" s="161"/>
      <c r="F88" s="168"/>
    </row>
    <row r="89" spans="2:6">
      <c r="B89" s="159">
        <f t="shared" si="2"/>
        <v>49</v>
      </c>
      <c r="C89" s="160"/>
      <c r="D89" s="161"/>
      <c r="E89" s="161"/>
      <c r="F89" s="168"/>
    </row>
    <row r="90" spans="2:6">
      <c r="B90" s="159">
        <f t="shared" si="2"/>
        <v>50</v>
      </c>
      <c r="C90" s="160"/>
      <c r="D90" s="161"/>
      <c r="E90" s="161"/>
      <c r="F90" s="168"/>
    </row>
    <row r="91" spans="2:6">
      <c r="B91" s="159">
        <f t="shared" si="2"/>
        <v>51</v>
      </c>
      <c r="C91" s="160"/>
      <c r="D91" s="161"/>
      <c r="E91" s="161"/>
      <c r="F91" s="168"/>
    </row>
    <row r="92" spans="2:6">
      <c r="B92" s="159">
        <f t="shared" si="2"/>
        <v>52</v>
      </c>
      <c r="C92" s="160"/>
      <c r="D92" s="161"/>
      <c r="E92" s="161"/>
      <c r="F92" s="168"/>
    </row>
    <row r="93" spans="2:6">
      <c r="B93" s="159">
        <f t="shared" si="2"/>
        <v>53</v>
      </c>
      <c r="C93" s="160"/>
      <c r="D93" s="161"/>
      <c r="E93" s="161"/>
      <c r="F93" s="168"/>
    </row>
    <row r="94" spans="2:6">
      <c r="B94" s="164">
        <f t="shared" si="2"/>
        <v>54</v>
      </c>
      <c r="C94" s="165"/>
      <c r="D94" s="166"/>
      <c r="E94" s="166"/>
      <c r="F94" s="168"/>
    </row>
  </sheetData>
  <mergeCells count="3">
    <mergeCell ref="B1:D1"/>
    <mergeCell ref="B3:F3"/>
    <mergeCell ref="B31:F31"/>
  </mergeCells>
  <pageMargins left="1.18" right="0.59" top="0.79" bottom="0.79"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63"/>
  </sheetPr>
  <dimension ref="A1"/>
  <sheetViews>
    <sheetView showZeros="0" workbookViewId="0"/>
  </sheetViews>
  <sheetFormatPr defaultColWidth="9.44140625" defaultRowHeight="14.4"/>
  <sheetData/>
  <pageMargins left="1.18" right="0.59" top="0.79" bottom="0.79"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886"/>
  <sheetViews>
    <sheetView showZeros="0" topLeftCell="B1" workbookViewId="0">
      <selection sqref="A1:J1"/>
    </sheetView>
  </sheetViews>
  <sheetFormatPr defaultColWidth="9" defaultRowHeight="14.4"/>
  <cols>
    <col min="1" max="1" width="8.77734375" hidden="1" customWidth="1"/>
    <col min="2" max="2" width="4" customWidth="1"/>
    <col min="3" max="3" width="8.77734375" style="111" hidden="1" customWidth="1"/>
    <col min="4" max="4" width="12.77734375" style="111" customWidth="1"/>
    <col min="5" max="5" width="111.44140625" customWidth="1"/>
    <col min="6" max="10" width="12.77734375" customWidth="1"/>
  </cols>
  <sheetData>
    <row r="1" spans="1:10" ht="17.399999999999999">
      <c r="A1" s="940" t="s">
        <v>589</v>
      </c>
      <c r="B1" s="940"/>
      <c r="C1" s="940"/>
      <c r="D1" s="940"/>
      <c r="E1" s="940"/>
      <c r="F1" s="940"/>
      <c r="G1" s="940"/>
      <c r="H1" s="940"/>
      <c r="I1" s="940"/>
      <c r="J1" s="940"/>
    </row>
    <row r="2" spans="1:10">
      <c r="A2" s="1043" t="s">
        <v>254</v>
      </c>
      <c r="B2" s="1043"/>
      <c r="C2" s="1043"/>
      <c r="D2" s="1043"/>
      <c r="E2" s="1043"/>
      <c r="F2" s="1043"/>
      <c r="G2" s="1043"/>
      <c r="H2" s="1043"/>
      <c r="I2" s="1043"/>
      <c r="J2" s="1043"/>
    </row>
    <row r="3" spans="1:10">
      <c r="A3" s="901" t="s">
        <v>763</v>
      </c>
      <c r="B3" s="901"/>
      <c r="C3" s="901"/>
      <c r="D3" s="901"/>
      <c r="E3" s="901"/>
      <c r="F3" s="901"/>
      <c r="G3" s="901"/>
      <c r="H3" s="901"/>
      <c r="I3" s="901"/>
      <c r="J3" s="901"/>
    </row>
    <row r="4" spans="1:10">
      <c r="A4" s="1044" t="s">
        <v>590</v>
      </c>
      <c r="B4" s="1044"/>
      <c r="C4" s="1044"/>
      <c r="D4" s="1044"/>
      <c r="E4" s="1044"/>
      <c r="F4" s="1044"/>
      <c r="G4" s="1044"/>
      <c r="H4" s="1044"/>
      <c r="I4" s="1044"/>
      <c r="J4" s="1044"/>
    </row>
    <row r="5" spans="1:10" ht="27.6">
      <c r="A5" s="100"/>
      <c r="B5" s="100" t="s">
        <v>5</v>
      </c>
      <c r="C5" s="113" t="s">
        <v>591</v>
      </c>
      <c r="D5" s="113" t="s">
        <v>592</v>
      </c>
      <c r="E5" s="100" t="s">
        <v>593</v>
      </c>
      <c r="F5" s="100" t="s">
        <v>594</v>
      </c>
      <c r="G5" s="100" t="s">
        <v>595</v>
      </c>
      <c r="H5" s="100" t="s">
        <v>326</v>
      </c>
      <c r="I5" s="100" t="s">
        <v>596</v>
      </c>
      <c r="J5" s="100" t="s">
        <v>261</v>
      </c>
    </row>
    <row r="6" spans="1:10">
      <c r="A6" s="114"/>
      <c r="B6" s="115"/>
      <c r="C6" s="116" t="s">
        <v>339</v>
      </c>
      <c r="D6" s="117" t="s">
        <v>339</v>
      </c>
      <c r="E6" s="118" t="s">
        <v>340</v>
      </c>
      <c r="F6" s="115"/>
      <c r="G6" s="119"/>
      <c r="H6" s="120"/>
      <c r="I6" s="140"/>
      <c r="J6" s="120" t="s">
        <v>597</v>
      </c>
    </row>
    <row r="7" spans="1:10">
      <c r="A7" s="114"/>
      <c r="B7" s="115"/>
      <c r="C7" s="116" t="s">
        <v>339</v>
      </c>
      <c r="D7" s="117" t="s">
        <v>339</v>
      </c>
      <c r="E7" s="118" t="s">
        <v>341</v>
      </c>
      <c r="F7" s="115"/>
      <c r="G7" s="119"/>
      <c r="H7" s="120"/>
      <c r="I7" s="140"/>
      <c r="J7" s="120" t="s">
        <v>597</v>
      </c>
    </row>
    <row r="8" spans="1:10">
      <c r="A8" s="121"/>
      <c r="B8" s="122">
        <v>1</v>
      </c>
      <c r="C8" s="121" t="str">
        <f>'5.Tiên lượng'!C12</f>
        <v>AB.31132</v>
      </c>
      <c r="D8" s="121" t="str">
        <f>'5.Tiên lượng'!C12</f>
        <v>AB.31132</v>
      </c>
      <c r="E8" s="123" t="str">
        <f>'5.Tiên lượng'!D12</f>
        <v>Đào nền đường bằng máy đào 1,25m3 - Cấp đất II</v>
      </c>
      <c r="F8" s="122" t="str">
        <f>'5.Tiên lượng'!E12</f>
        <v>100m3</v>
      </c>
      <c r="G8" s="124"/>
      <c r="H8" s="125"/>
      <c r="I8" s="141"/>
      <c r="J8" s="142">
        <f>J9+J11</f>
        <v>1761883.4098585716</v>
      </c>
    </row>
    <row r="9" spans="1:10">
      <c r="A9" s="126"/>
      <c r="B9" s="127"/>
      <c r="C9" s="128" t="s">
        <v>590</v>
      </c>
      <c r="D9" s="128" t="s">
        <v>590</v>
      </c>
      <c r="E9" s="129" t="s">
        <v>265</v>
      </c>
      <c r="F9" s="127" t="s">
        <v>266</v>
      </c>
      <c r="G9" s="130"/>
      <c r="H9" s="131"/>
      <c r="I9" s="143"/>
      <c r="J9" s="131">
        <f>SUM(J10:J10)</f>
        <v>775015.02</v>
      </c>
    </row>
    <row r="10" spans="1:10">
      <c r="A10" s="67"/>
      <c r="B10" s="66"/>
      <c r="C10" s="132" t="s">
        <v>590</v>
      </c>
      <c r="D10" s="133" t="s">
        <v>598</v>
      </c>
      <c r="E10" s="102" t="str">
        <f>" - "&amp;'Giá NC'!E5</f>
        <v xml:space="preserve"> - Nhân công bậc 3,0/7 - Nhóm 1</v>
      </c>
      <c r="F10" s="66" t="str">
        <f>'Giá NC'!F5</f>
        <v>công</v>
      </c>
      <c r="G10" s="134">
        <f>PTVT!G10</f>
        <v>3.39</v>
      </c>
      <c r="H10" s="135">
        <f>'Giá NC'!K5</f>
        <v>228618</v>
      </c>
      <c r="I10" s="144">
        <f>'5.Tiên lượng'!W12</f>
        <v>1</v>
      </c>
      <c r="J10" s="135">
        <f>PRODUCT(G10,H10,I10)</f>
        <v>775015.02</v>
      </c>
    </row>
    <row r="11" spans="1:10">
      <c r="A11" s="126"/>
      <c r="B11" s="127"/>
      <c r="C11" s="128" t="s">
        <v>590</v>
      </c>
      <c r="D11" s="128" t="s">
        <v>590</v>
      </c>
      <c r="E11" s="129" t="s">
        <v>267</v>
      </c>
      <c r="F11" s="127" t="s">
        <v>268</v>
      </c>
      <c r="G11" s="130"/>
      <c r="H11" s="131"/>
      <c r="I11" s="143"/>
      <c r="J11" s="131">
        <f>SUM(J12:J13)</f>
        <v>986868.38985857158</v>
      </c>
    </row>
    <row r="12" spans="1:10">
      <c r="A12" s="67"/>
      <c r="B12" s="66"/>
      <c r="C12" s="132" t="s">
        <v>590</v>
      </c>
      <c r="D12" s="133" t="s">
        <v>599</v>
      </c>
      <c r="E12" s="102" t="str">
        <f>" - "&amp;'Giá Máy'!E14</f>
        <v xml:space="preserve"> - Máy đào 1,25m3</v>
      </c>
      <c r="F12" s="66" t="str">
        <f>'Giá Máy'!F14</f>
        <v>ca</v>
      </c>
      <c r="G12" s="134">
        <f>PTVT!G12</f>
        <v>0.26400000000000001</v>
      </c>
      <c r="H12" s="135">
        <f>'Giá Máy'!O14</f>
        <v>3496941.8057142859</v>
      </c>
      <c r="I12" s="144">
        <f>'5.Tiên lượng'!X12</f>
        <v>1</v>
      </c>
      <c r="J12" s="135">
        <f t="shared" ref="J12:J13" si="0">PRODUCT(G12,H12,I12)</f>
        <v>923192.63670857158</v>
      </c>
    </row>
    <row r="13" spans="1:10">
      <c r="A13" s="104"/>
      <c r="B13" s="105"/>
      <c r="C13" s="136" t="s">
        <v>590</v>
      </c>
      <c r="D13" s="137" t="s">
        <v>600</v>
      </c>
      <c r="E13" s="106" t="str">
        <f>" - "&amp;'Giá Máy'!E29</f>
        <v xml:space="preserve"> - Máy ủi 110CV</v>
      </c>
      <c r="F13" s="105" t="str">
        <f>'Giá Máy'!F29</f>
        <v>ca</v>
      </c>
      <c r="G13" s="138">
        <f>PTVT!G13</f>
        <v>3.5000000000000003E-2</v>
      </c>
      <c r="H13" s="139">
        <f>'Giá Máy'!O29</f>
        <v>1819307.232857143</v>
      </c>
      <c r="I13" s="145">
        <f>'5.Tiên lượng'!X12</f>
        <v>1</v>
      </c>
      <c r="J13" s="139">
        <f t="shared" si="0"/>
        <v>63675.753150000011</v>
      </c>
    </row>
    <row r="14" spans="1:10">
      <c r="A14" s="121"/>
      <c r="B14" s="122">
        <v>2</v>
      </c>
      <c r="C14" s="121" t="str">
        <f>'5.Tiên lượng'!C14</f>
        <v>AB.31133</v>
      </c>
      <c r="D14" s="121" t="str">
        <f>'5.Tiên lượng'!C14</f>
        <v>AB.31133</v>
      </c>
      <c r="E14" s="123" t="str">
        <f>'5.Tiên lượng'!D14</f>
        <v>Đào nền đường bằng máy đào 1,25m3 - Cấp đất III</v>
      </c>
      <c r="F14" s="122" t="str">
        <f>'5.Tiên lượng'!E14</f>
        <v>100m3</v>
      </c>
      <c r="G14" s="124"/>
      <c r="H14" s="125"/>
      <c r="I14" s="141"/>
      <c r="J14" s="142">
        <f>J15+J17</f>
        <v>2088510.2708914285</v>
      </c>
    </row>
    <row r="15" spans="1:10">
      <c r="A15" s="126"/>
      <c r="B15" s="127"/>
      <c r="C15" s="128" t="s">
        <v>590</v>
      </c>
      <c r="D15" s="128" t="s">
        <v>590</v>
      </c>
      <c r="E15" s="129" t="s">
        <v>265</v>
      </c>
      <c r="F15" s="127" t="s">
        <v>266</v>
      </c>
      <c r="G15" s="130"/>
      <c r="H15" s="131"/>
      <c r="I15" s="143"/>
      <c r="J15" s="131">
        <f>SUM(J16:J16)</f>
        <v>928189.08</v>
      </c>
    </row>
    <row r="16" spans="1:10">
      <c r="A16" s="67"/>
      <c r="B16" s="66"/>
      <c r="C16" s="132" t="s">
        <v>590</v>
      </c>
      <c r="D16" s="133" t="s">
        <v>598</v>
      </c>
      <c r="E16" s="102" t="str">
        <f>" - "&amp;'Giá NC'!E5</f>
        <v xml:space="preserve"> - Nhân công bậc 3,0/7 - Nhóm 1</v>
      </c>
      <c r="F16" s="66" t="str">
        <f>'Giá NC'!F5</f>
        <v>công</v>
      </c>
      <c r="G16" s="134">
        <f>PTVT!G16</f>
        <v>4.0599999999999996</v>
      </c>
      <c r="H16" s="135">
        <f>'Giá NC'!K5</f>
        <v>228618</v>
      </c>
      <c r="I16" s="144">
        <f>'5.Tiên lượng'!W14</f>
        <v>1</v>
      </c>
      <c r="J16" s="135">
        <f>PRODUCT(G16,H16,I16)</f>
        <v>928189.08</v>
      </c>
    </row>
    <row r="17" spans="1:10">
      <c r="A17" s="126"/>
      <c r="B17" s="127"/>
      <c r="C17" s="128" t="s">
        <v>590</v>
      </c>
      <c r="D17" s="128" t="s">
        <v>590</v>
      </c>
      <c r="E17" s="129" t="s">
        <v>267</v>
      </c>
      <c r="F17" s="127" t="s">
        <v>268</v>
      </c>
      <c r="G17" s="130"/>
      <c r="H17" s="131"/>
      <c r="I17" s="143"/>
      <c r="J17" s="131">
        <f>SUM(J18:J19)</f>
        <v>1160321.1908914286</v>
      </c>
    </row>
    <row r="18" spans="1:10">
      <c r="A18" s="67"/>
      <c r="B18" s="66"/>
      <c r="C18" s="132" t="s">
        <v>590</v>
      </c>
      <c r="D18" s="133" t="s">
        <v>599</v>
      </c>
      <c r="E18" s="102" t="str">
        <f>" - "&amp;'Giá Máy'!E14</f>
        <v xml:space="preserve"> - Máy đào 1,25m3</v>
      </c>
      <c r="F18" s="66" t="str">
        <f>'Giá Máy'!F14</f>
        <v>ca</v>
      </c>
      <c r="G18" s="134">
        <f>PTVT!G18</f>
        <v>0.311</v>
      </c>
      <c r="H18" s="135">
        <f>'Giá Máy'!O14</f>
        <v>3496941.8057142859</v>
      </c>
      <c r="I18" s="144">
        <f>'5.Tiên lượng'!X14</f>
        <v>1</v>
      </c>
      <c r="J18" s="135">
        <f t="shared" ref="J18:J19" si="1">PRODUCT(G18,H18,I18)</f>
        <v>1087548.901577143</v>
      </c>
    </row>
    <row r="19" spans="1:10">
      <c r="A19" s="104"/>
      <c r="B19" s="105"/>
      <c r="C19" s="136" t="s">
        <v>590</v>
      </c>
      <c r="D19" s="137" t="s">
        <v>600</v>
      </c>
      <c r="E19" s="106" t="str">
        <f>" - "&amp;'Giá Máy'!E29</f>
        <v xml:space="preserve"> - Máy ủi 110CV</v>
      </c>
      <c r="F19" s="105" t="str">
        <f>'Giá Máy'!F29</f>
        <v>ca</v>
      </c>
      <c r="G19" s="138">
        <f>PTVT!G19</f>
        <v>0.04</v>
      </c>
      <c r="H19" s="139">
        <f>'Giá Máy'!O29</f>
        <v>1819307.232857143</v>
      </c>
      <c r="I19" s="145">
        <f>'5.Tiên lượng'!X14</f>
        <v>1</v>
      </c>
      <c r="J19" s="139">
        <f t="shared" si="1"/>
        <v>72772.289314285721</v>
      </c>
    </row>
    <row r="20" spans="1:10">
      <c r="A20" s="121"/>
      <c r="B20" s="122">
        <v>3</v>
      </c>
      <c r="C20" s="121" t="str">
        <f>'5.Tiên lượng'!C16</f>
        <v>AB.31134</v>
      </c>
      <c r="D20" s="121" t="str">
        <f>'5.Tiên lượng'!C16</f>
        <v>AB.31134</v>
      </c>
      <c r="E20" s="123" t="str">
        <f>'5.Tiên lượng'!D16</f>
        <v>Đào nền đường bằng máy đào 1,25m3 - Cấp đất IV</v>
      </c>
      <c r="F20" s="122" t="str">
        <f>'5.Tiên lượng'!E16</f>
        <v>100m3</v>
      </c>
      <c r="G20" s="124"/>
      <c r="H20" s="125"/>
      <c r="I20" s="141"/>
      <c r="J20" s="142">
        <f>J21+J23</f>
        <v>2687875.7251285715</v>
      </c>
    </row>
    <row r="21" spans="1:10">
      <c r="A21" s="126"/>
      <c r="B21" s="127"/>
      <c r="C21" s="128" t="s">
        <v>590</v>
      </c>
      <c r="D21" s="128" t="s">
        <v>590</v>
      </c>
      <c r="E21" s="129" t="s">
        <v>265</v>
      </c>
      <c r="F21" s="127" t="s">
        <v>266</v>
      </c>
      <c r="G21" s="130"/>
      <c r="H21" s="131"/>
      <c r="I21" s="143"/>
      <c r="J21" s="131">
        <f>SUM(J22:J22)</f>
        <v>1099652.5799999998</v>
      </c>
    </row>
    <row r="22" spans="1:10">
      <c r="A22" s="67"/>
      <c r="B22" s="66"/>
      <c r="C22" s="132" t="s">
        <v>590</v>
      </c>
      <c r="D22" s="133" t="s">
        <v>598</v>
      </c>
      <c r="E22" s="102" t="str">
        <f>" - "&amp;'Giá NC'!E5</f>
        <v xml:space="preserve"> - Nhân công bậc 3,0/7 - Nhóm 1</v>
      </c>
      <c r="F22" s="66" t="str">
        <f>'Giá NC'!F5</f>
        <v>công</v>
      </c>
      <c r="G22" s="134">
        <f>PTVT!G22</f>
        <v>4.8099999999999996</v>
      </c>
      <c r="H22" s="135">
        <f>'Giá NC'!K5</f>
        <v>228618</v>
      </c>
      <c r="I22" s="144">
        <f>'5.Tiên lượng'!W16</f>
        <v>1</v>
      </c>
      <c r="J22" s="135">
        <f>PRODUCT(G22,H22,I22)</f>
        <v>1099652.5799999998</v>
      </c>
    </row>
    <row r="23" spans="1:10">
      <c r="A23" s="126"/>
      <c r="B23" s="127"/>
      <c r="C23" s="128" t="s">
        <v>590</v>
      </c>
      <c r="D23" s="128" t="s">
        <v>590</v>
      </c>
      <c r="E23" s="129" t="s">
        <v>267</v>
      </c>
      <c r="F23" s="127" t="s">
        <v>268</v>
      </c>
      <c r="G23" s="130"/>
      <c r="H23" s="131"/>
      <c r="I23" s="143"/>
      <c r="J23" s="131">
        <f>SUM(J24:J25)</f>
        <v>1588223.1451285714</v>
      </c>
    </row>
    <row r="24" spans="1:10">
      <c r="A24" s="67"/>
      <c r="B24" s="66"/>
      <c r="C24" s="132" t="s">
        <v>590</v>
      </c>
      <c r="D24" s="133" t="s">
        <v>599</v>
      </c>
      <c r="E24" s="102" t="str">
        <f>" - "&amp;'Giá Máy'!E14</f>
        <v xml:space="preserve"> - Máy đào 1,25m3</v>
      </c>
      <c r="F24" s="66" t="str">
        <f>'Giá Máy'!F14</f>
        <v>ca</v>
      </c>
      <c r="G24" s="134">
        <f>PTVT!G24</f>
        <v>0.42399999999999999</v>
      </c>
      <c r="H24" s="135">
        <f>'Giá Máy'!O14</f>
        <v>3496941.8057142859</v>
      </c>
      <c r="I24" s="144">
        <f>'5.Tiên lượng'!X16</f>
        <v>1</v>
      </c>
      <c r="J24" s="135">
        <f t="shared" ref="J24:J25" si="2">PRODUCT(G24,H24,I24)</f>
        <v>1482703.3256228571</v>
      </c>
    </row>
    <row r="25" spans="1:10">
      <c r="A25" s="104"/>
      <c r="B25" s="105"/>
      <c r="C25" s="136" t="s">
        <v>590</v>
      </c>
      <c r="D25" s="137" t="s">
        <v>600</v>
      </c>
      <c r="E25" s="106" t="str">
        <f>" - "&amp;'Giá Máy'!E29</f>
        <v xml:space="preserve"> - Máy ủi 110CV</v>
      </c>
      <c r="F25" s="105" t="str">
        <f>'Giá Máy'!F29</f>
        <v>ca</v>
      </c>
      <c r="G25" s="138">
        <f>PTVT!G25</f>
        <v>5.8000000000000003E-2</v>
      </c>
      <c r="H25" s="139">
        <f>'Giá Máy'!O29</f>
        <v>1819307.232857143</v>
      </c>
      <c r="I25" s="145">
        <f>'5.Tiên lượng'!X16</f>
        <v>1</v>
      </c>
      <c r="J25" s="139">
        <f t="shared" si="2"/>
        <v>105519.8195057143</v>
      </c>
    </row>
    <row r="26" spans="1:10">
      <c r="A26" s="121"/>
      <c r="B26" s="122">
        <v>4</v>
      </c>
      <c r="C26" s="121" t="str">
        <f>'5.Tiên lượng'!C18</f>
        <v>MD.QĐ792</v>
      </c>
      <c r="D26" s="121" t="str">
        <f>'5.Tiên lượng'!C18</f>
        <v>MD.QĐ792</v>
      </c>
      <c r="E26" s="123" t="str">
        <f>'5.Tiên lượng'!D18</f>
        <v>Đào nền đường đá cấp IV bằng máy đào 1,6m3</v>
      </c>
      <c r="F26" s="122" t="str">
        <f>'5.Tiên lượng'!E18</f>
        <v>m3</v>
      </c>
      <c r="G26" s="124"/>
      <c r="H26" s="125"/>
      <c r="I26" s="141"/>
      <c r="J26" s="142">
        <f>J27+J29</f>
        <v>58858.608796099994</v>
      </c>
    </row>
    <row r="27" spans="1:10">
      <c r="A27" s="126"/>
      <c r="B27" s="127"/>
      <c r="C27" s="128" t="s">
        <v>590</v>
      </c>
      <c r="D27" s="128" t="s">
        <v>590</v>
      </c>
      <c r="E27" s="129" t="s">
        <v>265</v>
      </c>
      <c r="F27" s="127" t="s">
        <v>266</v>
      </c>
      <c r="G27" s="130"/>
      <c r="H27" s="131"/>
      <c r="I27" s="143"/>
      <c r="J27" s="131">
        <f>SUM(J28:J28)</f>
        <v>10107.5</v>
      </c>
    </row>
    <row r="28" spans="1:10">
      <c r="A28" s="67"/>
      <c r="B28" s="66"/>
      <c r="C28" s="132" t="s">
        <v>590</v>
      </c>
      <c r="D28" s="133" t="s">
        <v>601</v>
      </c>
      <c r="E28" s="102" t="str">
        <f>" - "&amp;'Giá NC'!E6</f>
        <v xml:space="preserve"> - Nhân công bậc 3,5/7 - Nhóm 1</v>
      </c>
      <c r="F28" s="66" t="str">
        <f>'Giá NC'!F6</f>
        <v>công</v>
      </c>
      <c r="G28" s="134">
        <f>PTVT!G28</f>
        <v>4.0430000000000001E-2</v>
      </c>
      <c r="H28" s="135">
        <f>'Giá NC'!K6</f>
        <v>250000</v>
      </c>
      <c r="I28" s="144">
        <f>'5.Tiên lượng'!W18</f>
        <v>1</v>
      </c>
      <c r="J28" s="135">
        <f>PRODUCT(G28,H28,I28)</f>
        <v>10107.5</v>
      </c>
    </row>
    <row r="29" spans="1:10">
      <c r="A29" s="126"/>
      <c r="B29" s="127"/>
      <c r="C29" s="128" t="s">
        <v>590</v>
      </c>
      <c r="D29" s="128" t="s">
        <v>590</v>
      </c>
      <c r="E29" s="129" t="s">
        <v>267</v>
      </c>
      <c r="F29" s="127" t="s">
        <v>268</v>
      </c>
      <c r="G29" s="130"/>
      <c r="H29" s="131"/>
      <c r="I29" s="143"/>
      <c r="J29" s="131">
        <f>SUM(J30:J31)</f>
        <v>48751.108796099994</v>
      </c>
    </row>
    <row r="30" spans="1:10">
      <c r="A30" s="67"/>
      <c r="B30" s="66"/>
      <c r="C30" s="132" t="s">
        <v>590</v>
      </c>
      <c r="D30" s="133" t="s">
        <v>602</v>
      </c>
      <c r="E30" s="102" t="str">
        <f>" - "&amp;'Giá Máy'!E15</f>
        <v xml:space="preserve"> - Máy đào 1,6m3</v>
      </c>
      <c r="F30" s="66" t="str">
        <f>'Giá Máy'!F15</f>
        <v>ca</v>
      </c>
      <c r="G30" s="134">
        <f>PTVT!G30</f>
        <v>1.123E-2</v>
      </c>
      <c r="H30" s="135">
        <f>'Giá Máy'!O15</f>
        <v>4284448.0199999996</v>
      </c>
      <c r="I30" s="144">
        <f>'5.Tiên lượng'!X18</f>
        <v>1</v>
      </c>
      <c r="J30" s="135">
        <f t="shared" ref="J30:J31" si="3">PRODUCT(G30,H30,I30)</f>
        <v>48114.351264599994</v>
      </c>
    </row>
    <row r="31" spans="1:10">
      <c r="A31" s="104"/>
      <c r="B31" s="105"/>
      <c r="C31" s="136" t="s">
        <v>590</v>
      </c>
      <c r="D31" s="137" t="s">
        <v>600</v>
      </c>
      <c r="E31" s="106" t="str">
        <f>" - "&amp;'Giá Máy'!E29</f>
        <v xml:space="preserve"> - Máy ủi 110CV</v>
      </c>
      <c r="F31" s="105" t="str">
        <f>'Giá Máy'!F29</f>
        <v>ca</v>
      </c>
      <c r="G31" s="138">
        <f>PTVT!G31</f>
        <v>3.5E-4</v>
      </c>
      <c r="H31" s="139">
        <f>'Giá Máy'!O29</f>
        <v>1819307.232857143</v>
      </c>
      <c r="I31" s="145">
        <f>'5.Tiên lượng'!X18</f>
        <v>1</v>
      </c>
      <c r="J31" s="139">
        <f t="shared" si="3"/>
        <v>636.75753150000003</v>
      </c>
    </row>
    <row r="32" spans="1:10">
      <c r="A32" s="121"/>
      <c r="B32" s="122">
        <v>5</v>
      </c>
      <c r="C32" s="121" t="str">
        <f>'5.Tiên lượng'!C19</f>
        <v>AB.31134VD</v>
      </c>
      <c r="D32" s="121" t="str">
        <f>'5.Tiên lượng'!C19</f>
        <v>AB.31134VD</v>
      </c>
      <c r="E32" s="123" t="str">
        <f>'5.Tiên lượng'!D19</f>
        <v>Đào đường cũ cấp phối bằng máy đào 1,25m3</v>
      </c>
      <c r="F32" s="122" t="str">
        <f>'5.Tiên lượng'!E19</f>
        <v>m3</v>
      </c>
      <c r="G32" s="124"/>
      <c r="H32" s="125"/>
      <c r="I32" s="141"/>
      <c r="J32" s="142">
        <f>J33+J35</f>
        <v>26878.757251285715</v>
      </c>
    </row>
    <row r="33" spans="1:10">
      <c r="A33" s="126"/>
      <c r="B33" s="127"/>
      <c r="C33" s="128" t="s">
        <v>590</v>
      </c>
      <c r="D33" s="128" t="s">
        <v>590</v>
      </c>
      <c r="E33" s="129" t="s">
        <v>265</v>
      </c>
      <c r="F33" s="127" t="s">
        <v>266</v>
      </c>
      <c r="G33" s="130"/>
      <c r="H33" s="131"/>
      <c r="I33" s="143"/>
      <c r="J33" s="131">
        <f>SUM(J34:J34)</f>
        <v>10996.525799999999</v>
      </c>
    </row>
    <row r="34" spans="1:10">
      <c r="A34" s="67"/>
      <c r="B34" s="66"/>
      <c r="C34" s="132" t="s">
        <v>590</v>
      </c>
      <c r="D34" s="133" t="s">
        <v>598</v>
      </c>
      <c r="E34" s="102" t="str">
        <f>" - "&amp;'Giá NC'!E5</f>
        <v xml:space="preserve"> - Nhân công bậc 3,0/7 - Nhóm 1</v>
      </c>
      <c r="F34" s="66" t="str">
        <f>'Giá NC'!F5</f>
        <v>công</v>
      </c>
      <c r="G34" s="134">
        <f>PTVT!G34</f>
        <v>4.8099999999999997E-2</v>
      </c>
      <c r="H34" s="135">
        <f>'Giá NC'!K5</f>
        <v>228618</v>
      </c>
      <c r="I34" s="144">
        <f>'5.Tiên lượng'!W19</f>
        <v>1</v>
      </c>
      <c r="J34" s="135">
        <f>PRODUCT(G34,H34,I34)</f>
        <v>10996.525799999999</v>
      </c>
    </row>
    <row r="35" spans="1:10">
      <c r="A35" s="126"/>
      <c r="B35" s="127"/>
      <c r="C35" s="128" t="s">
        <v>590</v>
      </c>
      <c r="D35" s="128" t="s">
        <v>590</v>
      </c>
      <c r="E35" s="129" t="s">
        <v>267</v>
      </c>
      <c r="F35" s="127" t="s">
        <v>268</v>
      </c>
      <c r="G35" s="130"/>
      <c r="H35" s="131"/>
      <c r="I35" s="143"/>
      <c r="J35" s="131">
        <f>SUM(J36:J37)</f>
        <v>15882.231451285714</v>
      </c>
    </row>
    <row r="36" spans="1:10">
      <c r="A36" s="67"/>
      <c r="B36" s="66"/>
      <c r="C36" s="132" t="s">
        <v>590</v>
      </c>
      <c r="D36" s="133" t="s">
        <v>599</v>
      </c>
      <c r="E36" s="102" t="str">
        <f>" - "&amp;'Giá Máy'!E14</f>
        <v xml:space="preserve"> - Máy đào 1,25m3</v>
      </c>
      <c r="F36" s="66" t="str">
        <f>'Giá Máy'!F14</f>
        <v>ca</v>
      </c>
      <c r="G36" s="134">
        <f>PTVT!G36</f>
        <v>4.2399999999999998E-3</v>
      </c>
      <c r="H36" s="135">
        <f>'Giá Máy'!O14</f>
        <v>3496941.8057142859</v>
      </c>
      <c r="I36" s="144">
        <f>'5.Tiên lượng'!X19</f>
        <v>1</v>
      </c>
      <c r="J36" s="135">
        <f t="shared" ref="J36:J37" si="4">PRODUCT(G36,H36,I36)</f>
        <v>14827.033256228571</v>
      </c>
    </row>
    <row r="37" spans="1:10">
      <c r="A37" s="104"/>
      <c r="B37" s="105"/>
      <c r="C37" s="136" t="s">
        <v>590</v>
      </c>
      <c r="D37" s="137" t="s">
        <v>600</v>
      </c>
      <c r="E37" s="106" t="str">
        <f>" - "&amp;'Giá Máy'!E29</f>
        <v xml:space="preserve"> - Máy ủi 110CV</v>
      </c>
      <c r="F37" s="105" t="str">
        <f>'Giá Máy'!F29</f>
        <v>ca</v>
      </c>
      <c r="G37" s="138">
        <f>PTVT!G37</f>
        <v>5.8E-4</v>
      </c>
      <c r="H37" s="139">
        <f>'Giá Máy'!O29</f>
        <v>1819307.232857143</v>
      </c>
      <c r="I37" s="145">
        <f>'5.Tiên lượng'!X19</f>
        <v>1</v>
      </c>
      <c r="J37" s="139">
        <f t="shared" si="4"/>
        <v>1055.198195057143</v>
      </c>
    </row>
    <row r="38" spans="1:10">
      <c r="A38" s="121"/>
      <c r="B38" s="122">
        <v>6</v>
      </c>
      <c r="C38" s="121" t="str">
        <f>'5.Tiên lượng'!C21</f>
        <v>AB.31132(VD)</v>
      </c>
      <c r="D38" s="121" t="str">
        <f>'5.Tiên lượng'!C21</f>
        <v>AB.31132(VD)</v>
      </c>
      <c r="E38" s="123" t="str">
        <f>'5.Tiên lượng'!D21</f>
        <v>Đào rãnh bằng máy đào 1,25m3 - Cấp đất II</v>
      </c>
      <c r="F38" s="122" t="str">
        <f>'5.Tiên lượng'!E21</f>
        <v>100m3</v>
      </c>
      <c r="G38" s="124"/>
      <c r="H38" s="125"/>
      <c r="I38" s="141"/>
      <c r="J38" s="142">
        <f>J39+J41</f>
        <v>1761883.4098585716</v>
      </c>
    </row>
    <row r="39" spans="1:10">
      <c r="A39" s="126"/>
      <c r="B39" s="127"/>
      <c r="C39" s="128" t="s">
        <v>590</v>
      </c>
      <c r="D39" s="128" t="s">
        <v>590</v>
      </c>
      <c r="E39" s="129" t="s">
        <v>265</v>
      </c>
      <c r="F39" s="127" t="s">
        <v>266</v>
      </c>
      <c r="G39" s="130"/>
      <c r="H39" s="131"/>
      <c r="I39" s="143"/>
      <c r="J39" s="131">
        <f>SUM(J40:J40)</f>
        <v>775015.02</v>
      </c>
    </row>
    <row r="40" spans="1:10">
      <c r="A40" s="67"/>
      <c r="B40" s="66"/>
      <c r="C40" s="132" t="s">
        <v>590</v>
      </c>
      <c r="D40" s="133" t="s">
        <v>598</v>
      </c>
      <c r="E40" s="102" t="str">
        <f>" - "&amp;'Giá NC'!E5</f>
        <v xml:space="preserve"> - Nhân công bậc 3,0/7 - Nhóm 1</v>
      </c>
      <c r="F40" s="66" t="str">
        <f>'Giá NC'!F5</f>
        <v>công</v>
      </c>
      <c r="G40" s="134">
        <f>PTVT!G40</f>
        <v>3.39</v>
      </c>
      <c r="H40" s="135">
        <f>'Giá NC'!K5</f>
        <v>228618</v>
      </c>
      <c r="I40" s="144">
        <f>'5.Tiên lượng'!W21</f>
        <v>1</v>
      </c>
      <c r="J40" s="135">
        <f>PRODUCT(G40,H40,I40)</f>
        <v>775015.02</v>
      </c>
    </row>
    <row r="41" spans="1:10">
      <c r="A41" s="126"/>
      <c r="B41" s="127"/>
      <c r="C41" s="128" t="s">
        <v>590</v>
      </c>
      <c r="D41" s="128" t="s">
        <v>590</v>
      </c>
      <c r="E41" s="129" t="s">
        <v>267</v>
      </c>
      <c r="F41" s="127" t="s">
        <v>268</v>
      </c>
      <c r="G41" s="130"/>
      <c r="H41" s="131"/>
      <c r="I41" s="143"/>
      <c r="J41" s="131">
        <f>SUM(J42:J43)</f>
        <v>986868.38985857158</v>
      </c>
    </row>
    <row r="42" spans="1:10">
      <c r="A42" s="67"/>
      <c r="B42" s="66"/>
      <c r="C42" s="132" t="s">
        <v>590</v>
      </c>
      <c r="D42" s="133" t="s">
        <v>599</v>
      </c>
      <c r="E42" s="102" t="str">
        <f>" - "&amp;'Giá Máy'!E14</f>
        <v xml:space="preserve"> - Máy đào 1,25m3</v>
      </c>
      <c r="F42" s="66" t="str">
        <f>'Giá Máy'!F14</f>
        <v>ca</v>
      </c>
      <c r="G42" s="134">
        <f>PTVT!G42</f>
        <v>0.26400000000000001</v>
      </c>
      <c r="H42" s="135">
        <f>'Giá Máy'!O14</f>
        <v>3496941.8057142859</v>
      </c>
      <c r="I42" s="144">
        <f>'5.Tiên lượng'!X21</f>
        <v>1</v>
      </c>
      <c r="J42" s="135">
        <f t="shared" ref="J42:J43" si="5">PRODUCT(G42,H42,I42)</f>
        <v>923192.63670857158</v>
      </c>
    </row>
    <row r="43" spans="1:10">
      <c r="A43" s="104"/>
      <c r="B43" s="105"/>
      <c r="C43" s="136" t="s">
        <v>590</v>
      </c>
      <c r="D43" s="137" t="s">
        <v>600</v>
      </c>
      <c r="E43" s="106" t="str">
        <f>" - "&amp;'Giá Máy'!E29</f>
        <v xml:space="preserve"> - Máy ủi 110CV</v>
      </c>
      <c r="F43" s="105" t="str">
        <f>'Giá Máy'!F29</f>
        <v>ca</v>
      </c>
      <c r="G43" s="138">
        <f>PTVT!G43</f>
        <v>3.5000000000000003E-2</v>
      </c>
      <c r="H43" s="139">
        <f>'Giá Máy'!O29</f>
        <v>1819307.232857143</v>
      </c>
      <c r="I43" s="145">
        <f>'5.Tiên lượng'!X21</f>
        <v>1</v>
      </c>
      <c r="J43" s="139">
        <f t="shared" si="5"/>
        <v>63675.753150000011</v>
      </c>
    </row>
    <row r="44" spans="1:10">
      <c r="A44" s="121"/>
      <c r="B44" s="122">
        <v>7</v>
      </c>
      <c r="C44" s="121" t="str">
        <f>'5.Tiên lượng'!C23</f>
        <v>AB.31133(VD)</v>
      </c>
      <c r="D44" s="121" t="str">
        <f>'5.Tiên lượng'!C23</f>
        <v>AB.31133(VD)</v>
      </c>
      <c r="E44" s="123" t="str">
        <f>'5.Tiên lượng'!D23</f>
        <v>Đào rãnh bằng máy đào 1,25m3 - Cấp đất III</v>
      </c>
      <c r="F44" s="122" t="str">
        <f>'5.Tiên lượng'!E23</f>
        <v>100m3</v>
      </c>
      <c r="G44" s="124"/>
      <c r="H44" s="125"/>
      <c r="I44" s="141"/>
      <c r="J44" s="142">
        <f>J45+J47</f>
        <v>2088510.2708914285</v>
      </c>
    </row>
    <row r="45" spans="1:10">
      <c r="A45" s="126"/>
      <c r="B45" s="127"/>
      <c r="C45" s="128" t="s">
        <v>590</v>
      </c>
      <c r="D45" s="128" t="s">
        <v>590</v>
      </c>
      <c r="E45" s="129" t="s">
        <v>265</v>
      </c>
      <c r="F45" s="127" t="s">
        <v>266</v>
      </c>
      <c r="G45" s="130"/>
      <c r="H45" s="131"/>
      <c r="I45" s="143"/>
      <c r="J45" s="131">
        <f>SUM(J46:J46)</f>
        <v>928189.08</v>
      </c>
    </row>
    <row r="46" spans="1:10">
      <c r="A46" s="67"/>
      <c r="B46" s="66"/>
      <c r="C46" s="132" t="s">
        <v>590</v>
      </c>
      <c r="D46" s="133" t="s">
        <v>598</v>
      </c>
      <c r="E46" s="102" t="str">
        <f>" - "&amp;'Giá NC'!E5</f>
        <v xml:space="preserve"> - Nhân công bậc 3,0/7 - Nhóm 1</v>
      </c>
      <c r="F46" s="66" t="str">
        <f>'Giá NC'!F5</f>
        <v>công</v>
      </c>
      <c r="G46" s="134">
        <f>PTVT!G46</f>
        <v>4.0599999999999996</v>
      </c>
      <c r="H46" s="135">
        <f>'Giá NC'!K5</f>
        <v>228618</v>
      </c>
      <c r="I46" s="144">
        <f>'5.Tiên lượng'!W23</f>
        <v>1</v>
      </c>
      <c r="J46" s="135">
        <f>PRODUCT(G46,H46,I46)</f>
        <v>928189.08</v>
      </c>
    </row>
    <row r="47" spans="1:10">
      <c r="A47" s="126"/>
      <c r="B47" s="127"/>
      <c r="C47" s="128" t="s">
        <v>590</v>
      </c>
      <c r="D47" s="128" t="s">
        <v>590</v>
      </c>
      <c r="E47" s="129" t="s">
        <v>267</v>
      </c>
      <c r="F47" s="127" t="s">
        <v>268</v>
      </c>
      <c r="G47" s="130"/>
      <c r="H47" s="131"/>
      <c r="I47" s="143"/>
      <c r="J47" s="131">
        <f>SUM(J48:J49)</f>
        <v>1160321.1908914286</v>
      </c>
    </row>
    <row r="48" spans="1:10">
      <c r="A48" s="67"/>
      <c r="B48" s="66"/>
      <c r="C48" s="132" t="s">
        <v>590</v>
      </c>
      <c r="D48" s="133" t="s">
        <v>599</v>
      </c>
      <c r="E48" s="102" t="str">
        <f>" - "&amp;'Giá Máy'!E14</f>
        <v xml:space="preserve"> - Máy đào 1,25m3</v>
      </c>
      <c r="F48" s="66" t="str">
        <f>'Giá Máy'!F14</f>
        <v>ca</v>
      </c>
      <c r="G48" s="134">
        <f>PTVT!G48</f>
        <v>0.311</v>
      </c>
      <c r="H48" s="135">
        <f>'Giá Máy'!O14</f>
        <v>3496941.8057142859</v>
      </c>
      <c r="I48" s="144">
        <f>'5.Tiên lượng'!X23</f>
        <v>1</v>
      </c>
      <c r="J48" s="135">
        <f t="shared" ref="J48:J49" si="6">PRODUCT(G48,H48,I48)</f>
        <v>1087548.901577143</v>
      </c>
    </row>
    <row r="49" spans="1:10">
      <c r="A49" s="104"/>
      <c r="B49" s="105"/>
      <c r="C49" s="136" t="s">
        <v>590</v>
      </c>
      <c r="D49" s="137" t="s">
        <v>600</v>
      </c>
      <c r="E49" s="106" t="str">
        <f>" - "&amp;'Giá Máy'!E29</f>
        <v xml:space="preserve"> - Máy ủi 110CV</v>
      </c>
      <c r="F49" s="105" t="str">
        <f>'Giá Máy'!F29</f>
        <v>ca</v>
      </c>
      <c r="G49" s="138">
        <f>PTVT!G49</f>
        <v>0.04</v>
      </c>
      <c r="H49" s="139">
        <f>'Giá Máy'!O29</f>
        <v>1819307.232857143</v>
      </c>
      <c r="I49" s="145">
        <f>'5.Tiên lượng'!X23</f>
        <v>1</v>
      </c>
      <c r="J49" s="139">
        <f t="shared" si="6"/>
        <v>72772.289314285721</v>
      </c>
    </row>
    <row r="50" spans="1:10">
      <c r="A50" s="121"/>
      <c r="B50" s="122">
        <v>8</v>
      </c>
      <c r="C50" s="121" t="str">
        <f>'5.Tiên lượng'!C25</f>
        <v>AB.31134(VD)</v>
      </c>
      <c r="D50" s="121" t="str">
        <f>'5.Tiên lượng'!C25</f>
        <v>AB.31134(VD)</v>
      </c>
      <c r="E50" s="123" t="str">
        <f>'5.Tiên lượng'!D25</f>
        <v>Đào rãnh bằng máy đào 1,25m3 - Cấp đất IV</v>
      </c>
      <c r="F50" s="122" t="str">
        <f>'5.Tiên lượng'!E25</f>
        <v>100m3</v>
      </c>
      <c r="G50" s="124"/>
      <c r="H50" s="125"/>
      <c r="I50" s="141"/>
      <c r="J50" s="142">
        <f>J51+J53</f>
        <v>2687875.7251285715</v>
      </c>
    </row>
    <row r="51" spans="1:10">
      <c r="A51" s="126"/>
      <c r="B51" s="127"/>
      <c r="C51" s="128" t="s">
        <v>590</v>
      </c>
      <c r="D51" s="128" t="s">
        <v>590</v>
      </c>
      <c r="E51" s="129" t="s">
        <v>265</v>
      </c>
      <c r="F51" s="127" t="s">
        <v>266</v>
      </c>
      <c r="G51" s="130"/>
      <c r="H51" s="131"/>
      <c r="I51" s="143"/>
      <c r="J51" s="131">
        <f>SUM(J52:J52)</f>
        <v>1099652.5799999998</v>
      </c>
    </row>
    <row r="52" spans="1:10">
      <c r="A52" s="67"/>
      <c r="B52" s="66"/>
      <c r="C52" s="132" t="s">
        <v>590</v>
      </c>
      <c r="D52" s="133" t="s">
        <v>598</v>
      </c>
      <c r="E52" s="102" t="str">
        <f>" - "&amp;'Giá NC'!E5</f>
        <v xml:space="preserve"> - Nhân công bậc 3,0/7 - Nhóm 1</v>
      </c>
      <c r="F52" s="66" t="str">
        <f>'Giá NC'!F5</f>
        <v>công</v>
      </c>
      <c r="G52" s="134">
        <f>PTVT!G52</f>
        <v>4.8099999999999996</v>
      </c>
      <c r="H52" s="135">
        <f>'Giá NC'!K5</f>
        <v>228618</v>
      </c>
      <c r="I52" s="144">
        <f>'5.Tiên lượng'!W25</f>
        <v>1</v>
      </c>
      <c r="J52" s="135">
        <f>PRODUCT(G52,H52,I52)</f>
        <v>1099652.5799999998</v>
      </c>
    </row>
    <row r="53" spans="1:10">
      <c r="A53" s="126"/>
      <c r="B53" s="127"/>
      <c r="C53" s="128" t="s">
        <v>590</v>
      </c>
      <c r="D53" s="128" t="s">
        <v>590</v>
      </c>
      <c r="E53" s="129" t="s">
        <v>267</v>
      </c>
      <c r="F53" s="127" t="s">
        <v>268</v>
      </c>
      <c r="G53" s="130"/>
      <c r="H53" s="131"/>
      <c r="I53" s="143"/>
      <c r="J53" s="131">
        <f>SUM(J54:J55)</f>
        <v>1588223.1451285714</v>
      </c>
    </row>
    <row r="54" spans="1:10">
      <c r="A54" s="67"/>
      <c r="B54" s="66"/>
      <c r="C54" s="132" t="s">
        <v>590</v>
      </c>
      <c r="D54" s="133" t="s">
        <v>599</v>
      </c>
      <c r="E54" s="102" t="str">
        <f>" - "&amp;'Giá Máy'!E14</f>
        <v xml:space="preserve"> - Máy đào 1,25m3</v>
      </c>
      <c r="F54" s="66" t="str">
        <f>'Giá Máy'!F14</f>
        <v>ca</v>
      </c>
      <c r="G54" s="134">
        <f>PTVT!G54</f>
        <v>0.42399999999999999</v>
      </c>
      <c r="H54" s="135">
        <f>'Giá Máy'!O14</f>
        <v>3496941.8057142859</v>
      </c>
      <c r="I54" s="144">
        <f>'5.Tiên lượng'!X25</f>
        <v>1</v>
      </c>
      <c r="J54" s="135">
        <f t="shared" ref="J54:J55" si="7">PRODUCT(G54,H54,I54)</f>
        <v>1482703.3256228571</v>
      </c>
    </row>
    <row r="55" spans="1:10">
      <c r="A55" s="104"/>
      <c r="B55" s="105"/>
      <c r="C55" s="136" t="s">
        <v>590</v>
      </c>
      <c r="D55" s="137" t="s">
        <v>600</v>
      </c>
      <c r="E55" s="106" t="str">
        <f>" - "&amp;'Giá Máy'!E29</f>
        <v xml:space="preserve"> - Máy ủi 110CV</v>
      </c>
      <c r="F55" s="105" t="str">
        <f>'Giá Máy'!F29</f>
        <v>ca</v>
      </c>
      <c r="G55" s="138">
        <f>PTVT!G55</f>
        <v>5.8000000000000003E-2</v>
      </c>
      <c r="H55" s="139">
        <f>'Giá Máy'!O29</f>
        <v>1819307.232857143</v>
      </c>
      <c r="I55" s="145">
        <f>'5.Tiên lượng'!X25</f>
        <v>1</v>
      </c>
      <c r="J55" s="139">
        <f t="shared" si="7"/>
        <v>105519.8195057143</v>
      </c>
    </row>
    <row r="56" spans="1:10">
      <c r="A56" s="121"/>
      <c r="B56" s="122">
        <v>9</v>
      </c>
      <c r="C56" s="121" t="str">
        <f>'5.Tiên lượng'!C27</f>
        <v>MD.QĐ792</v>
      </c>
      <c r="D56" s="121" t="str">
        <f>'5.Tiên lượng'!C27</f>
        <v>MD.QĐ792</v>
      </c>
      <c r="E56" s="123" t="str">
        <f>'5.Tiên lượng'!D27</f>
        <v>Đào rãnh đá cấp IV bằng máy đào 1,6m3</v>
      </c>
      <c r="F56" s="122" t="str">
        <f>'5.Tiên lượng'!E27</f>
        <v>m3</v>
      </c>
      <c r="G56" s="124"/>
      <c r="H56" s="125"/>
      <c r="I56" s="141"/>
      <c r="J56" s="142">
        <f>J57+J59</f>
        <v>58221.851264599994</v>
      </c>
    </row>
    <row r="57" spans="1:10">
      <c r="A57" s="126"/>
      <c r="B57" s="127"/>
      <c r="C57" s="128" t="s">
        <v>590</v>
      </c>
      <c r="D57" s="128" t="s">
        <v>590</v>
      </c>
      <c r="E57" s="129" t="s">
        <v>265</v>
      </c>
      <c r="F57" s="127" t="s">
        <v>266</v>
      </c>
      <c r="G57" s="130"/>
      <c r="H57" s="131"/>
      <c r="I57" s="143"/>
      <c r="J57" s="131">
        <f>SUM(J58:J58)</f>
        <v>10107.5</v>
      </c>
    </row>
    <row r="58" spans="1:10">
      <c r="A58" s="67"/>
      <c r="B58" s="66"/>
      <c r="C58" s="132" t="s">
        <v>590</v>
      </c>
      <c r="D58" s="133" t="s">
        <v>601</v>
      </c>
      <c r="E58" s="102" t="str">
        <f>" - "&amp;'Giá NC'!E6</f>
        <v xml:space="preserve"> - Nhân công bậc 3,5/7 - Nhóm 1</v>
      </c>
      <c r="F58" s="66" t="str">
        <f>'Giá NC'!F6</f>
        <v>công</v>
      </c>
      <c r="G58" s="134">
        <f>PTVT!G58</f>
        <v>4.0430000000000001E-2</v>
      </c>
      <c r="H58" s="135">
        <f>'Giá NC'!K6</f>
        <v>250000</v>
      </c>
      <c r="I58" s="144">
        <f>'5.Tiên lượng'!W27</f>
        <v>1</v>
      </c>
      <c r="J58" s="135">
        <f>PRODUCT(G58,H58,I58)</f>
        <v>10107.5</v>
      </c>
    </row>
    <row r="59" spans="1:10">
      <c r="A59" s="126"/>
      <c r="B59" s="127"/>
      <c r="C59" s="128" t="s">
        <v>590</v>
      </c>
      <c r="D59" s="128" t="s">
        <v>590</v>
      </c>
      <c r="E59" s="129" t="s">
        <v>267</v>
      </c>
      <c r="F59" s="127" t="s">
        <v>268</v>
      </c>
      <c r="G59" s="130"/>
      <c r="H59" s="131"/>
      <c r="I59" s="143"/>
      <c r="J59" s="131">
        <f>SUM(J60:J60)</f>
        <v>48114.351264599994</v>
      </c>
    </row>
    <row r="60" spans="1:10">
      <c r="A60" s="104"/>
      <c r="B60" s="105"/>
      <c r="C60" s="136" t="s">
        <v>590</v>
      </c>
      <c r="D60" s="137" t="s">
        <v>602</v>
      </c>
      <c r="E60" s="106" t="str">
        <f>" - "&amp;'Giá Máy'!E15</f>
        <v xml:space="preserve"> - Máy đào 1,6m3</v>
      </c>
      <c r="F60" s="105" t="str">
        <f>'Giá Máy'!F15</f>
        <v>ca</v>
      </c>
      <c r="G60" s="138">
        <f>PTVT!G60</f>
        <v>1.123E-2</v>
      </c>
      <c r="H60" s="139">
        <f>'Giá Máy'!O15</f>
        <v>4284448.0199999996</v>
      </c>
      <c r="I60" s="145">
        <f>'5.Tiên lượng'!X27</f>
        <v>1</v>
      </c>
      <c r="J60" s="139">
        <f>PRODUCT(G60,H60,I60)</f>
        <v>48114.351264599994</v>
      </c>
    </row>
    <row r="61" spans="1:10">
      <c r="A61" s="121"/>
      <c r="B61" s="122">
        <v>10</v>
      </c>
      <c r="C61" s="121" t="str">
        <f>'5.Tiên lượng'!C29</f>
        <v>AB.31132(VD)</v>
      </c>
      <c r="D61" s="121" t="str">
        <f>'5.Tiên lượng'!C29</f>
        <v>AB.31132(VD)</v>
      </c>
      <c r="E61" s="123" t="str">
        <f>'5.Tiên lượng'!D29</f>
        <v>Đào cấp bằng máy đào 1,25m3 - Cấp đất II</v>
      </c>
      <c r="F61" s="122" t="str">
        <f>'5.Tiên lượng'!E29</f>
        <v>100m3</v>
      </c>
      <c r="G61" s="124"/>
      <c r="H61" s="125"/>
      <c r="I61" s="141"/>
      <c r="J61" s="142">
        <f>J62+J64</f>
        <v>1761883.4098585716</v>
      </c>
    </row>
    <row r="62" spans="1:10">
      <c r="A62" s="126"/>
      <c r="B62" s="127"/>
      <c r="C62" s="128" t="s">
        <v>590</v>
      </c>
      <c r="D62" s="128" t="s">
        <v>590</v>
      </c>
      <c r="E62" s="129" t="s">
        <v>265</v>
      </c>
      <c r="F62" s="127" t="s">
        <v>266</v>
      </c>
      <c r="G62" s="130"/>
      <c r="H62" s="131"/>
      <c r="I62" s="143"/>
      <c r="J62" s="131">
        <f>SUM(J63:J63)</f>
        <v>775015.02</v>
      </c>
    </row>
    <row r="63" spans="1:10">
      <c r="A63" s="67"/>
      <c r="B63" s="66"/>
      <c r="C63" s="132" t="s">
        <v>590</v>
      </c>
      <c r="D63" s="133" t="s">
        <v>598</v>
      </c>
      <c r="E63" s="102" t="str">
        <f>" - "&amp;'Giá NC'!E5</f>
        <v xml:space="preserve"> - Nhân công bậc 3,0/7 - Nhóm 1</v>
      </c>
      <c r="F63" s="66" t="str">
        <f>'Giá NC'!F5</f>
        <v>công</v>
      </c>
      <c r="G63" s="134">
        <f>PTVT!G63</f>
        <v>3.39</v>
      </c>
      <c r="H63" s="135">
        <f>'Giá NC'!K5</f>
        <v>228618</v>
      </c>
      <c r="I63" s="144">
        <f>'5.Tiên lượng'!W29</f>
        <v>1</v>
      </c>
      <c r="J63" s="135">
        <f>PRODUCT(G63,H63,I63)</f>
        <v>775015.02</v>
      </c>
    </row>
    <row r="64" spans="1:10">
      <c r="A64" s="126"/>
      <c r="B64" s="127"/>
      <c r="C64" s="128" t="s">
        <v>590</v>
      </c>
      <c r="D64" s="128" t="s">
        <v>590</v>
      </c>
      <c r="E64" s="129" t="s">
        <v>267</v>
      </c>
      <c r="F64" s="127" t="s">
        <v>268</v>
      </c>
      <c r="G64" s="130"/>
      <c r="H64" s="131"/>
      <c r="I64" s="143"/>
      <c r="J64" s="131">
        <f>SUM(J65:J66)</f>
        <v>986868.38985857158</v>
      </c>
    </row>
    <row r="65" spans="1:10">
      <c r="A65" s="67"/>
      <c r="B65" s="66"/>
      <c r="C65" s="132" t="s">
        <v>590</v>
      </c>
      <c r="D65" s="133" t="s">
        <v>599</v>
      </c>
      <c r="E65" s="102" t="str">
        <f>" - "&amp;'Giá Máy'!E14</f>
        <v xml:space="preserve"> - Máy đào 1,25m3</v>
      </c>
      <c r="F65" s="66" t="str">
        <f>'Giá Máy'!F14</f>
        <v>ca</v>
      </c>
      <c r="G65" s="134">
        <f>PTVT!G65</f>
        <v>0.26400000000000001</v>
      </c>
      <c r="H65" s="135">
        <f>'Giá Máy'!O14</f>
        <v>3496941.8057142859</v>
      </c>
      <c r="I65" s="144">
        <f>'5.Tiên lượng'!X29</f>
        <v>1</v>
      </c>
      <c r="J65" s="135">
        <f t="shared" ref="J65:J66" si="8">PRODUCT(G65,H65,I65)</f>
        <v>923192.63670857158</v>
      </c>
    </row>
    <row r="66" spans="1:10">
      <c r="A66" s="104"/>
      <c r="B66" s="105"/>
      <c r="C66" s="136" t="s">
        <v>590</v>
      </c>
      <c r="D66" s="137" t="s">
        <v>600</v>
      </c>
      <c r="E66" s="106" t="str">
        <f>" - "&amp;'Giá Máy'!E29</f>
        <v xml:space="preserve"> - Máy ủi 110CV</v>
      </c>
      <c r="F66" s="105" t="str">
        <f>'Giá Máy'!F29</f>
        <v>ca</v>
      </c>
      <c r="G66" s="138">
        <f>PTVT!G66</f>
        <v>3.5000000000000003E-2</v>
      </c>
      <c r="H66" s="139">
        <f>'Giá Máy'!O29</f>
        <v>1819307.232857143</v>
      </c>
      <c r="I66" s="145">
        <f>'5.Tiên lượng'!X29</f>
        <v>1</v>
      </c>
      <c r="J66" s="139">
        <f t="shared" si="8"/>
        <v>63675.753150000011</v>
      </c>
    </row>
    <row r="67" spans="1:10">
      <c r="A67" s="121"/>
      <c r="B67" s="122">
        <v>11</v>
      </c>
      <c r="C67" s="121" t="str">
        <f>'5.Tiên lượng'!C31</f>
        <v>AB.31132</v>
      </c>
      <c r="D67" s="121" t="str">
        <f>'5.Tiên lượng'!C31</f>
        <v>AB.31132</v>
      </c>
      <c r="E67" s="123" t="str">
        <f>'5.Tiên lượng'!D31</f>
        <v>Đào hữu cơ bằng máy đào 1,25m3 - Cấp đất II</v>
      </c>
      <c r="F67" s="122" t="str">
        <f>'5.Tiên lượng'!E31</f>
        <v>100m3</v>
      </c>
      <c r="G67" s="124"/>
      <c r="H67" s="125"/>
      <c r="I67" s="141"/>
      <c r="J67" s="142">
        <f>J68+J70</f>
        <v>1736140.930154572</v>
      </c>
    </row>
    <row r="68" spans="1:10">
      <c r="A68" s="126"/>
      <c r="B68" s="127"/>
      <c r="C68" s="128" t="s">
        <v>590</v>
      </c>
      <c r="D68" s="128" t="s">
        <v>590</v>
      </c>
      <c r="E68" s="129" t="s">
        <v>265</v>
      </c>
      <c r="F68" s="127" t="s">
        <v>266</v>
      </c>
      <c r="G68" s="130"/>
      <c r="H68" s="131"/>
      <c r="I68" s="143"/>
      <c r="J68" s="131">
        <f>SUM(J69:J69)</f>
        <v>775015.02</v>
      </c>
    </row>
    <row r="69" spans="1:10">
      <c r="A69" s="67"/>
      <c r="B69" s="66"/>
      <c r="C69" s="132" t="s">
        <v>590</v>
      </c>
      <c r="D69" s="133" t="s">
        <v>598</v>
      </c>
      <c r="E69" s="102" t="str">
        <f>" - "&amp;'Giá NC'!E5</f>
        <v xml:space="preserve"> - Nhân công bậc 3,0/7 - Nhóm 1</v>
      </c>
      <c r="F69" s="66" t="str">
        <f>'Giá NC'!F5</f>
        <v>công</v>
      </c>
      <c r="G69" s="134">
        <f>PTVT!G69</f>
        <v>3.39</v>
      </c>
      <c r="H69" s="135">
        <f>'Giá NC'!K5</f>
        <v>228618</v>
      </c>
      <c r="I69" s="144">
        <f>'5.Tiên lượng'!W31</f>
        <v>1</v>
      </c>
      <c r="J69" s="135">
        <f>PRODUCT(G69,H69,I69)</f>
        <v>775015.02</v>
      </c>
    </row>
    <row r="70" spans="1:10">
      <c r="A70" s="126"/>
      <c r="B70" s="127"/>
      <c r="C70" s="128" t="s">
        <v>590</v>
      </c>
      <c r="D70" s="128" t="s">
        <v>590</v>
      </c>
      <c r="E70" s="129" t="s">
        <v>267</v>
      </c>
      <c r="F70" s="127" t="s">
        <v>268</v>
      </c>
      <c r="G70" s="130"/>
      <c r="H70" s="131"/>
      <c r="I70" s="143"/>
      <c r="J70" s="131">
        <v>961125.91015457199</v>
      </c>
    </row>
    <row r="71" spans="1:10">
      <c r="A71" s="67"/>
      <c r="B71" s="66"/>
      <c r="C71" s="132" t="s">
        <v>590</v>
      </c>
      <c r="D71" s="133" t="s">
        <v>599</v>
      </c>
      <c r="E71" s="102" t="str">
        <f>" - "&amp;'Giá Máy'!E14</f>
        <v xml:space="preserve"> - Máy đào 1,25m3</v>
      </c>
      <c r="F71" s="66" t="str">
        <f>'Giá Máy'!F14</f>
        <v>ca</v>
      </c>
      <c r="G71" s="134">
        <f>PTVT!G71</f>
        <v>0.26400000000000001</v>
      </c>
      <c r="H71" s="135">
        <f>'Giá Máy'!O14</f>
        <v>3496941.8057142859</v>
      </c>
      <c r="I71" s="144">
        <f>'5.Tiên lượng'!X31</f>
        <v>1</v>
      </c>
      <c r="J71" s="135">
        <f t="shared" ref="J71:J72" si="9">PRODUCT(G71,H71,I71)</f>
        <v>923192.63670857158</v>
      </c>
    </row>
    <row r="72" spans="1:10">
      <c r="A72" s="104"/>
      <c r="B72" s="105"/>
      <c r="C72" s="136" t="s">
        <v>590</v>
      </c>
      <c r="D72" s="137" t="s">
        <v>600</v>
      </c>
      <c r="E72" s="106" t="str">
        <f>" - "&amp;'Giá Máy'!E29</f>
        <v xml:space="preserve"> - Máy ủi 110CV</v>
      </c>
      <c r="F72" s="105" t="str">
        <f>'Giá Máy'!F29</f>
        <v>ca</v>
      </c>
      <c r="G72" s="138">
        <f>PTVT!G72</f>
        <v>3.5000000000000003E-2</v>
      </c>
      <c r="H72" s="139">
        <f>'Giá Máy'!O29</f>
        <v>1819307.232857143</v>
      </c>
      <c r="I72" s="145">
        <f>'5.Tiên lượng'!X31</f>
        <v>1</v>
      </c>
      <c r="J72" s="139">
        <f t="shared" si="9"/>
        <v>63675.753150000011</v>
      </c>
    </row>
    <row r="73" spans="1:10">
      <c r="A73" s="114"/>
      <c r="B73" s="115"/>
      <c r="C73" s="116" t="s">
        <v>339</v>
      </c>
      <c r="D73" s="117" t="s">
        <v>339</v>
      </c>
      <c r="E73" s="118" t="s">
        <v>376</v>
      </c>
      <c r="F73" s="115"/>
      <c r="G73" s="119"/>
      <c r="H73" s="120"/>
      <c r="I73" s="140"/>
      <c r="J73" s="120" t="s">
        <v>597</v>
      </c>
    </row>
    <row r="74" spans="1:10">
      <c r="A74" s="121"/>
      <c r="B74" s="122">
        <v>12</v>
      </c>
      <c r="C74" s="121" t="str">
        <f>'5.Tiên lượng'!C34</f>
        <v>AB.67110</v>
      </c>
      <c r="D74" s="121" t="str">
        <f>'5.Tiên lượng'!C34</f>
        <v>AB.67110</v>
      </c>
      <c r="E74" s="123" t="str">
        <f>'5.Tiên lượng'!D34</f>
        <v>Đắp đá hỗn hợp công trình bằng máy ủi 180CV</v>
      </c>
      <c r="F74" s="122" t="str">
        <f>'5.Tiên lượng'!E34</f>
        <v>100m3</v>
      </c>
      <c r="G74" s="124"/>
      <c r="H74" s="125"/>
      <c r="I74" s="141"/>
      <c r="J74" s="142">
        <f>J75+J77</f>
        <v>4310546.4288000008</v>
      </c>
    </row>
    <row r="75" spans="1:10">
      <c r="A75" s="126"/>
      <c r="B75" s="127"/>
      <c r="C75" s="128" t="s">
        <v>590</v>
      </c>
      <c r="D75" s="128" t="s">
        <v>590</v>
      </c>
      <c r="E75" s="129" t="s">
        <v>265</v>
      </c>
      <c r="F75" s="127" t="s">
        <v>266</v>
      </c>
      <c r="G75" s="130"/>
      <c r="H75" s="131"/>
      <c r="I75" s="143"/>
      <c r="J75" s="131">
        <f>SUM(J76:J76)</f>
        <v>857317.5</v>
      </c>
    </row>
    <row r="76" spans="1:10">
      <c r="A76" s="67"/>
      <c r="B76" s="66"/>
      <c r="C76" s="132" t="s">
        <v>590</v>
      </c>
      <c r="D76" s="133" t="s">
        <v>598</v>
      </c>
      <c r="E76" s="102" t="str">
        <f>" - "&amp;'Giá NC'!E5</f>
        <v xml:space="preserve"> - Nhân công bậc 3,0/7 - Nhóm 1</v>
      </c>
      <c r="F76" s="66" t="str">
        <f>'Giá NC'!F5</f>
        <v>công</v>
      </c>
      <c r="G76" s="134">
        <f>PTVT!G76</f>
        <v>3.75</v>
      </c>
      <c r="H76" s="135">
        <f>'Giá NC'!K5</f>
        <v>228618</v>
      </c>
      <c r="I76" s="144">
        <f>'5.Tiên lượng'!W34</f>
        <v>1</v>
      </c>
      <c r="J76" s="135">
        <f>PRODUCT(G76,H76,I76)</f>
        <v>857317.5</v>
      </c>
    </row>
    <row r="77" spans="1:10">
      <c r="A77" s="126"/>
      <c r="B77" s="127"/>
      <c r="C77" s="128" t="s">
        <v>590</v>
      </c>
      <c r="D77" s="128" t="s">
        <v>590</v>
      </c>
      <c r="E77" s="129" t="s">
        <v>267</v>
      </c>
      <c r="F77" s="127" t="s">
        <v>268</v>
      </c>
      <c r="G77" s="130"/>
      <c r="H77" s="131"/>
      <c r="I77" s="143"/>
      <c r="J77" s="131">
        <f>SUM(J78:J78)</f>
        <v>3453228.9288000008</v>
      </c>
    </row>
    <row r="78" spans="1:10">
      <c r="A78" s="104"/>
      <c r="B78" s="105"/>
      <c r="C78" s="136" t="s">
        <v>590</v>
      </c>
      <c r="D78" s="137" t="s">
        <v>603</v>
      </c>
      <c r="E78" s="106" t="str">
        <f>" - "&amp;'Giá Máy'!E30</f>
        <v xml:space="preserve"> - Máy ủi 180CV</v>
      </c>
      <c r="F78" s="105" t="str">
        <f>'Giá Máy'!F30</f>
        <v>ca</v>
      </c>
      <c r="G78" s="138">
        <f>PTVT!G78</f>
        <v>1.1200000000000001</v>
      </c>
      <c r="H78" s="139">
        <f>'Giá Máy'!O30</f>
        <v>3083240.1150000002</v>
      </c>
      <c r="I78" s="145">
        <f>'5.Tiên lượng'!X34</f>
        <v>1</v>
      </c>
      <c r="J78" s="139">
        <f>PRODUCT(G78,H78,I78)</f>
        <v>3453228.9288000008</v>
      </c>
    </row>
    <row r="79" spans="1:10">
      <c r="A79" s="121"/>
      <c r="B79" s="122">
        <v>13</v>
      </c>
      <c r="C79" s="121" t="str">
        <f>'5.Tiên lượng'!C36</f>
        <v>AD.11212</v>
      </c>
      <c r="D79" s="121" t="str">
        <f>'5.Tiên lượng'!C36</f>
        <v>AD.11212</v>
      </c>
      <c r="E79" s="123" t="str">
        <f>'5.Tiên lượng'!D36</f>
        <v>Thi công đắp cấp phối đá dăm loại 2</v>
      </c>
      <c r="F79" s="122" t="str">
        <f>'5.Tiên lượng'!E36</f>
        <v>100m3</v>
      </c>
      <c r="G79" s="124"/>
      <c r="H79" s="125"/>
      <c r="I79" s="141"/>
      <c r="J79" s="142">
        <f>J80+J82+J84</f>
        <v>35361297.757013127</v>
      </c>
    </row>
    <row r="80" spans="1:10">
      <c r="A80" s="126"/>
      <c r="B80" s="127"/>
      <c r="C80" s="128" t="s">
        <v>590</v>
      </c>
      <c r="D80" s="128" t="s">
        <v>590</v>
      </c>
      <c r="E80" s="129" t="s">
        <v>262</v>
      </c>
      <c r="F80" s="127" t="s">
        <v>263</v>
      </c>
      <c r="G80" s="130"/>
      <c r="H80" s="131"/>
      <c r="I80" s="143"/>
      <c r="J80" s="131">
        <f>SUM(J81:J81)</f>
        <v>32221379.337286752</v>
      </c>
    </row>
    <row r="81" spans="1:10">
      <c r="A81" s="67"/>
      <c r="B81" s="66"/>
      <c r="C81" s="132" t="s">
        <v>590</v>
      </c>
      <c r="D81" s="133" t="s">
        <v>604</v>
      </c>
      <c r="E81" s="102" t="str">
        <f>" - "&amp;'Giá VL'!E13</f>
        <v xml:space="preserve"> - Cấp phối đá dăm loại 2</v>
      </c>
      <c r="F81" s="66" t="str">
        <f>'Giá VL'!F13</f>
        <v>m3</v>
      </c>
      <c r="G81" s="134">
        <f>PTVT!G81</f>
        <v>134</v>
      </c>
      <c r="H81" s="135">
        <f>'Giá VL'!V13</f>
        <v>240458.05475587127</v>
      </c>
      <c r="I81" s="144">
        <f>'5.Tiên lượng'!V36</f>
        <v>1</v>
      </c>
      <c r="J81" s="135">
        <f>PRODUCT(G81,H81,I81)</f>
        <v>32221379.337286752</v>
      </c>
    </row>
    <row r="82" spans="1:10">
      <c r="A82" s="126"/>
      <c r="B82" s="127"/>
      <c r="C82" s="128" t="s">
        <v>590</v>
      </c>
      <c r="D82" s="128" t="s">
        <v>590</v>
      </c>
      <c r="E82" s="129" t="s">
        <v>265</v>
      </c>
      <c r="F82" s="127" t="s">
        <v>266</v>
      </c>
      <c r="G82" s="130"/>
      <c r="H82" s="131"/>
      <c r="I82" s="143"/>
      <c r="J82" s="131">
        <f>SUM(J83:J83)</f>
        <v>770352.96000000008</v>
      </c>
    </row>
    <row r="83" spans="1:10">
      <c r="A83" s="67"/>
      <c r="B83" s="66"/>
      <c r="C83" s="132" t="s">
        <v>590</v>
      </c>
      <c r="D83" s="133" t="s">
        <v>605</v>
      </c>
      <c r="E83" s="102" t="str">
        <f>" - "&amp;'Giá NC'!E7</f>
        <v xml:space="preserve"> - Nhân công bậc 3,0/7 - Nhóm 2</v>
      </c>
      <c r="F83" s="66" t="str">
        <f>'Giá NC'!F7</f>
        <v>công</v>
      </c>
      <c r="G83" s="134">
        <f>PTVT!G83</f>
        <v>3.12</v>
      </c>
      <c r="H83" s="135">
        <f>'Giá NC'!K7</f>
        <v>246908</v>
      </c>
      <c r="I83" s="144">
        <f>'5.Tiên lượng'!W36</f>
        <v>1</v>
      </c>
      <c r="J83" s="135">
        <f>PRODUCT(G83,H83,I83)</f>
        <v>770352.96000000008</v>
      </c>
    </row>
    <row r="84" spans="1:10">
      <c r="A84" s="126"/>
      <c r="B84" s="127"/>
      <c r="C84" s="128" t="s">
        <v>590</v>
      </c>
      <c r="D84" s="128" t="s">
        <v>590</v>
      </c>
      <c r="E84" s="129" t="s">
        <v>267</v>
      </c>
      <c r="F84" s="127" t="s">
        <v>268</v>
      </c>
      <c r="G84" s="130"/>
      <c r="H84" s="131"/>
      <c r="I84" s="143"/>
      <c r="J84" s="131">
        <f>SUM(J85:J90)</f>
        <v>2369565.459726376</v>
      </c>
    </row>
    <row r="85" spans="1:10">
      <c r="A85" s="67"/>
      <c r="B85" s="66"/>
      <c r="C85" s="132" t="s">
        <v>590</v>
      </c>
      <c r="D85" s="133" t="s">
        <v>606</v>
      </c>
      <c r="E85" s="102" t="str">
        <f>" - "&amp;'Giá Máy'!E24</f>
        <v xml:space="preserve"> - Máy rải cấp phối đá dăm 50 - 60m3/h</v>
      </c>
      <c r="F85" s="66" t="str">
        <f>'Giá Máy'!F24</f>
        <v>ca</v>
      </c>
      <c r="G85" s="134">
        <f>PTVT!G85</f>
        <v>0.21</v>
      </c>
      <c r="H85" s="135">
        <f>'Giá Máy'!O24</f>
        <v>3572483.6555555556</v>
      </c>
      <c r="I85" s="144">
        <f>'5.Tiên lượng'!X36</f>
        <v>1</v>
      </c>
      <c r="J85" s="135">
        <f t="shared" ref="J85:J90" si="10">PRODUCT(G85,H85,I85)</f>
        <v>750221.5676666667</v>
      </c>
    </row>
    <row r="86" spans="1:10">
      <c r="A86" s="67"/>
      <c r="B86" s="66"/>
      <c r="C86" s="132" t="s">
        <v>590</v>
      </c>
      <c r="D86" s="133" t="s">
        <v>607</v>
      </c>
      <c r="E86" s="102" t="str">
        <f>" - "&amp;'Giá Máy'!E19</f>
        <v xml:space="preserve"> - Máy lu rung tự hành 25T</v>
      </c>
      <c r="F86" s="66" t="str">
        <f>'Giá Máy'!F19</f>
        <v>ca</v>
      </c>
      <c r="G86" s="134">
        <f>PTVT!G86</f>
        <v>0.32</v>
      </c>
      <c r="H86" s="135">
        <f>'Giá Máy'!O19</f>
        <v>2794294.0688888887</v>
      </c>
      <c r="I86" s="144">
        <f>'5.Tiên lượng'!X36</f>
        <v>1</v>
      </c>
      <c r="J86" s="135">
        <f t="shared" si="10"/>
        <v>894174.10204444441</v>
      </c>
    </row>
    <row r="87" spans="1:10">
      <c r="A87" s="67"/>
      <c r="B87" s="66"/>
      <c r="C87" s="132" t="s">
        <v>590</v>
      </c>
      <c r="D87" s="133" t="s">
        <v>608</v>
      </c>
      <c r="E87" s="102" t="str">
        <f>" - "&amp;'Giá Máy'!E38</f>
        <v xml:space="preserve"> - Máy lu bánh hơi tự hành 16T</v>
      </c>
      <c r="F87" s="66" t="str">
        <f>'Giá Máy'!F38</f>
        <v>ca</v>
      </c>
      <c r="G87" s="134">
        <f>PTVT!G87</f>
        <v>0.12</v>
      </c>
      <c r="H87" s="135">
        <f>'Giá Máy'!O38</f>
        <v>1553246.5422222223</v>
      </c>
      <c r="I87" s="144">
        <f>'5.Tiên lượng'!X36</f>
        <v>1</v>
      </c>
      <c r="J87" s="135">
        <f t="shared" si="10"/>
        <v>186389.58506666668</v>
      </c>
    </row>
    <row r="88" spans="1:10">
      <c r="A88" s="67"/>
      <c r="B88" s="66"/>
      <c r="C88" s="132" t="s">
        <v>590</v>
      </c>
      <c r="D88" s="133" t="s">
        <v>609</v>
      </c>
      <c r="E88" s="102" t="str">
        <f>" - "&amp;'Giá Máy'!E17</f>
        <v xml:space="preserve"> - Máy lu bánh thép 10T</v>
      </c>
      <c r="F88" s="66" t="str">
        <f>'Giá Máy'!F17</f>
        <v>ca</v>
      </c>
      <c r="G88" s="134">
        <f>PTVT!G88</f>
        <v>0.26</v>
      </c>
      <c r="H88" s="135">
        <f>'Giá Máy'!O17</f>
        <v>1132157.2474074075</v>
      </c>
      <c r="I88" s="144">
        <f>'5.Tiên lượng'!X36</f>
        <v>1</v>
      </c>
      <c r="J88" s="135">
        <f t="shared" si="10"/>
        <v>294360.88432592596</v>
      </c>
    </row>
    <row r="89" spans="1:10">
      <c r="A89" s="67"/>
      <c r="B89" s="66"/>
      <c r="C89" s="132" t="s">
        <v>590</v>
      </c>
      <c r="D89" s="133" t="s">
        <v>610</v>
      </c>
      <c r="E89" s="102" t="str">
        <f>" - "&amp;'Giá Máy'!E33</f>
        <v xml:space="preserve"> - Ô tô tưới nước 5m3</v>
      </c>
      <c r="F89" s="66" t="str">
        <f>'Giá Máy'!F33</f>
        <v>ca</v>
      </c>
      <c r="G89" s="134">
        <f>PTVT!G89</f>
        <v>0.21</v>
      </c>
      <c r="H89" s="135">
        <f>'Giá Máy'!O33</f>
        <v>1107763.9892307692</v>
      </c>
      <c r="I89" s="144">
        <f>'5.Tiên lượng'!X36</f>
        <v>1</v>
      </c>
      <c r="J89" s="135">
        <f t="shared" si="10"/>
        <v>232630.43773846154</v>
      </c>
    </row>
    <row r="90" spans="1:10">
      <c r="A90" s="104"/>
      <c r="B90" s="105"/>
      <c r="C90" s="136" t="s">
        <v>590</v>
      </c>
      <c r="D90" s="137" t="s">
        <v>611</v>
      </c>
      <c r="E90" s="106" t="s">
        <v>612</v>
      </c>
      <c r="F90" s="105" t="s">
        <v>37</v>
      </c>
      <c r="G90" s="138">
        <f>PTVT!G90</f>
        <v>0.5</v>
      </c>
      <c r="H90" s="139">
        <f>(G85*H85+G86*H86+G87*H87+G88*H88+G89*H89)/100</f>
        <v>23577.76576842165</v>
      </c>
      <c r="I90" s="145">
        <f>'5.Tiên lượng'!X36</f>
        <v>1</v>
      </c>
      <c r="J90" s="139">
        <f t="shared" si="10"/>
        <v>11788.882884210825</v>
      </c>
    </row>
    <row r="91" spans="1:10">
      <c r="A91" s="121"/>
      <c r="B91" s="122">
        <v>14</v>
      </c>
      <c r="C91" s="121" t="str">
        <f>'5.Tiên lượng'!C38</f>
        <v>AB.64123</v>
      </c>
      <c r="D91" s="121" t="str">
        <f>'5.Tiên lượng'!C38</f>
        <v>AB.64123</v>
      </c>
      <c r="E91" s="123" t="str">
        <f>'5.Tiên lượng'!D38</f>
        <v>Đắp nền đường bằng máy lu bánh thép 16T, máy ủi 110CV, độ chặt Y/C K = 0,95</v>
      </c>
      <c r="F91" s="122" t="str">
        <f>'5.Tiên lượng'!E38</f>
        <v>100m3</v>
      </c>
      <c r="G91" s="124"/>
      <c r="H91" s="125"/>
      <c r="I91" s="141"/>
      <c r="J91" s="142">
        <f>J92+J94</f>
        <v>1078045.848854545</v>
      </c>
    </row>
    <row r="92" spans="1:10">
      <c r="A92" s="126"/>
      <c r="B92" s="127"/>
      <c r="C92" s="128" t="s">
        <v>590</v>
      </c>
      <c r="D92" s="128" t="s">
        <v>590</v>
      </c>
      <c r="E92" s="129" t="s">
        <v>265</v>
      </c>
      <c r="F92" s="127" t="s">
        <v>266</v>
      </c>
      <c r="G92" s="130"/>
      <c r="H92" s="131"/>
      <c r="I92" s="143"/>
      <c r="J92" s="131">
        <f>SUM(J93:J93)</f>
        <v>331496.09999999998</v>
      </c>
    </row>
    <row r="93" spans="1:10">
      <c r="A93" s="67"/>
      <c r="B93" s="66"/>
      <c r="C93" s="132" t="s">
        <v>590</v>
      </c>
      <c r="D93" s="133" t="s">
        <v>598</v>
      </c>
      <c r="E93" s="102" t="str">
        <f>" - "&amp;'Giá NC'!E5</f>
        <v xml:space="preserve"> - Nhân công bậc 3,0/7 - Nhóm 1</v>
      </c>
      <c r="F93" s="66" t="str">
        <f>'Giá NC'!F5</f>
        <v>công</v>
      </c>
      <c r="G93" s="134">
        <f>PTVT!G93</f>
        <v>1.45</v>
      </c>
      <c r="H93" s="135">
        <f>'Giá NC'!K5</f>
        <v>228618</v>
      </c>
      <c r="I93" s="144">
        <f>'5.Tiên lượng'!W38</f>
        <v>1</v>
      </c>
      <c r="J93" s="135">
        <f>PRODUCT(G93,H93,I93)</f>
        <v>331496.09999999998</v>
      </c>
    </row>
    <row r="94" spans="1:10">
      <c r="A94" s="126"/>
      <c r="B94" s="127"/>
      <c r="C94" s="128" t="s">
        <v>590</v>
      </c>
      <c r="D94" s="128" t="s">
        <v>590</v>
      </c>
      <c r="E94" s="129" t="s">
        <v>267</v>
      </c>
      <c r="F94" s="127" t="s">
        <v>268</v>
      </c>
      <c r="G94" s="130"/>
      <c r="H94" s="131"/>
      <c r="I94" s="143"/>
      <c r="J94" s="131">
        <v>746549.74885454495</v>
      </c>
    </row>
    <row r="95" spans="1:10">
      <c r="A95" s="67"/>
      <c r="B95" s="66"/>
      <c r="C95" s="132" t="s">
        <v>590</v>
      </c>
      <c r="D95" s="133" t="s">
        <v>613</v>
      </c>
      <c r="E95" s="102" t="str">
        <f>" - "&amp;'Giá Máy'!E42</f>
        <v xml:space="preserve"> - Máy lu bánh thép 16T</v>
      </c>
      <c r="F95" s="66" t="str">
        <f>'Giá Máy'!F42</f>
        <v>ca</v>
      </c>
      <c r="G95" s="134">
        <f>PTVT!G95</f>
        <v>0.33500000000000002</v>
      </c>
      <c r="H95" s="135">
        <f>'Giá Máy'!O42</f>
        <v>1372616.6911111111</v>
      </c>
      <c r="I95" s="144">
        <f>'5.Tiên lượng'!X38</f>
        <v>1</v>
      </c>
      <c r="J95" s="135">
        <f t="shared" ref="J95:J97" si="11">PRODUCT(G95,H95,I95)</f>
        <v>459826.59152222227</v>
      </c>
    </row>
    <row r="96" spans="1:10">
      <c r="A96" s="67"/>
      <c r="B96" s="66"/>
      <c r="C96" s="132" t="s">
        <v>590</v>
      </c>
      <c r="D96" s="133" t="s">
        <v>600</v>
      </c>
      <c r="E96" s="102" t="str">
        <f>" - "&amp;'Giá Máy'!E29</f>
        <v xml:space="preserve"> - Máy ủi 110CV</v>
      </c>
      <c r="F96" s="66" t="str">
        <f>'Giá Máy'!F29</f>
        <v>ca</v>
      </c>
      <c r="G96" s="134">
        <f>PTVT!G96</f>
        <v>0.16700000000000001</v>
      </c>
      <c r="H96" s="135">
        <f>'Giá Máy'!O29</f>
        <v>1819307.232857143</v>
      </c>
      <c r="I96" s="144">
        <f>'5.Tiên lượng'!X38</f>
        <v>1</v>
      </c>
      <c r="J96" s="135">
        <f t="shared" si="11"/>
        <v>303824.30788714293</v>
      </c>
    </row>
    <row r="97" spans="1:10">
      <c r="A97" s="104"/>
      <c r="B97" s="105"/>
      <c r="C97" s="136" t="s">
        <v>590</v>
      </c>
      <c r="D97" s="137" t="s">
        <v>611</v>
      </c>
      <c r="E97" s="106" t="s">
        <v>612</v>
      </c>
      <c r="F97" s="105" t="s">
        <v>37</v>
      </c>
      <c r="G97" s="138">
        <f>PTVT!G97</f>
        <v>1.5</v>
      </c>
      <c r="H97" s="139">
        <f>(G95*H95+G96*H96)/100</f>
        <v>7636.5089940936514</v>
      </c>
      <c r="I97" s="145">
        <f>'5.Tiên lượng'!X38</f>
        <v>1</v>
      </c>
      <c r="J97" s="139">
        <f t="shared" si="11"/>
        <v>11454.763491140477</v>
      </c>
    </row>
    <row r="98" spans="1:10">
      <c r="A98" s="114"/>
      <c r="B98" s="115"/>
      <c r="C98" s="116" t="s">
        <v>339</v>
      </c>
      <c r="D98" s="117" t="s">
        <v>339</v>
      </c>
      <c r="E98" s="118" t="s">
        <v>387</v>
      </c>
      <c r="F98" s="115"/>
      <c r="G98" s="119"/>
      <c r="H98" s="120"/>
      <c r="I98" s="140"/>
      <c r="J98" s="120" t="s">
        <v>597</v>
      </c>
    </row>
    <row r="99" spans="1:10">
      <c r="A99" s="114"/>
      <c r="B99" s="115"/>
      <c r="C99" s="116" t="s">
        <v>339</v>
      </c>
      <c r="D99" s="117" t="s">
        <v>339</v>
      </c>
      <c r="E99" s="118" t="s">
        <v>388</v>
      </c>
      <c r="F99" s="115"/>
      <c r="G99" s="119"/>
      <c r="H99" s="120"/>
      <c r="I99" s="140"/>
      <c r="J99" s="120" t="s">
        <v>597</v>
      </c>
    </row>
    <row r="100" spans="1:10">
      <c r="A100" s="121"/>
      <c r="B100" s="122">
        <v>15</v>
      </c>
      <c r="C100" s="121" t="str">
        <f>'5.Tiên lượng'!C42</f>
        <v>AB.31134VD</v>
      </c>
      <c r="D100" s="121" t="str">
        <f>'5.Tiên lượng'!C42</f>
        <v>AB.31134VD</v>
      </c>
      <c r="E100" s="123" t="str">
        <f>'5.Tiên lượng'!D42</f>
        <v>Đào khuôn đường cũ cấp phối bằng máy đào 1,25m3</v>
      </c>
      <c r="F100" s="122" t="str">
        <f>'5.Tiên lượng'!E42</f>
        <v>m3</v>
      </c>
      <c r="G100" s="124"/>
      <c r="H100" s="125"/>
      <c r="I100" s="141"/>
      <c r="J100" s="142">
        <f>J101+J103</f>
        <v>26878.757251285715</v>
      </c>
    </row>
    <row r="101" spans="1:10">
      <c r="A101" s="126"/>
      <c r="B101" s="127"/>
      <c r="C101" s="128" t="s">
        <v>590</v>
      </c>
      <c r="D101" s="128" t="s">
        <v>590</v>
      </c>
      <c r="E101" s="129" t="s">
        <v>265</v>
      </c>
      <c r="F101" s="127" t="s">
        <v>266</v>
      </c>
      <c r="G101" s="130"/>
      <c r="H101" s="131"/>
      <c r="I101" s="143"/>
      <c r="J101" s="131">
        <f>SUM(J102:J102)</f>
        <v>10996.525799999999</v>
      </c>
    </row>
    <row r="102" spans="1:10">
      <c r="A102" s="67"/>
      <c r="B102" s="66"/>
      <c r="C102" s="132" t="s">
        <v>590</v>
      </c>
      <c r="D102" s="133" t="s">
        <v>598</v>
      </c>
      <c r="E102" s="102" t="str">
        <f>" - "&amp;'Giá NC'!E5</f>
        <v xml:space="preserve"> - Nhân công bậc 3,0/7 - Nhóm 1</v>
      </c>
      <c r="F102" s="66" t="str">
        <f>'Giá NC'!F5</f>
        <v>công</v>
      </c>
      <c r="G102" s="134">
        <f>PTVT!G102</f>
        <v>4.8099999999999997E-2</v>
      </c>
      <c r="H102" s="135">
        <f>'Giá NC'!K5</f>
        <v>228618</v>
      </c>
      <c r="I102" s="144">
        <f>'5.Tiên lượng'!W42</f>
        <v>1</v>
      </c>
      <c r="J102" s="135">
        <f>PRODUCT(G102,H102,I102)</f>
        <v>10996.525799999999</v>
      </c>
    </row>
    <row r="103" spans="1:10">
      <c r="A103" s="126"/>
      <c r="B103" s="127"/>
      <c r="C103" s="128" t="s">
        <v>590</v>
      </c>
      <c r="D103" s="128" t="s">
        <v>590</v>
      </c>
      <c r="E103" s="129" t="s">
        <v>267</v>
      </c>
      <c r="F103" s="127" t="s">
        <v>268</v>
      </c>
      <c r="G103" s="130"/>
      <c r="H103" s="131"/>
      <c r="I103" s="143"/>
      <c r="J103" s="131">
        <f>SUM(J104:J105)</f>
        <v>15882.231451285714</v>
      </c>
    </row>
    <row r="104" spans="1:10">
      <c r="A104" s="67"/>
      <c r="B104" s="66"/>
      <c r="C104" s="132" t="s">
        <v>590</v>
      </c>
      <c r="D104" s="133" t="s">
        <v>599</v>
      </c>
      <c r="E104" s="102" t="str">
        <f>" - "&amp;'Giá Máy'!E14</f>
        <v xml:space="preserve"> - Máy đào 1,25m3</v>
      </c>
      <c r="F104" s="66" t="str">
        <f>'Giá Máy'!F14</f>
        <v>ca</v>
      </c>
      <c r="G104" s="134">
        <f>PTVT!G104</f>
        <v>4.2399999999999998E-3</v>
      </c>
      <c r="H104" s="135">
        <f>'Giá Máy'!O14</f>
        <v>3496941.8057142859</v>
      </c>
      <c r="I104" s="144">
        <f>'5.Tiên lượng'!X42</f>
        <v>1</v>
      </c>
      <c r="J104" s="135">
        <f t="shared" ref="J104:J105" si="12">PRODUCT(G104,H104,I104)</f>
        <v>14827.033256228571</v>
      </c>
    </row>
    <row r="105" spans="1:10">
      <c r="A105" s="104"/>
      <c r="B105" s="105"/>
      <c r="C105" s="136" t="s">
        <v>590</v>
      </c>
      <c r="D105" s="137" t="s">
        <v>600</v>
      </c>
      <c r="E105" s="106" t="str">
        <f>" - "&amp;'Giá Máy'!E29</f>
        <v xml:space="preserve"> - Máy ủi 110CV</v>
      </c>
      <c r="F105" s="105" t="str">
        <f>'Giá Máy'!F29</f>
        <v>ca</v>
      </c>
      <c r="G105" s="138">
        <f>PTVT!G105</f>
        <v>5.8E-4</v>
      </c>
      <c r="H105" s="139">
        <f>'Giá Máy'!O29</f>
        <v>1819307.232857143</v>
      </c>
      <c r="I105" s="145">
        <f>'5.Tiên lượng'!X42</f>
        <v>1</v>
      </c>
      <c r="J105" s="139">
        <f t="shared" si="12"/>
        <v>1055.198195057143</v>
      </c>
    </row>
    <row r="106" spans="1:10">
      <c r="A106" s="121"/>
      <c r="B106" s="122">
        <v>16</v>
      </c>
      <c r="C106" s="121" t="str">
        <f>'5.Tiên lượng'!C43</f>
        <v>AB.31133</v>
      </c>
      <c r="D106" s="121" t="str">
        <f>'5.Tiên lượng'!C43</f>
        <v>AB.31133</v>
      </c>
      <c r="E106" s="123" t="str">
        <f>'5.Tiên lượng'!D43</f>
        <v>Đào nền đường bằng máy đào 1,25m3 - Cấp đất III</v>
      </c>
      <c r="F106" s="122" t="str">
        <f>'5.Tiên lượng'!E43</f>
        <v>100m3</v>
      </c>
      <c r="G106" s="124"/>
      <c r="H106" s="125"/>
      <c r="I106" s="141"/>
      <c r="J106" s="142">
        <f>J107+J109</f>
        <v>2058259.58799543</v>
      </c>
    </row>
    <row r="107" spans="1:10">
      <c r="A107" s="126"/>
      <c r="B107" s="127"/>
      <c r="C107" s="128" t="s">
        <v>590</v>
      </c>
      <c r="D107" s="128" t="s">
        <v>590</v>
      </c>
      <c r="E107" s="129" t="s">
        <v>265</v>
      </c>
      <c r="F107" s="127" t="s">
        <v>266</v>
      </c>
      <c r="G107" s="130"/>
      <c r="H107" s="131"/>
      <c r="I107" s="143"/>
      <c r="J107" s="131">
        <f>SUM(J108:J108)</f>
        <v>928189.08</v>
      </c>
    </row>
    <row r="108" spans="1:10">
      <c r="A108" s="67"/>
      <c r="B108" s="66"/>
      <c r="C108" s="132" t="s">
        <v>590</v>
      </c>
      <c r="D108" s="133" t="s">
        <v>598</v>
      </c>
      <c r="E108" s="102" t="str">
        <f>" - "&amp;'Giá NC'!E5</f>
        <v xml:space="preserve"> - Nhân công bậc 3,0/7 - Nhóm 1</v>
      </c>
      <c r="F108" s="66" t="str">
        <f>'Giá NC'!F5</f>
        <v>công</v>
      </c>
      <c r="G108" s="134">
        <f>PTVT!G108</f>
        <v>4.0599999999999996</v>
      </c>
      <c r="H108" s="135">
        <f>'Giá NC'!K5</f>
        <v>228618</v>
      </c>
      <c r="I108" s="144">
        <f>'5.Tiên lượng'!W43</f>
        <v>1</v>
      </c>
      <c r="J108" s="135">
        <f>PRODUCT(G108,H108,I108)</f>
        <v>928189.08</v>
      </c>
    </row>
    <row r="109" spans="1:10">
      <c r="A109" s="126"/>
      <c r="B109" s="127"/>
      <c r="C109" s="128" t="s">
        <v>590</v>
      </c>
      <c r="D109" s="128" t="s">
        <v>590</v>
      </c>
      <c r="E109" s="129" t="s">
        <v>267</v>
      </c>
      <c r="F109" s="127" t="s">
        <v>268</v>
      </c>
      <c r="G109" s="130"/>
      <c r="H109" s="131"/>
      <c r="I109" s="143"/>
      <c r="J109" s="131">
        <v>1130070.5079954299</v>
      </c>
    </row>
    <row r="110" spans="1:10">
      <c r="A110" s="67"/>
      <c r="B110" s="66"/>
      <c r="C110" s="132" t="s">
        <v>590</v>
      </c>
      <c r="D110" s="133" t="s">
        <v>599</v>
      </c>
      <c r="E110" s="102" t="str">
        <f>" - "&amp;'Giá Máy'!E14</f>
        <v xml:space="preserve"> - Máy đào 1,25m3</v>
      </c>
      <c r="F110" s="66" t="str">
        <f>'Giá Máy'!F14</f>
        <v>ca</v>
      </c>
      <c r="G110" s="134">
        <f>PTVT!G110</f>
        <v>0.311</v>
      </c>
      <c r="H110" s="135">
        <f>'Giá Máy'!O14</f>
        <v>3496941.8057142859</v>
      </c>
      <c r="I110" s="144">
        <f>'5.Tiên lượng'!X43</f>
        <v>1</v>
      </c>
      <c r="J110" s="135">
        <f t="shared" ref="J110:J111" si="13">PRODUCT(G110,H110,I110)</f>
        <v>1087548.901577143</v>
      </c>
    </row>
    <row r="111" spans="1:10">
      <c r="A111" s="104"/>
      <c r="B111" s="105"/>
      <c r="C111" s="136" t="s">
        <v>590</v>
      </c>
      <c r="D111" s="137" t="s">
        <v>600</v>
      </c>
      <c r="E111" s="106" t="str">
        <f>" - "&amp;'Giá Máy'!E29</f>
        <v xml:space="preserve"> - Máy ủi 110CV</v>
      </c>
      <c r="F111" s="105" t="str">
        <f>'Giá Máy'!F29</f>
        <v>ca</v>
      </c>
      <c r="G111" s="138">
        <f>PTVT!G111</f>
        <v>0.04</v>
      </c>
      <c r="H111" s="139">
        <f>'Giá Máy'!O29</f>
        <v>1819307.232857143</v>
      </c>
      <c r="I111" s="145">
        <f>'5.Tiên lượng'!X43</f>
        <v>1</v>
      </c>
      <c r="J111" s="139">
        <f t="shared" si="13"/>
        <v>72772.289314285721</v>
      </c>
    </row>
    <row r="112" spans="1:10">
      <c r="A112" s="114"/>
      <c r="B112" s="115"/>
      <c r="C112" s="116" t="s">
        <v>339</v>
      </c>
      <c r="D112" s="117" t="s">
        <v>339</v>
      </c>
      <c r="E112" s="118" t="s">
        <v>391</v>
      </c>
      <c r="F112" s="115"/>
      <c r="G112" s="119"/>
      <c r="H112" s="120"/>
      <c r="I112" s="140"/>
      <c r="J112" s="120" t="s">
        <v>597</v>
      </c>
    </row>
    <row r="113" spans="1:10">
      <c r="A113" s="121"/>
      <c r="B113" s="122">
        <v>17</v>
      </c>
      <c r="C113" s="121" t="str">
        <f>'5.Tiên lượng'!C46</f>
        <v>AF.15433</v>
      </c>
      <c r="D113" s="121" t="str">
        <f>'5.Tiên lượng'!C46</f>
        <v>AF.15433</v>
      </c>
      <c r="E113" s="123" t="str">
        <f>'5.Tiên lượng'!D46</f>
        <v>Bê tông sản xuất bằng máy trộn và đổ bằng thủ công, bê tông mặt đường dày mặt đường ≤25cm, bê tông M250, đá 2x4, PCB40</v>
      </c>
      <c r="F113" s="122" t="str">
        <f>'5.Tiên lượng'!E46</f>
        <v>m3</v>
      </c>
      <c r="G113" s="124"/>
      <c r="H113" s="125"/>
      <c r="I113" s="141"/>
      <c r="J113" s="142">
        <f>J114+J122+J124</f>
        <v>1659684.0823362314</v>
      </c>
    </row>
    <row r="114" spans="1:10">
      <c r="A114" s="126"/>
      <c r="B114" s="127"/>
      <c r="C114" s="128" t="s">
        <v>590</v>
      </c>
      <c r="D114" s="128" t="s">
        <v>590</v>
      </c>
      <c r="E114" s="129" t="s">
        <v>262</v>
      </c>
      <c r="F114" s="127" t="s">
        <v>263</v>
      </c>
      <c r="G114" s="130"/>
      <c r="H114" s="131"/>
      <c r="I114" s="143"/>
      <c r="J114" s="131">
        <f>SUM(J115:J121)</f>
        <v>1244486.1695588657</v>
      </c>
    </row>
    <row r="115" spans="1:10">
      <c r="A115" s="67"/>
      <c r="B115" s="66"/>
      <c r="C115" s="132" t="s">
        <v>590</v>
      </c>
      <c r="D115" s="133" t="s">
        <v>614</v>
      </c>
      <c r="E115" s="102" t="str">
        <f>" - "&amp;'Giá VL'!E45</f>
        <v xml:space="preserve"> - Xi măng PCB40</v>
      </c>
      <c r="F115" s="66" t="str">
        <f>'Giá VL'!F45</f>
        <v>kg</v>
      </c>
      <c r="G115" s="134">
        <f>PTVT!G115</f>
        <v>291.10000000000002</v>
      </c>
      <c r="H115" s="135">
        <f>'Giá VL'!V45</f>
        <v>1730</v>
      </c>
      <c r="I115" s="144">
        <f>'5.Tiên lượng'!V46</f>
        <v>1</v>
      </c>
      <c r="J115" s="135">
        <f t="shared" ref="J115:J121" si="14">PRODUCT(G115,H115,I115)</f>
        <v>503603.00000000006</v>
      </c>
    </row>
    <row r="116" spans="1:10">
      <c r="A116" s="67"/>
      <c r="B116" s="66"/>
      <c r="C116" s="132" t="s">
        <v>590</v>
      </c>
      <c r="D116" s="133" t="s">
        <v>615</v>
      </c>
      <c r="E116" s="102" t="str">
        <f>" - "&amp;'Giá VL'!E17</f>
        <v xml:space="preserve"> - Cát vàng</v>
      </c>
      <c r="F116" s="66" t="str">
        <f>'Giá VL'!F17</f>
        <v>m3</v>
      </c>
      <c r="G116" s="134">
        <f>PTVT!G116</f>
        <v>0.54325000000000001</v>
      </c>
      <c r="H116" s="135">
        <f>'Giá VL'!V17</f>
        <v>659026.49526849983</v>
      </c>
      <c r="I116" s="144">
        <f>'5.Tiên lượng'!V46</f>
        <v>1</v>
      </c>
      <c r="J116" s="135">
        <f t="shared" si="14"/>
        <v>358016.14355461253</v>
      </c>
    </row>
    <row r="117" spans="1:10">
      <c r="A117" s="67"/>
      <c r="B117" s="66"/>
      <c r="C117" s="132" t="s">
        <v>590</v>
      </c>
      <c r="D117" s="133" t="s">
        <v>616</v>
      </c>
      <c r="E117" s="102" t="str">
        <f>" - "&amp;'Giá VL'!E19</f>
        <v xml:space="preserve"> - Đá 2x4</v>
      </c>
      <c r="F117" s="66" t="str">
        <f>'Giá VL'!F19</f>
        <v>m3</v>
      </c>
      <c r="G117" s="134">
        <f>PTVT!G117</f>
        <v>0.882525</v>
      </c>
      <c r="H117" s="135">
        <f>'Giá VL'!V19</f>
        <v>310458.0547558713</v>
      </c>
      <c r="I117" s="144">
        <f>'5.Tiên lượng'!V46</f>
        <v>1</v>
      </c>
      <c r="J117" s="135">
        <f t="shared" si="14"/>
        <v>273986.99477342534</v>
      </c>
    </row>
    <row r="118" spans="1:10">
      <c r="A118" s="67"/>
      <c r="B118" s="66"/>
      <c r="C118" s="132" t="s">
        <v>590</v>
      </c>
      <c r="D118" s="133" t="s">
        <v>617</v>
      </c>
      <c r="E118" s="102" t="str">
        <f>" - "&amp;'Giá VL'!E33</f>
        <v xml:space="preserve"> - Nước</v>
      </c>
      <c r="F118" s="66" t="str">
        <f>'Giá VL'!F33</f>
        <v>lít</v>
      </c>
      <c r="G118" s="134">
        <f>PTVT!G118</f>
        <v>177.32499999999999</v>
      </c>
      <c r="H118" s="135">
        <f>'Giá VL'!V33</f>
        <v>15</v>
      </c>
      <c r="I118" s="144">
        <f>'5.Tiên lượng'!V46</f>
        <v>1</v>
      </c>
      <c r="J118" s="135">
        <f t="shared" si="14"/>
        <v>2659.875</v>
      </c>
    </row>
    <row r="119" spans="1:10">
      <c r="A119" s="67"/>
      <c r="B119" s="66"/>
      <c r="C119" s="132" t="s">
        <v>590</v>
      </c>
      <c r="D119" s="133" t="s">
        <v>618</v>
      </c>
      <c r="E119" s="102" t="str">
        <f>" - "&amp;'Giá VL'!E25</f>
        <v xml:space="preserve"> - Gỗ làm khe co dãn</v>
      </c>
      <c r="F119" s="66" t="str">
        <f>'Giá VL'!F25</f>
        <v>m3</v>
      </c>
      <c r="G119" s="134">
        <f>PTVT!G119</f>
        <v>1.4E-2</v>
      </c>
      <c r="H119" s="135">
        <f>'Giá VL'!V25</f>
        <v>2844105.8536283039</v>
      </c>
      <c r="I119" s="144">
        <f>'5.Tiên lượng'!V46</f>
        <v>1</v>
      </c>
      <c r="J119" s="135">
        <f t="shared" si="14"/>
        <v>39817.481950796253</v>
      </c>
    </row>
    <row r="120" spans="1:10">
      <c r="A120" s="67"/>
      <c r="B120" s="66"/>
      <c r="C120" s="132" t="s">
        <v>590</v>
      </c>
      <c r="D120" s="133" t="s">
        <v>619</v>
      </c>
      <c r="E120" s="102" t="str">
        <f>" - "&amp;'Giá VL'!E31</f>
        <v xml:space="preserve"> - Nhựa đường</v>
      </c>
      <c r="F120" s="66" t="str">
        <f>'Giá VL'!F31</f>
        <v>kg</v>
      </c>
      <c r="G120" s="134">
        <f>PTVT!G120</f>
        <v>3.5</v>
      </c>
      <c r="H120" s="135">
        <f>'Giá VL'!V31</f>
        <v>13717.500872863939</v>
      </c>
      <c r="I120" s="144">
        <f>'5.Tiên lượng'!V46</f>
        <v>1</v>
      </c>
      <c r="J120" s="135">
        <f t="shared" si="14"/>
        <v>48011.253055023786</v>
      </c>
    </row>
    <row r="121" spans="1:10">
      <c r="A121" s="67"/>
      <c r="B121" s="66"/>
      <c r="C121" s="132" t="s">
        <v>590</v>
      </c>
      <c r="D121" s="133" t="s">
        <v>620</v>
      </c>
      <c r="E121" s="102" t="s">
        <v>621</v>
      </c>
      <c r="F121" s="66" t="s">
        <v>37</v>
      </c>
      <c r="G121" s="134">
        <f>PTVT!G121</f>
        <v>1.5</v>
      </c>
      <c r="H121" s="135">
        <f>(G115*H115+G116*H116+G117*H117+G118*H118+G119*H119+G120*H120)/100</f>
        <v>12260.947483338579</v>
      </c>
      <c r="I121" s="144">
        <f>'5.Tiên lượng'!V46</f>
        <v>1</v>
      </c>
      <c r="J121" s="135">
        <f t="shared" si="14"/>
        <v>18391.421225007871</v>
      </c>
    </row>
    <row r="122" spans="1:10">
      <c r="A122" s="126"/>
      <c r="B122" s="127"/>
      <c r="C122" s="128" t="s">
        <v>590</v>
      </c>
      <c r="D122" s="128" t="s">
        <v>590</v>
      </c>
      <c r="E122" s="129" t="s">
        <v>265</v>
      </c>
      <c r="F122" s="127" t="s">
        <v>266</v>
      </c>
      <c r="G122" s="130"/>
      <c r="H122" s="131"/>
      <c r="I122" s="143"/>
      <c r="J122" s="131">
        <f>SUM(J123:J123)</f>
        <v>332910</v>
      </c>
    </row>
    <row r="123" spans="1:10">
      <c r="A123" s="67"/>
      <c r="B123" s="66"/>
      <c r="C123" s="132" t="s">
        <v>590</v>
      </c>
      <c r="D123" s="133" t="s">
        <v>622</v>
      </c>
      <c r="E123" s="102" t="str">
        <f>" - "&amp;'Giá NC'!E9</f>
        <v xml:space="preserve"> - Nhân công bậc 3,5/7 - Nhóm 2</v>
      </c>
      <c r="F123" s="66" t="str">
        <f>'Giá NC'!F9</f>
        <v>công</v>
      </c>
      <c r="G123" s="134">
        <f>PTVT!G123</f>
        <v>1.37</v>
      </c>
      <c r="H123" s="135">
        <f>'Giá NC'!K9</f>
        <v>270000</v>
      </c>
      <c r="I123" s="144">
        <f>'5.Tiên lượng'!W46</f>
        <v>0.9</v>
      </c>
      <c r="J123" s="135">
        <f>PRODUCT(G123,H123,I123)</f>
        <v>332910</v>
      </c>
    </row>
    <row r="124" spans="1:10">
      <c r="A124" s="126"/>
      <c r="B124" s="127"/>
      <c r="C124" s="128" t="s">
        <v>590</v>
      </c>
      <c r="D124" s="128" t="s">
        <v>590</v>
      </c>
      <c r="E124" s="129" t="s">
        <v>267</v>
      </c>
      <c r="F124" s="127" t="s">
        <v>268</v>
      </c>
      <c r="G124" s="130"/>
      <c r="H124" s="131"/>
      <c r="I124" s="143"/>
      <c r="J124" s="131">
        <f>SUM(J125:J128)</f>
        <v>82287.912777365709</v>
      </c>
    </row>
    <row r="125" spans="1:10">
      <c r="A125" s="67"/>
      <c r="B125" s="66"/>
      <c r="C125" s="132" t="s">
        <v>590</v>
      </c>
      <c r="D125" s="133" t="s">
        <v>623</v>
      </c>
      <c r="E125" s="102" t="str">
        <f>" - "&amp;'Giá Máy'!E27</f>
        <v xml:space="preserve"> - Máy trộn bê tông 250 lít</v>
      </c>
      <c r="F125" s="66" t="str">
        <f>'Giá Máy'!F27</f>
        <v>ca</v>
      </c>
      <c r="G125" s="134">
        <f>PTVT!G125</f>
        <v>9.5000000000000001E-2</v>
      </c>
      <c r="H125" s="135">
        <f>'Giá Máy'!O27</f>
        <v>326305.98864499998</v>
      </c>
      <c r="I125" s="144">
        <f>'5.Tiên lượng'!X46</f>
        <v>1</v>
      </c>
      <c r="J125" s="135">
        <f t="shared" ref="J125:J128" si="15">PRODUCT(G125,H125,I125)</f>
        <v>30999.068921274997</v>
      </c>
    </row>
    <row r="126" spans="1:10">
      <c r="A126" s="67"/>
      <c r="B126" s="66"/>
      <c r="C126" s="132" t="s">
        <v>590</v>
      </c>
      <c r="D126" s="133" t="s">
        <v>624</v>
      </c>
      <c r="E126" s="102" t="str">
        <f>" - "&amp;'Giá Máy'!E10</f>
        <v xml:space="preserve"> - Máy đầm bàn 1kW</v>
      </c>
      <c r="F126" s="66" t="str">
        <f>'Giá Máy'!F10</f>
        <v>ca</v>
      </c>
      <c r="G126" s="134">
        <f>PTVT!G126</f>
        <v>8.8999999999999996E-2</v>
      </c>
      <c r="H126" s="135">
        <f>'Giá Máy'!O10</f>
        <v>276870.75847500004</v>
      </c>
      <c r="I126" s="144">
        <f>'5.Tiên lượng'!X46</f>
        <v>1</v>
      </c>
      <c r="J126" s="135">
        <f t="shared" si="15"/>
        <v>24641.497504275001</v>
      </c>
    </row>
    <row r="127" spans="1:10">
      <c r="A127" s="67"/>
      <c r="B127" s="66"/>
      <c r="C127" s="132" t="s">
        <v>590</v>
      </c>
      <c r="D127" s="133" t="s">
        <v>625</v>
      </c>
      <c r="E127" s="102" t="str">
        <f>" - "&amp;'Giá Máy'!E12</f>
        <v xml:space="preserve"> - Máy đầm dùi 1,5kW</v>
      </c>
      <c r="F127" s="66" t="str">
        <f>'Giá Máy'!F12</f>
        <v>ca</v>
      </c>
      <c r="G127" s="134">
        <f>PTVT!G127</f>
        <v>8.8999999999999996E-2</v>
      </c>
      <c r="H127" s="135">
        <f>'Giá Máy'!O12</f>
        <v>281279.30186500004</v>
      </c>
      <c r="I127" s="144">
        <f>'5.Tiên lượng'!X46</f>
        <v>1</v>
      </c>
      <c r="J127" s="135">
        <f t="shared" si="15"/>
        <v>25033.857865985003</v>
      </c>
    </row>
    <row r="128" spans="1:10">
      <c r="A128" s="104"/>
      <c r="B128" s="105"/>
      <c r="C128" s="136" t="s">
        <v>590</v>
      </c>
      <c r="D128" s="137" t="s">
        <v>611</v>
      </c>
      <c r="E128" s="106" t="s">
        <v>612</v>
      </c>
      <c r="F128" s="105" t="s">
        <v>37</v>
      </c>
      <c r="G128" s="138">
        <f>PTVT!G128</f>
        <v>2</v>
      </c>
      <c r="H128" s="139">
        <f>(G125*H125+G126*H126+G127*H127)/100</f>
        <v>806.74424291535001</v>
      </c>
      <c r="I128" s="145">
        <f>'5.Tiên lượng'!X46</f>
        <v>1</v>
      </c>
      <c r="J128" s="139">
        <f t="shared" si="15"/>
        <v>1613.4884858307</v>
      </c>
    </row>
    <row r="129" spans="1:10">
      <c r="A129" s="121"/>
      <c r="B129" s="122">
        <v>18</v>
      </c>
      <c r="C129" s="121" t="str">
        <f>'5.Tiên lượng'!C49</f>
        <v>AL.16201</v>
      </c>
      <c r="D129" s="121" t="str">
        <f>'5.Tiên lượng'!C49</f>
        <v>AL.16201</v>
      </c>
      <c r="E129" s="123" t="str">
        <f>'5.Tiên lượng'!D49</f>
        <v>Ni lông chống thấm</v>
      </c>
      <c r="F129" s="122" t="str">
        <f>'5.Tiên lượng'!E49</f>
        <v>100m2</v>
      </c>
      <c r="G129" s="124"/>
      <c r="H129" s="125"/>
      <c r="I129" s="141"/>
      <c r="J129" s="142">
        <f>J130+J133</f>
        <v>260940</v>
      </c>
    </row>
    <row r="130" spans="1:10">
      <c r="A130" s="126"/>
      <c r="B130" s="127"/>
      <c r="C130" s="128" t="s">
        <v>590</v>
      </c>
      <c r="D130" s="128" t="s">
        <v>590</v>
      </c>
      <c r="E130" s="129" t="s">
        <v>262</v>
      </c>
      <c r="F130" s="127" t="s">
        <v>263</v>
      </c>
      <c r="G130" s="130"/>
      <c r="H130" s="131"/>
      <c r="I130" s="143"/>
      <c r="J130" s="131">
        <f>SUM(J131:J132)</f>
        <v>220440</v>
      </c>
    </row>
    <row r="131" spans="1:10">
      <c r="A131" s="67"/>
      <c r="B131" s="66"/>
      <c r="C131" s="132" t="s">
        <v>590</v>
      </c>
      <c r="D131" s="133" t="s">
        <v>626</v>
      </c>
      <c r="E131" s="102" t="str">
        <f>" - "&amp;'Giá VL'!E24</f>
        <v xml:space="preserve"> - Ni Lông</v>
      </c>
      <c r="F131" s="66" t="str">
        <f>'Giá VL'!F24</f>
        <v>m2</v>
      </c>
      <c r="G131" s="134">
        <f>PTVT!G131</f>
        <v>110</v>
      </c>
      <c r="H131" s="135">
        <f>'Giá VL'!V24</f>
        <v>2000</v>
      </c>
      <c r="I131" s="144">
        <f>'5.Tiên lượng'!V49</f>
        <v>1</v>
      </c>
      <c r="J131" s="135">
        <f t="shared" ref="J131:J132" si="16">PRODUCT(G131,H131,I131)</f>
        <v>220000</v>
      </c>
    </row>
    <row r="132" spans="1:10">
      <c r="A132" s="67"/>
      <c r="B132" s="66"/>
      <c r="C132" s="132" t="s">
        <v>590</v>
      </c>
      <c r="D132" s="133" t="s">
        <v>620</v>
      </c>
      <c r="E132" s="102" t="s">
        <v>621</v>
      </c>
      <c r="F132" s="66" t="s">
        <v>37</v>
      </c>
      <c r="G132" s="134">
        <f>PTVT!G132</f>
        <v>0.2</v>
      </c>
      <c r="H132" s="135">
        <f>(G131*H131)/100</f>
        <v>2200</v>
      </c>
      <c r="I132" s="144">
        <f>'5.Tiên lượng'!V49</f>
        <v>1</v>
      </c>
      <c r="J132" s="135">
        <f t="shared" si="16"/>
        <v>440</v>
      </c>
    </row>
    <row r="133" spans="1:10">
      <c r="A133" s="126"/>
      <c r="B133" s="127"/>
      <c r="C133" s="128" t="s">
        <v>590</v>
      </c>
      <c r="D133" s="128" t="s">
        <v>590</v>
      </c>
      <c r="E133" s="129" t="s">
        <v>265</v>
      </c>
      <c r="F133" s="127" t="s">
        <v>266</v>
      </c>
      <c r="G133" s="130"/>
      <c r="H133" s="131"/>
      <c r="I133" s="143"/>
      <c r="J133" s="131">
        <f>SUM(J134:J134)</f>
        <v>40500</v>
      </c>
    </row>
    <row r="134" spans="1:10">
      <c r="A134" s="104"/>
      <c r="B134" s="105"/>
      <c r="C134" s="136" t="s">
        <v>590</v>
      </c>
      <c r="D134" s="137" t="s">
        <v>622</v>
      </c>
      <c r="E134" s="106" t="str">
        <f>" - "&amp;'Giá NC'!E9</f>
        <v xml:space="preserve"> - Nhân công bậc 3,5/7 - Nhóm 2</v>
      </c>
      <c r="F134" s="105" t="str">
        <f>'Giá NC'!F9</f>
        <v>công</v>
      </c>
      <c r="G134" s="138">
        <f>PTVT!G134</f>
        <v>0.15</v>
      </c>
      <c r="H134" s="139">
        <f>'Giá NC'!K9</f>
        <v>270000</v>
      </c>
      <c r="I134" s="145">
        <f>'5.Tiên lượng'!W49</f>
        <v>1</v>
      </c>
      <c r="J134" s="139">
        <f>PRODUCT(G134,H134,I134)</f>
        <v>40500</v>
      </c>
    </row>
    <row r="135" spans="1:10">
      <c r="A135" s="121"/>
      <c r="B135" s="122">
        <v>19</v>
      </c>
      <c r="C135" s="121" t="str">
        <f>'5.Tiên lượng'!C51</f>
        <v>AD.11212</v>
      </c>
      <c r="D135" s="121" t="str">
        <f>'5.Tiên lượng'!C51</f>
        <v>AD.11212</v>
      </c>
      <c r="E135" s="123" t="str">
        <f>'5.Tiên lượng'!D51</f>
        <v xml:space="preserve">Thi công móng cấp phối đá dăm lớp dưới </v>
      </c>
      <c r="F135" s="122" t="str">
        <f>'5.Tiên lượng'!E51</f>
        <v>100m3</v>
      </c>
      <c r="G135" s="124"/>
      <c r="H135" s="125"/>
      <c r="I135" s="141"/>
      <c r="J135" s="142">
        <f>J136+J138+J140</f>
        <v>35361297.757013127</v>
      </c>
    </row>
    <row r="136" spans="1:10">
      <c r="A136" s="126"/>
      <c r="B136" s="127"/>
      <c r="C136" s="128" t="s">
        <v>590</v>
      </c>
      <c r="D136" s="128" t="s">
        <v>590</v>
      </c>
      <c r="E136" s="129" t="s">
        <v>262</v>
      </c>
      <c r="F136" s="127" t="s">
        <v>263</v>
      </c>
      <c r="G136" s="130"/>
      <c r="H136" s="131"/>
      <c r="I136" s="143"/>
      <c r="J136" s="131">
        <f>SUM(J137:J137)</f>
        <v>32221379.337286752</v>
      </c>
    </row>
    <row r="137" spans="1:10">
      <c r="A137" s="67"/>
      <c r="B137" s="66"/>
      <c r="C137" s="132" t="s">
        <v>590</v>
      </c>
      <c r="D137" s="133" t="s">
        <v>604</v>
      </c>
      <c r="E137" s="102" t="str">
        <f>" - "&amp;'Giá VL'!E13</f>
        <v xml:space="preserve"> - Cấp phối đá dăm loại 2</v>
      </c>
      <c r="F137" s="66" t="str">
        <f>'Giá VL'!F13</f>
        <v>m3</v>
      </c>
      <c r="G137" s="134">
        <f>PTVT!G137</f>
        <v>134</v>
      </c>
      <c r="H137" s="135">
        <f>'Giá VL'!V13</f>
        <v>240458.05475587127</v>
      </c>
      <c r="I137" s="144">
        <f>'5.Tiên lượng'!V51</f>
        <v>1</v>
      </c>
      <c r="J137" s="135">
        <f>PRODUCT(G137,H137,I137)</f>
        <v>32221379.337286752</v>
      </c>
    </row>
    <row r="138" spans="1:10">
      <c r="A138" s="126"/>
      <c r="B138" s="127"/>
      <c r="C138" s="128" t="s">
        <v>590</v>
      </c>
      <c r="D138" s="128" t="s">
        <v>590</v>
      </c>
      <c r="E138" s="129" t="s">
        <v>265</v>
      </c>
      <c r="F138" s="127" t="s">
        <v>266</v>
      </c>
      <c r="G138" s="130"/>
      <c r="H138" s="131"/>
      <c r="I138" s="143"/>
      <c r="J138" s="131">
        <f>SUM(J139:J139)</f>
        <v>770352.96000000008</v>
      </c>
    </row>
    <row r="139" spans="1:10">
      <c r="A139" s="67"/>
      <c r="B139" s="66"/>
      <c r="C139" s="132" t="s">
        <v>590</v>
      </c>
      <c r="D139" s="133" t="s">
        <v>605</v>
      </c>
      <c r="E139" s="102" t="str">
        <f>" - "&amp;'Giá NC'!E8</f>
        <v xml:space="preserve"> - Nhân công bậc 3,0/7 - Nhóm 2</v>
      </c>
      <c r="F139" s="66" t="str">
        <f>'Giá NC'!F8</f>
        <v>công</v>
      </c>
      <c r="G139" s="134">
        <f>PTVT!G139</f>
        <v>3.12</v>
      </c>
      <c r="H139" s="135">
        <f>'Giá NC'!K8</f>
        <v>246908</v>
      </c>
      <c r="I139" s="144">
        <f>'5.Tiên lượng'!W51</f>
        <v>1</v>
      </c>
      <c r="J139" s="135">
        <f>PRODUCT(G139,H139,I139)</f>
        <v>770352.96000000008</v>
      </c>
    </row>
    <row r="140" spans="1:10">
      <c r="A140" s="126"/>
      <c r="B140" s="127"/>
      <c r="C140" s="128" t="s">
        <v>590</v>
      </c>
      <c r="D140" s="128" t="s">
        <v>590</v>
      </c>
      <c r="E140" s="129" t="s">
        <v>267</v>
      </c>
      <c r="F140" s="127" t="s">
        <v>268</v>
      </c>
      <c r="G140" s="130"/>
      <c r="H140" s="131"/>
      <c r="I140" s="143"/>
      <c r="J140" s="131">
        <f>SUM(J141:J146)</f>
        <v>2369565.459726376</v>
      </c>
    </row>
    <row r="141" spans="1:10">
      <c r="A141" s="67"/>
      <c r="B141" s="66"/>
      <c r="C141" s="132" t="s">
        <v>590</v>
      </c>
      <c r="D141" s="133" t="s">
        <v>606</v>
      </c>
      <c r="E141" s="102" t="str">
        <f>" - "&amp;'Giá Máy'!E24</f>
        <v xml:space="preserve"> - Máy rải cấp phối đá dăm 50 - 60m3/h</v>
      </c>
      <c r="F141" s="66" t="str">
        <f>'Giá Máy'!F24</f>
        <v>ca</v>
      </c>
      <c r="G141" s="134">
        <f>PTVT!G141</f>
        <v>0.21</v>
      </c>
      <c r="H141" s="135">
        <f>'Giá Máy'!O24</f>
        <v>3572483.6555555556</v>
      </c>
      <c r="I141" s="144">
        <f>'5.Tiên lượng'!X51</f>
        <v>1</v>
      </c>
      <c r="J141" s="135">
        <f t="shared" ref="J141:J146" si="17">PRODUCT(G141,H141,I141)</f>
        <v>750221.5676666667</v>
      </c>
    </row>
    <row r="142" spans="1:10">
      <c r="A142" s="67"/>
      <c r="B142" s="66"/>
      <c r="C142" s="132" t="s">
        <v>590</v>
      </c>
      <c r="D142" s="133" t="s">
        <v>607</v>
      </c>
      <c r="E142" s="102" t="str">
        <f>" - "&amp;'Giá Máy'!E19</f>
        <v xml:space="preserve"> - Máy lu rung tự hành 25T</v>
      </c>
      <c r="F142" s="66" t="str">
        <f>'Giá Máy'!F19</f>
        <v>ca</v>
      </c>
      <c r="G142" s="134">
        <f>PTVT!G142</f>
        <v>0.32</v>
      </c>
      <c r="H142" s="135">
        <f>'Giá Máy'!O19</f>
        <v>2794294.0688888887</v>
      </c>
      <c r="I142" s="144">
        <f>'5.Tiên lượng'!X51</f>
        <v>1</v>
      </c>
      <c r="J142" s="135">
        <f t="shared" si="17"/>
        <v>894174.10204444441</v>
      </c>
    </row>
    <row r="143" spans="1:10">
      <c r="A143" s="67"/>
      <c r="B143" s="66"/>
      <c r="C143" s="132" t="s">
        <v>590</v>
      </c>
      <c r="D143" s="133" t="s">
        <v>608</v>
      </c>
      <c r="E143" s="102" t="str">
        <f>" - "&amp;'Giá Máy'!E38</f>
        <v xml:space="preserve"> - Máy lu bánh hơi tự hành 16T</v>
      </c>
      <c r="F143" s="66" t="str">
        <f>'Giá Máy'!F38</f>
        <v>ca</v>
      </c>
      <c r="G143" s="134">
        <f>PTVT!G143</f>
        <v>0.12</v>
      </c>
      <c r="H143" s="135">
        <f>'Giá Máy'!O38</f>
        <v>1553246.5422222223</v>
      </c>
      <c r="I143" s="144">
        <f>'5.Tiên lượng'!X51</f>
        <v>1</v>
      </c>
      <c r="J143" s="135">
        <f t="shared" si="17"/>
        <v>186389.58506666668</v>
      </c>
    </row>
    <row r="144" spans="1:10">
      <c r="A144" s="67"/>
      <c r="B144" s="66"/>
      <c r="C144" s="132" t="s">
        <v>590</v>
      </c>
      <c r="D144" s="133" t="s">
        <v>609</v>
      </c>
      <c r="E144" s="102" t="str">
        <f>" - "&amp;'Giá Máy'!E17</f>
        <v xml:space="preserve"> - Máy lu bánh thép 10T</v>
      </c>
      <c r="F144" s="66" t="str">
        <f>'Giá Máy'!F17</f>
        <v>ca</v>
      </c>
      <c r="G144" s="134">
        <f>PTVT!G144</f>
        <v>0.26</v>
      </c>
      <c r="H144" s="135">
        <f>'Giá Máy'!O17</f>
        <v>1132157.2474074075</v>
      </c>
      <c r="I144" s="144">
        <f>'5.Tiên lượng'!X51</f>
        <v>1</v>
      </c>
      <c r="J144" s="135">
        <f t="shared" si="17"/>
        <v>294360.88432592596</v>
      </c>
    </row>
    <row r="145" spans="1:10">
      <c r="A145" s="67"/>
      <c r="B145" s="66"/>
      <c r="C145" s="132" t="s">
        <v>590</v>
      </c>
      <c r="D145" s="133" t="s">
        <v>610</v>
      </c>
      <c r="E145" s="102" t="str">
        <f>" - "&amp;'Giá Máy'!E33</f>
        <v xml:space="preserve"> - Ô tô tưới nước 5m3</v>
      </c>
      <c r="F145" s="66" t="str">
        <f>'Giá Máy'!F33</f>
        <v>ca</v>
      </c>
      <c r="G145" s="134">
        <f>PTVT!G145</f>
        <v>0.21</v>
      </c>
      <c r="H145" s="135">
        <f>'Giá Máy'!O33</f>
        <v>1107763.9892307692</v>
      </c>
      <c r="I145" s="144">
        <f>'5.Tiên lượng'!X51</f>
        <v>1</v>
      </c>
      <c r="J145" s="135">
        <f t="shared" si="17"/>
        <v>232630.43773846154</v>
      </c>
    </row>
    <row r="146" spans="1:10">
      <c r="A146" s="104"/>
      <c r="B146" s="105"/>
      <c r="C146" s="136" t="s">
        <v>590</v>
      </c>
      <c r="D146" s="137" t="s">
        <v>611</v>
      </c>
      <c r="E146" s="106" t="s">
        <v>612</v>
      </c>
      <c r="F146" s="105" t="s">
        <v>37</v>
      </c>
      <c r="G146" s="138">
        <f>PTVT!G146</f>
        <v>0.5</v>
      </c>
      <c r="H146" s="139">
        <f>(G141*H141+G142*H142+G143*H143+G144*H144+G145*H145)/100</f>
        <v>23577.76576842165</v>
      </c>
      <c r="I146" s="145">
        <f>'5.Tiên lượng'!X51</f>
        <v>1</v>
      </c>
      <c r="J146" s="139">
        <f t="shared" si="17"/>
        <v>11788.882884210825</v>
      </c>
    </row>
    <row r="147" spans="1:10">
      <c r="A147" s="121"/>
      <c r="B147" s="122">
        <v>20</v>
      </c>
      <c r="C147" s="121" t="str">
        <f>'5.Tiên lượng'!C53</f>
        <v>AD.11212</v>
      </c>
      <c r="D147" s="121" t="str">
        <f>'5.Tiên lượng'!C53</f>
        <v>AD.11212</v>
      </c>
      <c r="E147" s="123" t="str">
        <f>'5.Tiên lượng'!D53</f>
        <v xml:space="preserve">Thi công móng cấp phối đá dăm lớp dưới </v>
      </c>
      <c r="F147" s="122" t="str">
        <f>'5.Tiên lượng'!E53</f>
        <v>100m3</v>
      </c>
      <c r="G147" s="124"/>
      <c r="H147" s="125"/>
      <c r="I147" s="141"/>
      <c r="J147" s="142">
        <f>J148+J150+J152</f>
        <v>35361297.757013127</v>
      </c>
    </row>
    <row r="148" spans="1:10">
      <c r="A148" s="126"/>
      <c r="B148" s="127"/>
      <c r="C148" s="128" t="s">
        <v>590</v>
      </c>
      <c r="D148" s="128" t="s">
        <v>590</v>
      </c>
      <c r="E148" s="129" t="s">
        <v>262</v>
      </c>
      <c r="F148" s="127" t="s">
        <v>263</v>
      </c>
      <c r="G148" s="130"/>
      <c r="H148" s="131"/>
      <c r="I148" s="143"/>
      <c r="J148" s="131">
        <f>SUM(J149:J149)</f>
        <v>32221379.337286752</v>
      </c>
    </row>
    <row r="149" spans="1:10">
      <c r="A149" s="67"/>
      <c r="B149" s="66"/>
      <c r="C149" s="132" t="s">
        <v>590</v>
      </c>
      <c r="D149" s="133" t="s">
        <v>604</v>
      </c>
      <c r="E149" s="102" t="str">
        <f>" - "&amp;'Giá VL'!E13</f>
        <v xml:space="preserve"> - Cấp phối đá dăm loại 2</v>
      </c>
      <c r="F149" s="66" t="str">
        <f>'Giá VL'!F13</f>
        <v>m3</v>
      </c>
      <c r="G149" s="134">
        <f>PTVT!G149</f>
        <v>134</v>
      </c>
      <c r="H149" s="135">
        <f>'Giá VL'!V13</f>
        <v>240458.05475587127</v>
      </c>
      <c r="I149" s="144">
        <f>'5.Tiên lượng'!V53</f>
        <v>1</v>
      </c>
      <c r="J149" s="135">
        <f>PRODUCT(G149,H149,I149)</f>
        <v>32221379.337286752</v>
      </c>
    </row>
    <row r="150" spans="1:10">
      <c r="A150" s="126"/>
      <c r="B150" s="127"/>
      <c r="C150" s="128" t="s">
        <v>590</v>
      </c>
      <c r="D150" s="128" t="s">
        <v>590</v>
      </c>
      <c r="E150" s="129" t="s">
        <v>265</v>
      </c>
      <c r="F150" s="127" t="s">
        <v>266</v>
      </c>
      <c r="G150" s="130"/>
      <c r="H150" s="131"/>
      <c r="I150" s="143"/>
      <c r="J150" s="131">
        <f>SUM(J151:J151)</f>
        <v>770352.96000000008</v>
      </c>
    </row>
    <row r="151" spans="1:10">
      <c r="A151" s="67"/>
      <c r="B151" s="66"/>
      <c r="C151" s="132" t="s">
        <v>590</v>
      </c>
      <c r="D151" s="133" t="s">
        <v>605</v>
      </c>
      <c r="E151" s="102" t="str">
        <f>" - "&amp;'Giá NC'!E8</f>
        <v xml:space="preserve"> - Nhân công bậc 3,0/7 - Nhóm 2</v>
      </c>
      <c r="F151" s="66" t="str">
        <f>'Giá NC'!F8</f>
        <v>công</v>
      </c>
      <c r="G151" s="134">
        <f>PTVT!G151</f>
        <v>3.12</v>
      </c>
      <c r="H151" s="135">
        <f>'Giá NC'!K8</f>
        <v>246908</v>
      </c>
      <c r="I151" s="144">
        <f>'5.Tiên lượng'!W53</f>
        <v>1</v>
      </c>
      <c r="J151" s="135">
        <f>PRODUCT(G151,H151,I151)</f>
        <v>770352.96000000008</v>
      </c>
    </row>
    <row r="152" spans="1:10">
      <c r="A152" s="126"/>
      <c r="B152" s="127"/>
      <c r="C152" s="128" t="s">
        <v>590</v>
      </c>
      <c r="D152" s="128" t="s">
        <v>590</v>
      </c>
      <c r="E152" s="129" t="s">
        <v>267</v>
      </c>
      <c r="F152" s="127" t="s">
        <v>268</v>
      </c>
      <c r="G152" s="130"/>
      <c r="H152" s="131"/>
      <c r="I152" s="143"/>
      <c r="J152" s="131">
        <f>SUM(J153:J158)</f>
        <v>2369565.459726376</v>
      </c>
    </row>
    <row r="153" spans="1:10">
      <c r="A153" s="67"/>
      <c r="B153" s="66"/>
      <c r="C153" s="132" t="s">
        <v>590</v>
      </c>
      <c r="D153" s="133" t="s">
        <v>606</v>
      </c>
      <c r="E153" s="102" t="str">
        <f>" - "&amp;'Giá Máy'!E24</f>
        <v xml:space="preserve"> - Máy rải cấp phối đá dăm 50 - 60m3/h</v>
      </c>
      <c r="F153" s="66" t="str">
        <f>'Giá Máy'!F24</f>
        <v>ca</v>
      </c>
      <c r="G153" s="134">
        <f>PTVT!G153</f>
        <v>0.21</v>
      </c>
      <c r="H153" s="135">
        <f>'Giá Máy'!O24</f>
        <v>3572483.6555555556</v>
      </c>
      <c r="I153" s="144">
        <f>'5.Tiên lượng'!X53</f>
        <v>1</v>
      </c>
      <c r="J153" s="135">
        <f t="shared" ref="J153:J158" si="18">PRODUCT(G153,H153,I153)</f>
        <v>750221.5676666667</v>
      </c>
    </row>
    <row r="154" spans="1:10">
      <c r="A154" s="67"/>
      <c r="B154" s="66"/>
      <c r="C154" s="132" t="s">
        <v>590</v>
      </c>
      <c r="D154" s="133" t="s">
        <v>607</v>
      </c>
      <c r="E154" s="102" t="str">
        <f>" - "&amp;'Giá Máy'!E19</f>
        <v xml:space="preserve"> - Máy lu rung tự hành 25T</v>
      </c>
      <c r="F154" s="66" t="str">
        <f>'Giá Máy'!F19</f>
        <v>ca</v>
      </c>
      <c r="G154" s="134">
        <f>PTVT!G154</f>
        <v>0.32</v>
      </c>
      <c r="H154" s="135">
        <f>'Giá Máy'!O19</f>
        <v>2794294.0688888887</v>
      </c>
      <c r="I154" s="144">
        <f>'5.Tiên lượng'!X53</f>
        <v>1</v>
      </c>
      <c r="J154" s="135">
        <f t="shared" si="18"/>
        <v>894174.10204444441</v>
      </c>
    </row>
    <row r="155" spans="1:10">
      <c r="A155" s="67"/>
      <c r="B155" s="66"/>
      <c r="C155" s="132" t="s">
        <v>590</v>
      </c>
      <c r="D155" s="133" t="s">
        <v>608</v>
      </c>
      <c r="E155" s="102" t="str">
        <f>" - "&amp;'Giá Máy'!E38</f>
        <v xml:space="preserve"> - Máy lu bánh hơi tự hành 16T</v>
      </c>
      <c r="F155" s="66" t="str">
        <f>'Giá Máy'!F38</f>
        <v>ca</v>
      </c>
      <c r="G155" s="134">
        <f>PTVT!G155</f>
        <v>0.12</v>
      </c>
      <c r="H155" s="135">
        <f>'Giá Máy'!O38</f>
        <v>1553246.5422222223</v>
      </c>
      <c r="I155" s="144">
        <f>'5.Tiên lượng'!X53</f>
        <v>1</v>
      </c>
      <c r="J155" s="135">
        <f t="shared" si="18"/>
        <v>186389.58506666668</v>
      </c>
    </row>
    <row r="156" spans="1:10">
      <c r="A156" s="67"/>
      <c r="B156" s="66"/>
      <c r="C156" s="132" t="s">
        <v>590</v>
      </c>
      <c r="D156" s="133" t="s">
        <v>609</v>
      </c>
      <c r="E156" s="102" t="str">
        <f>" - "&amp;'Giá Máy'!E17</f>
        <v xml:space="preserve"> - Máy lu bánh thép 10T</v>
      </c>
      <c r="F156" s="66" t="str">
        <f>'Giá Máy'!F17</f>
        <v>ca</v>
      </c>
      <c r="G156" s="134">
        <f>PTVT!G156</f>
        <v>0.26</v>
      </c>
      <c r="H156" s="135">
        <f>'Giá Máy'!O17</f>
        <v>1132157.2474074075</v>
      </c>
      <c r="I156" s="144">
        <f>'5.Tiên lượng'!X53</f>
        <v>1</v>
      </c>
      <c r="J156" s="135">
        <f t="shared" si="18"/>
        <v>294360.88432592596</v>
      </c>
    </row>
    <row r="157" spans="1:10">
      <c r="A157" s="67"/>
      <c r="B157" s="66"/>
      <c r="C157" s="132" t="s">
        <v>590</v>
      </c>
      <c r="D157" s="133" t="s">
        <v>610</v>
      </c>
      <c r="E157" s="102" t="str">
        <f>" - "&amp;'Giá Máy'!E33</f>
        <v xml:space="preserve"> - Ô tô tưới nước 5m3</v>
      </c>
      <c r="F157" s="66" t="str">
        <f>'Giá Máy'!F33</f>
        <v>ca</v>
      </c>
      <c r="G157" s="134">
        <f>PTVT!G157</f>
        <v>0.21</v>
      </c>
      <c r="H157" s="135">
        <f>'Giá Máy'!O33</f>
        <v>1107763.9892307692</v>
      </c>
      <c r="I157" s="144">
        <f>'5.Tiên lượng'!X53</f>
        <v>1</v>
      </c>
      <c r="J157" s="135">
        <f t="shared" si="18"/>
        <v>232630.43773846154</v>
      </c>
    </row>
    <row r="158" spans="1:10">
      <c r="A158" s="104"/>
      <c r="B158" s="105"/>
      <c r="C158" s="136" t="s">
        <v>590</v>
      </c>
      <c r="D158" s="137" t="s">
        <v>611</v>
      </c>
      <c r="E158" s="106" t="s">
        <v>612</v>
      </c>
      <c r="F158" s="105" t="s">
        <v>37</v>
      </c>
      <c r="G158" s="138">
        <f>PTVT!G158</f>
        <v>0.5</v>
      </c>
      <c r="H158" s="139">
        <f>(G153*H153+G154*H154+G155*H155+G156*H156+G157*H157)/100</f>
        <v>23577.76576842165</v>
      </c>
      <c r="I158" s="145">
        <f>'5.Tiên lượng'!X53</f>
        <v>1</v>
      </c>
      <c r="J158" s="139">
        <f t="shared" si="18"/>
        <v>11788.882884210825</v>
      </c>
    </row>
    <row r="159" spans="1:10">
      <c r="A159" s="121"/>
      <c r="B159" s="122">
        <v>21</v>
      </c>
      <c r="C159" s="121" t="str">
        <f>'5.Tiên lượng'!C56</f>
        <v>AF.82411</v>
      </c>
      <c r="D159" s="121" t="str">
        <f>'5.Tiên lượng'!C56</f>
        <v>AF.82411</v>
      </c>
      <c r="E159" s="123" t="str">
        <f>'5.Tiên lượng'!D56</f>
        <v>Ván khuôn thép mặt đường bê tông</v>
      </c>
      <c r="F159" s="122" t="str">
        <f>'5.Tiên lượng'!E56</f>
        <v>100m2</v>
      </c>
      <c r="G159" s="124"/>
      <c r="H159" s="125"/>
      <c r="I159" s="141"/>
      <c r="J159" s="142">
        <f>J160+J164+J166</f>
        <v>4157048.2855123039</v>
      </c>
    </row>
    <row r="160" spans="1:10">
      <c r="A160" s="126"/>
      <c r="B160" s="127"/>
      <c r="C160" s="128" t="s">
        <v>590</v>
      </c>
      <c r="D160" s="128" t="s">
        <v>590</v>
      </c>
      <c r="E160" s="129" t="s">
        <v>262</v>
      </c>
      <c r="F160" s="127" t="s">
        <v>263</v>
      </c>
      <c r="G160" s="130"/>
      <c r="H160" s="131"/>
      <c r="I160" s="143"/>
      <c r="J160" s="131">
        <f>SUM(J161:J163)</f>
        <v>618210.99161675188</v>
      </c>
    </row>
    <row r="161" spans="1:10">
      <c r="A161" s="67"/>
      <c r="B161" s="66"/>
      <c r="C161" s="132" t="s">
        <v>590</v>
      </c>
      <c r="D161" s="133" t="s">
        <v>627</v>
      </c>
      <c r="E161" s="102" t="str">
        <f>" - "&amp;'Giá VL'!E40</f>
        <v xml:space="preserve"> - Thép hình, thép tấm</v>
      </c>
      <c r="F161" s="66" t="str">
        <f>'Giá VL'!F40</f>
        <v>kg</v>
      </c>
      <c r="G161" s="134">
        <f>PTVT!G161</f>
        <v>31.5</v>
      </c>
      <c r="H161" s="135">
        <f>'Giá VL'!V40</f>
        <v>17587.694379947148</v>
      </c>
      <c r="I161" s="144">
        <f>'5.Tiên lượng'!V56</f>
        <v>1</v>
      </c>
      <c r="J161" s="135">
        <f t="shared" ref="J161:J163" si="19">PRODUCT(G161,H161,I161)</f>
        <v>554012.37296833517</v>
      </c>
    </row>
    <row r="162" spans="1:10">
      <c r="A162" s="67"/>
      <c r="B162" s="66"/>
      <c r="C162" s="132" t="s">
        <v>590</v>
      </c>
      <c r="D162" s="133" t="s">
        <v>628</v>
      </c>
      <c r="E162" s="102" t="str">
        <f>" - "&amp;'Giá VL'!E37</f>
        <v xml:space="preserve"> - Que hàn</v>
      </c>
      <c r="F162" s="66" t="str">
        <f>'Giá VL'!F37</f>
        <v>kg</v>
      </c>
      <c r="G162" s="134">
        <f>PTVT!G162</f>
        <v>1.58</v>
      </c>
      <c r="H162" s="135">
        <f>'Giá VL'!V37</f>
        <v>22000</v>
      </c>
      <c r="I162" s="144">
        <f>'5.Tiên lượng'!V56</f>
        <v>1</v>
      </c>
      <c r="J162" s="135">
        <f t="shared" si="19"/>
        <v>34760</v>
      </c>
    </row>
    <row r="163" spans="1:10">
      <c r="A163" s="67"/>
      <c r="B163" s="66"/>
      <c r="C163" s="132" t="s">
        <v>590</v>
      </c>
      <c r="D163" s="133" t="s">
        <v>620</v>
      </c>
      <c r="E163" s="102" t="s">
        <v>621</v>
      </c>
      <c r="F163" s="66" t="s">
        <v>37</v>
      </c>
      <c r="G163" s="134">
        <f>PTVT!G163</f>
        <v>5</v>
      </c>
      <c r="H163" s="135">
        <f>(G161*H161+G162*H162)/100</f>
        <v>5887.7237296833518</v>
      </c>
      <c r="I163" s="144">
        <f>'5.Tiên lượng'!V56</f>
        <v>1</v>
      </c>
      <c r="J163" s="135">
        <f t="shared" si="19"/>
        <v>29438.618648416759</v>
      </c>
    </row>
    <row r="164" spans="1:10">
      <c r="A164" s="126"/>
      <c r="B164" s="127"/>
      <c r="C164" s="128" t="s">
        <v>590</v>
      </c>
      <c r="D164" s="128" t="s">
        <v>590</v>
      </c>
      <c r="E164" s="129" t="s">
        <v>265</v>
      </c>
      <c r="F164" s="127" t="s">
        <v>266</v>
      </c>
      <c r="G164" s="130"/>
      <c r="H164" s="131"/>
      <c r="I164" s="143"/>
      <c r="J164" s="131">
        <f>SUM(J165:J165)</f>
        <v>3370558</v>
      </c>
    </row>
    <row r="165" spans="1:10">
      <c r="A165" s="67"/>
      <c r="B165" s="66"/>
      <c r="C165" s="132" t="s">
        <v>590</v>
      </c>
      <c r="D165" s="133" t="s">
        <v>629</v>
      </c>
      <c r="E165" s="102" t="str">
        <f>" - "&amp;'Giá NC'!E10</f>
        <v xml:space="preserve"> - Nhân công bậc 4,0/7 - Nhóm 2</v>
      </c>
      <c r="F165" s="66" t="str">
        <f>'Giá NC'!F10</f>
        <v>công</v>
      </c>
      <c r="G165" s="134">
        <f>PTVT!G165</f>
        <v>11.5</v>
      </c>
      <c r="H165" s="135">
        <f>'Giá NC'!K10</f>
        <v>293092</v>
      </c>
      <c r="I165" s="144">
        <f>'5.Tiên lượng'!W56</f>
        <v>1</v>
      </c>
      <c r="J165" s="135">
        <f>PRODUCT(G165,H165,I165)</f>
        <v>3370558</v>
      </c>
    </row>
    <row r="166" spans="1:10">
      <c r="A166" s="126"/>
      <c r="B166" s="127"/>
      <c r="C166" s="128" t="s">
        <v>590</v>
      </c>
      <c r="D166" s="128" t="s">
        <v>590</v>
      </c>
      <c r="E166" s="129" t="s">
        <v>267</v>
      </c>
      <c r="F166" s="127" t="s">
        <v>268</v>
      </c>
      <c r="G166" s="130"/>
      <c r="H166" s="131"/>
      <c r="I166" s="143"/>
      <c r="J166" s="131">
        <v>168279.29389555199</v>
      </c>
    </row>
    <row r="167" spans="1:10">
      <c r="A167" s="67"/>
      <c r="B167" s="66"/>
      <c r="C167" s="132" t="s">
        <v>590</v>
      </c>
      <c r="D167" s="133" t="s">
        <v>630</v>
      </c>
      <c r="E167" s="102" t="str">
        <f>" - "&amp;'Giá Máy'!E16</f>
        <v xml:space="preserve"> - Máy hàn điện 23kW</v>
      </c>
      <c r="F167" s="66" t="str">
        <f>'Giá Máy'!F16</f>
        <v>ca</v>
      </c>
      <c r="G167" s="134">
        <f>PTVT!G167</f>
        <v>0.42</v>
      </c>
      <c r="H167" s="135">
        <f>'Giá Máy'!O16</f>
        <v>426986.04135999997</v>
      </c>
      <c r="I167" s="144">
        <f>'5.Tiên lượng'!X56</f>
        <v>1</v>
      </c>
      <c r="J167" s="135">
        <f t="shared" ref="J167:J168" si="20">PRODUCT(G167,H167,I167)</f>
        <v>179334.13737119999</v>
      </c>
    </row>
    <row r="168" spans="1:10">
      <c r="A168" s="104"/>
      <c r="B168" s="105"/>
      <c r="C168" s="136" t="s">
        <v>590</v>
      </c>
      <c r="D168" s="137" t="s">
        <v>611</v>
      </c>
      <c r="E168" s="106" t="s">
        <v>612</v>
      </c>
      <c r="F168" s="105" t="s">
        <v>37</v>
      </c>
      <c r="G168" s="138">
        <f>PTVT!G168</f>
        <v>2</v>
      </c>
      <c r="H168" s="139">
        <f>(G167*H167)/100</f>
        <v>1793.3413737119999</v>
      </c>
      <c r="I168" s="145">
        <f>'5.Tiên lượng'!X56</f>
        <v>1</v>
      </c>
      <c r="J168" s="139">
        <f t="shared" si="20"/>
        <v>3586.6827474239999</v>
      </c>
    </row>
    <row r="169" spans="1:10">
      <c r="A169" s="114"/>
      <c r="B169" s="115"/>
      <c r="C169" s="116" t="s">
        <v>339</v>
      </c>
      <c r="D169" s="117" t="s">
        <v>339</v>
      </c>
      <c r="E169" s="118" t="s">
        <v>406</v>
      </c>
      <c r="F169" s="115"/>
      <c r="G169" s="119"/>
      <c r="H169" s="120"/>
      <c r="I169" s="140"/>
      <c r="J169" s="120" t="s">
        <v>597</v>
      </c>
    </row>
    <row r="170" spans="1:10">
      <c r="A170" s="121"/>
      <c r="B170" s="122">
        <v>22</v>
      </c>
      <c r="C170" s="121" t="str">
        <f>'5.Tiên lượng'!C59</f>
        <v>AF.15433</v>
      </c>
      <c r="D170" s="121" t="str">
        <f>'5.Tiên lượng'!C59</f>
        <v>AF.15433</v>
      </c>
      <c r="E170" s="123" t="str">
        <f>'5.Tiên lượng'!D59</f>
        <v>Bê tông sản xuất bằng máy trộn và đổ bằng thủ công, bê tông mặt đường dày mặt đường ≤25cm, bê tông M250, đá 2x4, PCB40</v>
      </c>
      <c r="F170" s="122" t="str">
        <f>'5.Tiên lượng'!E59</f>
        <v>m3</v>
      </c>
      <c r="G170" s="124"/>
      <c r="H170" s="125"/>
      <c r="I170" s="141"/>
      <c r="J170" s="142">
        <f>J171+J179+J181</f>
        <v>1659684.0823362314</v>
      </c>
    </row>
    <row r="171" spans="1:10">
      <c r="A171" s="126"/>
      <c r="B171" s="127"/>
      <c r="C171" s="128" t="s">
        <v>590</v>
      </c>
      <c r="D171" s="128" t="s">
        <v>590</v>
      </c>
      <c r="E171" s="129" t="s">
        <v>262</v>
      </c>
      <c r="F171" s="127" t="s">
        <v>263</v>
      </c>
      <c r="G171" s="130"/>
      <c r="H171" s="131"/>
      <c r="I171" s="143"/>
      <c r="J171" s="131">
        <f>SUM(J172:J178)</f>
        <v>1244486.1695588657</v>
      </c>
    </row>
    <row r="172" spans="1:10">
      <c r="A172" s="67"/>
      <c r="B172" s="66"/>
      <c r="C172" s="132" t="s">
        <v>590</v>
      </c>
      <c r="D172" s="133" t="s">
        <v>614</v>
      </c>
      <c r="E172" s="102" t="str">
        <f>" - "&amp;'Giá VL'!E45</f>
        <v xml:space="preserve"> - Xi măng PCB40</v>
      </c>
      <c r="F172" s="66" t="str">
        <f>'Giá VL'!F45</f>
        <v>kg</v>
      </c>
      <c r="G172" s="134">
        <f>PTVT!G172</f>
        <v>291.10000000000002</v>
      </c>
      <c r="H172" s="135">
        <f>'Giá VL'!V45</f>
        <v>1730</v>
      </c>
      <c r="I172" s="144">
        <f>'5.Tiên lượng'!V59</f>
        <v>1</v>
      </c>
      <c r="J172" s="135">
        <f t="shared" ref="J172:J178" si="21">PRODUCT(G172,H172,I172)</f>
        <v>503603.00000000006</v>
      </c>
    </row>
    <row r="173" spans="1:10">
      <c r="A173" s="67"/>
      <c r="B173" s="66"/>
      <c r="C173" s="132" t="s">
        <v>590</v>
      </c>
      <c r="D173" s="133" t="s">
        <v>615</v>
      </c>
      <c r="E173" s="102" t="str">
        <f>" - "&amp;'Giá VL'!E17</f>
        <v xml:space="preserve"> - Cát vàng</v>
      </c>
      <c r="F173" s="66" t="str">
        <f>'Giá VL'!F17</f>
        <v>m3</v>
      </c>
      <c r="G173" s="134">
        <f>PTVT!G173</f>
        <v>0.54325000000000001</v>
      </c>
      <c r="H173" s="135">
        <f>'Giá VL'!V17</f>
        <v>659026.49526849983</v>
      </c>
      <c r="I173" s="144">
        <f>'5.Tiên lượng'!V59</f>
        <v>1</v>
      </c>
      <c r="J173" s="135">
        <f t="shared" si="21"/>
        <v>358016.14355461253</v>
      </c>
    </row>
    <row r="174" spans="1:10">
      <c r="A174" s="67"/>
      <c r="B174" s="66"/>
      <c r="C174" s="132" t="s">
        <v>590</v>
      </c>
      <c r="D174" s="133" t="s">
        <v>616</v>
      </c>
      <c r="E174" s="102" t="str">
        <f>" - "&amp;'Giá VL'!E19</f>
        <v xml:space="preserve"> - Đá 2x4</v>
      </c>
      <c r="F174" s="66" t="str">
        <f>'Giá VL'!F19</f>
        <v>m3</v>
      </c>
      <c r="G174" s="134">
        <f>PTVT!G174</f>
        <v>0.882525</v>
      </c>
      <c r="H174" s="135">
        <f>'Giá VL'!V19</f>
        <v>310458.0547558713</v>
      </c>
      <c r="I174" s="144">
        <f>'5.Tiên lượng'!V59</f>
        <v>1</v>
      </c>
      <c r="J174" s="135">
        <f t="shared" si="21"/>
        <v>273986.99477342534</v>
      </c>
    </row>
    <row r="175" spans="1:10">
      <c r="A175" s="67"/>
      <c r="B175" s="66"/>
      <c r="C175" s="132" t="s">
        <v>590</v>
      </c>
      <c r="D175" s="133" t="s">
        <v>617</v>
      </c>
      <c r="E175" s="102" t="str">
        <f>" - "&amp;'Giá VL'!E33</f>
        <v xml:space="preserve"> - Nước</v>
      </c>
      <c r="F175" s="66" t="str">
        <f>'Giá VL'!F33</f>
        <v>lít</v>
      </c>
      <c r="G175" s="134">
        <f>PTVT!G175</f>
        <v>177.32499999999999</v>
      </c>
      <c r="H175" s="135">
        <f>'Giá VL'!V33</f>
        <v>15</v>
      </c>
      <c r="I175" s="144">
        <f>'5.Tiên lượng'!V59</f>
        <v>1</v>
      </c>
      <c r="J175" s="135">
        <f t="shared" si="21"/>
        <v>2659.875</v>
      </c>
    </row>
    <row r="176" spans="1:10">
      <c r="A176" s="67"/>
      <c r="B176" s="66"/>
      <c r="C176" s="132" t="s">
        <v>590</v>
      </c>
      <c r="D176" s="133" t="s">
        <v>618</v>
      </c>
      <c r="E176" s="102" t="str">
        <f>" - "&amp;'Giá VL'!E25</f>
        <v xml:space="preserve"> - Gỗ làm khe co dãn</v>
      </c>
      <c r="F176" s="66" t="str">
        <f>'Giá VL'!F25</f>
        <v>m3</v>
      </c>
      <c r="G176" s="134">
        <f>PTVT!G176</f>
        <v>1.4E-2</v>
      </c>
      <c r="H176" s="135">
        <f>'Giá VL'!V25</f>
        <v>2844105.8536283039</v>
      </c>
      <c r="I176" s="144">
        <f>'5.Tiên lượng'!V59</f>
        <v>1</v>
      </c>
      <c r="J176" s="135">
        <f t="shared" si="21"/>
        <v>39817.481950796253</v>
      </c>
    </row>
    <row r="177" spans="1:10">
      <c r="A177" s="67"/>
      <c r="B177" s="66"/>
      <c r="C177" s="132" t="s">
        <v>590</v>
      </c>
      <c r="D177" s="133" t="s">
        <v>619</v>
      </c>
      <c r="E177" s="102" t="str">
        <f>" - "&amp;'Giá VL'!E31</f>
        <v xml:space="preserve"> - Nhựa đường</v>
      </c>
      <c r="F177" s="66" t="str">
        <f>'Giá VL'!F31</f>
        <v>kg</v>
      </c>
      <c r="G177" s="134">
        <f>PTVT!G177</f>
        <v>3.5</v>
      </c>
      <c r="H177" s="135">
        <f>'Giá VL'!V31</f>
        <v>13717.500872863939</v>
      </c>
      <c r="I177" s="144">
        <f>'5.Tiên lượng'!V59</f>
        <v>1</v>
      </c>
      <c r="J177" s="135">
        <f t="shared" si="21"/>
        <v>48011.253055023786</v>
      </c>
    </row>
    <row r="178" spans="1:10">
      <c r="A178" s="67"/>
      <c r="B178" s="66"/>
      <c r="C178" s="132" t="s">
        <v>590</v>
      </c>
      <c r="D178" s="133" t="s">
        <v>620</v>
      </c>
      <c r="E178" s="102" t="s">
        <v>621</v>
      </c>
      <c r="F178" s="66" t="s">
        <v>37</v>
      </c>
      <c r="G178" s="134">
        <f>PTVT!G178</f>
        <v>1.5</v>
      </c>
      <c r="H178" s="135">
        <f>(G172*H172+G173*H173+G174*H174+G175*H175+G176*H176+G177*H177)/100</f>
        <v>12260.947483338579</v>
      </c>
      <c r="I178" s="144">
        <f>'5.Tiên lượng'!V59</f>
        <v>1</v>
      </c>
      <c r="J178" s="135">
        <f t="shared" si="21"/>
        <v>18391.421225007871</v>
      </c>
    </row>
    <row r="179" spans="1:10">
      <c r="A179" s="126"/>
      <c r="B179" s="127"/>
      <c r="C179" s="128" t="s">
        <v>590</v>
      </c>
      <c r="D179" s="128" t="s">
        <v>590</v>
      </c>
      <c r="E179" s="129" t="s">
        <v>265</v>
      </c>
      <c r="F179" s="127" t="s">
        <v>266</v>
      </c>
      <c r="G179" s="130"/>
      <c r="H179" s="131"/>
      <c r="I179" s="143"/>
      <c r="J179" s="131">
        <f>SUM(J180:J180)</f>
        <v>332910</v>
      </c>
    </row>
    <row r="180" spans="1:10">
      <c r="A180" s="67"/>
      <c r="B180" s="66"/>
      <c r="C180" s="132" t="s">
        <v>590</v>
      </c>
      <c r="D180" s="133" t="s">
        <v>622</v>
      </c>
      <c r="E180" s="102" t="str">
        <f>" - "&amp;'Giá NC'!E9</f>
        <v xml:space="preserve"> - Nhân công bậc 3,5/7 - Nhóm 2</v>
      </c>
      <c r="F180" s="66" t="str">
        <f>'Giá NC'!F9</f>
        <v>công</v>
      </c>
      <c r="G180" s="134">
        <f>PTVT!G180</f>
        <v>1.37</v>
      </c>
      <c r="H180" s="135">
        <f>'Giá NC'!K9</f>
        <v>270000</v>
      </c>
      <c r="I180" s="144">
        <f>'5.Tiên lượng'!W59</f>
        <v>0.9</v>
      </c>
      <c r="J180" s="135">
        <f>PRODUCT(G180,H180,I180)</f>
        <v>332910</v>
      </c>
    </row>
    <row r="181" spans="1:10">
      <c r="A181" s="126"/>
      <c r="B181" s="127"/>
      <c r="C181" s="128" t="s">
        <v>590</v>
      </c>
      <c r="D181" s="128" t="s">
        <v>590</v>
      </c>
      <c r="E181" s="129" t="s">
        <v>267</v>
      </c>
      <c r="F181" s="127" t="s">
        <v>268</v>
      </c>
      <c r="G181" s="130"/>
      <c r="H181" s="131"/>
      <c r="I181" s="143"/>
      <c r="J181" s="131">
        <f>SUM(J182:J185)</f>
        <v>82287.912777365709</v>
      </c>
    </row>
    <row r="182" spans="1:10">
      <c r="A182" s="67"/>
      <c r="B182" s="66"/>
      <c r="C182" s="132" t="s">
        <v>590</v>
      </c>
      <c r="D182" s="133" t="s">
        <v>623</v>
      </c>
      <c r="E182" s="102" t="str">
        <f>" - "&amp;'Giá Máy'!E27</f>
        <v xml:space="preserve"> - Máy trộn bê tông 250 lít</v>
      </c>
      <c r="F182" s="66" t="str">
        <f>'Giá Máy'!F27</f>
        <v>ca</v>
      </c>
      <c r="G182" s="134">
        <f>PTVT!G182</f>
        <v>9.5000000000000001E-2</v>
      </c>
      <c r="H182" s="135">
        <f>'Giá Máy'!O27</f>
        <v>326305.98864499998</v>
      </c>
      <c r="I182" s="144">
        <f>'5.Tiên lượng'!X59</f>
        <v>1</v>
      </c>
      <c r="J182" s="135">
        <f t="shared" ref="J182:J185" si="22">PRODUCT(G182,H182,I182)</f>
        <v>30999.068921274997</v>
      </c>
    </row>
    <row r="183" spans="1:10">
      <c r="A183" s="67"/>
      <c r="B183" s="66"/>
      <c r="C183" s="132" t="s">
        <v>590</v>
      </c>
      <c r="D183" s="133" t="s">
        <v>624</v>
      </c>
      <c r="E183" s="102" t="str">
        <f>" - "&amp;'Giá Máy'!E10</f>
        <v xml:space="preserve"> - Máy đầm bàn 1kW</v>
      </c>
      <c r="F183" s="66" t="str">
        <f>'Giá Máy'!F10</f>
        <v>ca</v>
      </c>
      <c r="G183" s="134">
        <f>PTVT!G183</f>
        <v>8.8999999999999996E-2</v>
      </c>
      <c r="H183" s="135">
        <f>'Giá Máy'!O10</f>
        <v>276870.75847500004</v>
      </c>
      <c r="I183" s="144">
        <f>'5.Tiên lượng'!X59</f>
        <v>1</v>
      </c>
      <c r="J183" s="135">
        <f t="shared" si="22"/>
        <v>24641.497504275001</v>
      </c>
    </row>
    <row r="184" spans="1:10">
      <c r="A184" s="67"/>
      <c r="B184" s="66"/>
      <c r="C184" s="132" t="s">
        <v>590</v>
      </c>
      <c r="D184" s="133" t="s">
        <v>625</v>
      </c>
      <c r="E184" s="102" t="str">
        <f>" - "&amp;'Giá Máy'!E12</f>
        <v xml:space="preserve"> - Máy đầm dùi 1,5kW</v>
      </c>
      <c r="F184" s="66" t="str">
        <f>'Giá Máy'!F12</f>
        <v>ca</v>
      </c>
      <c r="G184" s="134">
        <f>PTVT!G184</f>
        <v>8.8999999999999996E-2</v>
      </c>
      <c r="H184" s="135">
        <f>'Giá Máy'!O12</f>
        <v>281279.30186500004</v>
      </c>
      <c r="I184" s="144">
        <f>'5.Tiên lượng'!X59</f>
        <v>1</v>
      </c>
      <c r="J184" s="135">
        <f t="shared" si="22"/>
        <v>25033.857865985003</v>
      </c>
    </row>
    <row r="185" spans="1:10">
      <c r="A185" s="104"/>
      <c r="B185" s="105"/>
      <c r="C185" s="136" t="s">
        <v>590</v>
      </c>
      <c r="D185" s="137" t="s">
        <v>611</v>
      </c>
      <c r="E185" s="106" t="s">
        <v>612</v>
      </c>
      <c r="F185" s="105" t="s">
        <v>37</v>
      </c>
      <c r="G185" s="138">
        <f>PTVT!G185</f>
        <v>2</v>
      </c>
      <c r="H185" s="139">
        <f>(G182*H182+G183*H183+G184*H184)/100</f>
        <v>806.74424291535001</v>
      </c>
      <c r="I185" s="145">
        <f>'5.Tiên lượng'!X59</f>
        <v>1</v>
      </c>
      <c r="J185" s="139">
        <f t="shared" si="22"/>
        <v>1613.4884858307</v>
      </c>
    </row>
    <row r="186" spans="1:10">
      <c r="A186" s="121"/>
      <c r="B186" s="122">
        <v>23</v>
      </c>
      <c r="C186" s="121" t="str">
        <f>'5.Tiên lượng'!C61</f>
        <v>AL.16201</v>
      </c>
      <c r="D186" s="121" t="str">
        <f>'5.Tiên lượng'!C61</f>
        <v>AL.16201</v>
      </c>
      <c r="E186" s="123" t="str">
        <f>'5.Tiên lượng'!D61</f>
        <v>Rải giấy dầu lớp cách ly</v>
      </c>
      <c r="F186" s="122" t="str">
        <f>'5.Tiên lượng'!E61</f>
        <v>100m2</v>
      </c>
      <c r="G186" s="124"/>
      <c r="H186" s="125"/>
      <c r="I186" s="141"/>
      <c r="J186" s="142">
        <f>J187+J190</f>
        <v>260940</v>
      </c>
    </row>
    <row r="187" spans="1:10">
      <c r="A187" s="126"/>
      <c r="B187" s="127"/>
      <c r="C187" s="128" t="s">
        <v>590</v>
      </c>
      <c r="D187" s="128" t="s">
        <v>590</v>
      </c>
      <c r="E187" s="129" t="s">
        <v>262</v>
      </c>
      <c r="F187" s="127" t="s">
        <v>263</v>
      </c>
      <c r="G187" s="130"/>
      <c r="H187" s="131"/>
      <c r="I187" s="143"/>
      <c r="J187" s="131">
        <f>SUM(J188:J189)</f>
        <v>220440</v>
      </c>
    </row>
    <row r="188" spans="1:10">
      <c r="A188" s="67"/>
      <c r="B188" s="66"/>
      <c r="C188" s="132" t="s">
        <v>590</v>
      </c>
      <c r="D188" s="133" t="s">
        <v>626</v>
      </c>
      <c r="E188" s="102" t="str">
        <f>" - "&amp;'Giá VL'!E24</f>
        <v xml:space="preserve"> - Ni Lông</v>
      </c>
      <c r="F188" s="66" t="str">
        <f>'Giá VL'!F24</f>
        <v>m2</v>
      </c>
      <c r="G188" s="134">
        <f>PTVT!G188</f>
        <v>110</v>
      </c>
      <c r="H188" s="135">
        <f>'Giá VL'!V24</f>
        <v>2000</v>
      </c>
      <c r="I188" s="144">
        <f>'5.Tiên lượng'!V61</f>
        <v>1</v>
      </c>
      <c r="J188" s="135">
        <f t="shared" ref="J188:J189" si="23">PRODUCT(G188,H188,I188)</f>
        <v>220000</v>
      </c>
    </row>
    <row r="189" spans="1:10">
      <c r="A189" s="67"/>
      <c r="B189" s="66"/>
      <c r="C189" s="132" t="s">
        <v>590</v>
      </c>
      <c r="D189" s="133" t="s">
        <v>620</v>
      </c>
      <c r="E189" s="102" t="s">
        <v>621</v>
      </c>
      <c r="F189" s="66" t="s">
        <v>37</v>
      </c>
      <c r="G189" s="134">
        <f>PTVT!G189</f>
        <v>0.2</v>
      </c>
      <c r="H189" s="135">
        <f>(G188*H188)/100</f>
        <v>2200</v>
      </c>
      <c r="I189" s="144">
        <f>'5.Tiên lượng'!V61</f>
        <v>1</v>
      </c>
      <c r="J189" s="135">
        <f t="shared" si="23"/>
        <v>440</v>
      </c>
    </row>
    <row r="190" spans="1:10">
      <c r="A190" s="126"/>
      <c r="B190" s="127"/>
      <c r="C190" s="128" t="s">
        <v>590</v>
      </c>
      <c r="D190" s="128" t="s">
        <v>590</v>
      </c>
      <c r="E190" s="129" t="s">
        <v>265</v>
      </c>
      <c r="F190" s="127" t="s">
        <v>266</v>
      </c>
      <c r="G190" s="130"/>
      <c r="H190" s="131"/>
      <c r="I190" s="143"/>
      <c r="J190" s="131">
        <f>SUM(J191:J191)</f>
        <v>40500</v>
      </c>
    </row>
    <row r="191" spans="1:10">
      <c r="A191" s="104"/>
      <c r="B191" s="105"/>
      <c r="C191" s="136" t="s">
        <v>590</v>
      </c>
      <c r="D191" s="137" t="s">
        <v>622</v>
      </c>
      <c r="E191" s="106" t="str">
        <f>" - "&amp;'Giá NC'!E9</f>
        <v xml:space="preserve"> - Nhân công bậc 3,5/7 - Nhóm 2</v>
      </c>
      <c r="F191" s="105" t="str">
        <f>'Giá NC'!F9</f>
        <v>công</v>
      </c>
      <c r="G191" s="138">
        <f>PTVT!G191</f>
        <v>0.15</v>
      </c>
      <c r="H191" s="139">
        <f>'Giá NC'!K9</f>
        <v>270000</v>
      </c>
      <c r="I191" s="145">
        <f>'5.Tiên lượng'!W61</f>
        <v>1</v>
      </c>
      <c r="J191" s="139">
        <f>PRODUCT(G191,H191,I191)</f>
        <v>40500</v>
      </c>
    </row>
    <row r="192" spans="1:10">
      <c r="A192" s="121"/>
      <c r="B192" s="122">
        <v>24</v>
      </c>
      <c r="C192" s="121" t="str">
        <f>'5.Tiên lượng'!C63</f>
        <v>AD.11212</v>
      </c>
      <c r="D192" s="121" t="str">
        <f>'5.Tiên lượng'!C63</f>
        <v>AD.11212</v>
      </c>
      <c r="E192" s="123" t="str">
        <f>'5.Tiên lượng'!D63</f>
        <v xml:space="preserve">Thi công móng cấp phối đá dăm lớp dưới </v>
      </c>
      <c r="F192" s="122" t="str">
        <f>'5.Tiên lượng'!E63</f>
        <v>100m3</v>
      </c>
      <c r="G192" s="124"/>
      <c r="H192" s="125"/>
      <c r="I192" s="141"/>
      <c r="J192" s="142">
        <f>J193+J195+J197</f>
        <v>35361297.757013127</v>
      </c>
    </row>
    <row r="193" spans="1:10">
      <c r="A193" s="126"/>
      <c r="B193" s="127"/>
      <c r="C193" s="128" t="s">
        <v>590</v>
      </c>
      <c r="D193" s="128" t="s">
        <v>590</v>
      </c>
      <c r="E193" s="129" t="s">
        <v>262</v>
      </c>
      <c r="F193" s="127" t="s">
        <v>263</v>
      </c>
      <c r="G193" s="130"/>
      <c r="H193" s="131"/>
      <c r="I193" s="143"/>
      <c r="J193" s="131">
        <f>SUM(J194:J194)</f>
        <v>32221379.337286752</v>
      </c>
    </row>
    <row r="194" spans="1:10">
      <c r="A194" s="67"/>
      <c r="B194" s="66"/>
      <c r="C194" s="132" t="s">
        <v>590</v>
      </c>
      <c r="D194" s="133" t="s">
        <v>604</v>
      </c>
      <c r="E194" s="102" t="str">
        <f>" - "&amp;'Giá VL'!E13</f>
        <v xml:space="preserve"> - Cấp phối đá dăm loại 2</v>
      </c>
      <c r="F194" s="66" t="str">
        <f>'Giá VL'!F13</f>
        <v>m3</v>
      </c>
      <c r="G194" s="134">
        <f>PTVT!G194</f>
        <v>134</v>
      </c>
      <c r="H194" s="135">
        <f>'Giá VL'!V13</f>
        <v>240458.05475587127</v>
      </c>
      <c r="I194" s="144">
        <f>'5.Tiên lượng'!V63</f>
        <v>1</v>
      </c>
      <c r="J194" s="135">
        <f>PRODUCT(G194,H194,I194)</f>
        <v>32221379.337286752</v>
      </c>
    </row>
    <row r="195" spans="1:10">
      <c r="A195" s="126"/>
      <c r="B195" s="127"/>
      <c r="C195" s="128" t="s">
        <v>590</v>
      </c>
      <c r="D195" s="128" t="s">
        <v>590</v>
      </c>
      <c r="E195" s="129" t="s">
        <v>265</v>
      </c>
      <c r="F195" s="127" t="s">
        <v>266</v>
      </c>
      <c r="G195" s="130"/>
      <c r="H195" s="131"/>
      <c r="I195" s="143"/>
      <c r="J195" s="131">
        <f>SUM(J196:J196)</f>
        <v>770352.96000000008</v>
      </c>
    </row>
    <row r="196" spans="1:10">
      <c r="A196" s="67"/>
      <c r="B196" s="66"/>
      <c r="C196" s="132" t="s">
        <v>590</v>
      </c>
      <c r="D196" s="133" t="s">
        <v>605</v>
      </c>
      <c r="E196" s="102" t="str">
        <f>" - "&amp;'Giá NC'!E8</f>
        <v xml:space="preserve"> - Nhân công bậc 3,0/7 - Nhóm 2</v>
      </c>
      <c r="F196" s="66" t="str">
        <f>'Giá NC'!F8</f>
        <v>công</v>
      </c>
      <c r="G196" s="134">
        <f>PTVT!G196</f>
        <v>3.12</v>
      </c>
      <c r="H196" s="135">
        <f>'Giá NC'!K8</f>
        <v>246908</v>
      </c>
      <c r="I196" s="144">
        <f>'5.Tiên lượng'!W63</f>
        <v>1</v>
      </c>
      <c r="J196" s="135">
        <f>PRODUCT(G196,H196,I196)</f>
        <v>770352.96000000008</v>
      </c>
    </row>
    <row r="197" spans="1:10">
      <c r="A197" s="126"/>
      <c r="B197" s="127"/>
      <c r="C197" s="128" t="s">
        <v>590</v>
      </c>
      <c r="D197" s="128" t="s">
        <v>590</v>
      </c>
      <c r="E197" s="129" t="s">
        <v>267</v>
      </c>
      <c r="F197" s="127" t="s">
        <v>268</v>
      </c>
      <c r="G197" s="130"/>
      <c r="H197" s="131"/>
      <c r="I197" s="143"/>
      <c r="J197" s="131">
        <f>SUM(J198:J203)</f>
        <v>2369565.459726376</v>
      </c>
    </row>
    <row r="198" spans="1:10">
      <c r="A198" s="67"/>
      <c r="B198" s="66"/>
      <c r="C198" s="132" t="s">
        <v>590</v>
      </c>
      <c r="D198" s="133" t="s">
        <v>606</v>
      </c>
      <c r="E198" s="102" t="str">
        <f>" - "&amp;'Giá Máy'!E24</f>
        <v xml:space="preserve"> - Máy rải cấp phối đá dăm 50 - 60m3/h</v>
      </c>
      <c r="F198" s="66" t="str">
        <f>'Giá Máy'!F24</f>
        <v>ca</v>
      </c>
      <c r="G198" s="134">
        <f>PTVT!G198</f>
        <v>0.21</v>
      </c>
      <c r="H198" s="135">
        <f>'Giá Máy'!O24</f>
        <v>3572483.6555555556</v>
      </c>
      <c r="I198" s="144">
        <f>'5.Tiên lượng'!X63</f>
        <v>1</v>
      </c>
      <c r="J198" s="135">
        <f t="shared" ref="J198:J203" si="24">PRODUCT(G198,H198,I198)</f>
        <v>750221.5676666667</v>
      </c>
    </row>
    <row r="199" spans="1:10">
      <c r="A199" s="67"/>
      <c r="B199" s="66"/>
      <c r="C199" s="132" t="s">
        <v>590</v>
      </c>
      <c r="D199" s="133" t="s">
        <v>607</v>
      </c>
      <c r="E199" s="102" t="str">
        <f>" - "&amp;'Giá Máy'!E19</f>
        <v xml:space="preserve"> - Máy lu rung tự hành 25T</v>
      </c>
      <c r="F199" s="66" t="str">
        <f>'Giá Máy'!F19</f>
        <v>ca</v>
      </c>
      <c r="G199" s="134">
        <f>PTVT!G199</f>
        <v>0.32</v>
      </c>
      <c r="H199" s="135">
        <f>'Giá Máy'!O19</f>
        <v>2794294.0688888887</v>
      </c>
      <c r="I199" s="144">
        <f>'5.Tiên lượng'!X63</f>
        <v>1</v>
      </c>
      <c r="J199" s="135">
        <f t="shared" si="24"/>
        <v>894174.10204444441</v>
      </c>
    </row>
    <row r="200" spans="1:10">
      <c r="A200" s="67"/>
      <c r="B200" s="66"/>
      <c r="C200" s="132" t="s">
        <v>590</v>
      </c>
      <c r="D200" s="133" t="s">
        <v>608</v>
      </c>
      <c r="E200" s="102" t="str">
        <f>" - "&amp;'Giá Máy'!E38</f>
        <v xml:space="preserve"> - Máy lu bánh hơi tự hành 16T</v>
      </c>
      <c r="F200" s="66" t="str">
        <f>'Giá Máy'!F38</f>
        <v>ca</v>
      </c>
      <c r="G200" s="134">
        <f>PTVT!G200</f>
        <v>0.12</v>
      </c>
      <c r="H200" s="135">
        <f>'Giá Máy'!O38</f>
        <v>1553246.5422222223</v>
      </c>
      <c r="I200" s="144">
        <f>'5.Tiên lượng'!X63</f>
        <v>1</v>
      </c>
      <c r="J200" s="135">
        <f t="shared" si="24"/>
        <v>186389.58506666668</v>
      </c>
    </row>
    <row r="201" spans="1:10">
      <c r="A201" s="67"/>
      <c r="B201" s="66"/>
      <c r="C201" s="132" t="s">
        <v>590</v>
      </c>
      <c r="D201" s="133" t="s">
        <v>609</v>
      </c>
      <c r="E201" s="102" t="str">
        <f>" - "&amp;'Giá Máy'!E17</f>
        <v xml:space="preserve"> - Máy lu bánh thép 10T</v>
      </c>
      <c r="F201" s="66" t="str">
        <f>'Giá Máy'!F17</f>
        <v>ca</v>
      </c>
      <c r="G201" s="134">
        <f>PTVT!G201</f>
        <v>0.26</v>
      </c>
      <c r="H201" s="135">
        <f>'Giá Máy'!O17</f>
        <v>1132157.2474074075</v>
      </c>
      <c r="I201" s="144">
        <f>'5.Tiên lượng'!X63</f>
        <v>1</v>
      </c>
      <c r="J201" s="135">
        <f t="shared" si="24"/>
        <v>294360.88432592596</v>
      </c>
    </row>
    <row r="202" spans="1:10">
      <c r="A202" s="67"/>
      <c r="B202" s="66"/>
      <c r="C202" s="132" t="s">
        <v>590</v>
      </c>
      <c r="D202" s="133" t="s">
        <v>610</v>
      </c>
      <c r="E202" s="102" t="str">
        <f>" - "&amp;'Giá Máy'!E33</f>
        <v xml:space="preserve"> - Ô tô tưới nước 5m3</v>
      </c>
      <c r="F202" s="66" t="str">
        <f>'Giá Máy'!F33</f>
        <v>ca</v>
      </c>
      <c r="G202" s="134">
        <f>PTVT!G202</f>
        <v>0.21</v>
      </c>
      <c r="H202" s="135">
        <f>'Giá Máy'!O33</f>
        <v>1107763.9892307692</v>
      </c>
      <c r="I202" s="144">
        <f>'5.Tiên lượng'!X63</f>
        <v>1</v>
      </c>
      <c r="J202" s="135">
        <f t="shared" si="24"/>
        <v>232630.43773846154</v>
      </c>
    </row>
    <row r="203" spans="1:10">
      <c r="A203" s="104"/>
      <c r="B203" s="105"/>
      <c r="C203" s="136" t="s">
        <v>590</v>
      </c>
      <c r="D203" s="137" t="s">
        <v>611</v>
      </c>
      <c r="E203" s="106" t="s">
        <v>612</v>
      </c>
      <c r="F203" s="105" t="s">
        <v>37</v>
      </c>
      <c r="G203" s="138">
        <f>PTVT!G203</f>
        <v>0.5</v>
      </c>
      <c r="H203" s="139">
        <f>(G198*H198+G199*H199+G200*H200+G201*H201+G202*H202)/100</f>
        <v>23577.76576842165</v>
      </c>
      <c r="I203" s="145">
        <f>'5.Tiên lượng'!X63</f>
        <v>1</v>
      </c>
      <c r="J203" s="139">
        <f t="shared" si="24"/>
        <v>11788.882884210825</v>
      </c>
    </row>
    <row r="204" spans="1:10">
      <c r="A204" s="121"/>
      <c r="B204" s="122">
        <v>25</v>
      </c>
      <c r="C204" s="121" t="str">
        <f>'5.Tiên lượng'!C65</f>
        <v>AF.82411</v>
      </c>
      <c r="D204" s="121" t="str">
        <f>'5.Tiên lượng'!C65</f>
        <v>AF.82411</v>
      </c>
      <c r="E204" s="123" t="str">
        <f>'5.Tiên lượng'!D65</f>
        <v>Ván khuôn thép mặt đường bê tông</v>
      </c>
      <c r="F204" s="122" t="str">
        <f>'5.Tiên lượng'!E65</f>
        <v>100m2</v>
      </c>
      <c r="G204" s="124"/>
      <c r="H204" s="125"/>
      <c r="I204" s="141"/>
      <c r="J204" s="142">
        <f>J205+J209+J211</f>
        <v>4171689.8117353758</v>
      </c>
    </row>
    <row r="205" spans="1:10">
      <c r="A205" s="126"/>
      <c r="B205" s="127"/>
      <c r="C205" s="128" t="s">
        <v>590</v>
      </c>
      <c r="D205" s="128" t="s">
        <v>590</v>
      </c>
      <c r="E205" s="129" t="s">
        <v>262</v>
      </c>
      <c r="F205" s="127" t="s">
        <v>263</v>
      </c>
      <c r="G205" s="130"/>
      <c r="H205" s="131"/>
      <c r="I205" s="143"/>
      <c r="J205" s="131">
        <f>SUM(J206:J208)</f>
        <v>618210.99161675188</v>
      </c>
    </row>
    <row r="206" spans="1:10">
      <c r="A206" s="67"/>
      <c r="B206" s="66"/>
      <c r="C206" s="132" t="s">
        <v>590</v>
      </c>
      <c r="D206" s="133" t="s">
        <v>627</v>
      </c>
      <c r="E206" s="102" t="str">
        <f>" - "&amp;'Giá VL'!E40</f>
        <v xml:space="preserve"> - Thép hình, thép tấm</v>
      </c>
      <c r="F206" s="66" t="str">
        <f>'Giá VL'!F40</f>
        <v>kg</v>
      </c>
      <c r="G206" s="134">
        <f>PTVT!G206</f>
        <v>31.5</v>
      </c>
      <c r="H206" s="135">
        <f>'Giá VL'!V40</f>
        <v>17587.694379947148</v>
      </c>
      <c r="I206" s="144">
        <f>'5.Tiên lượng'!V65</f>
        <v>1</v>
      </c>
      <c r="J206" s="135">
        <f t="shared" ref="J206:J208" si="25">PRODUCT(G206,H206,I206)</f>
        <v>554012.37296833517</v>
      </c>
    </row>
    <row r="207" spans="1:10">
      <c r="A207" s="67"/>
      <c r="B207" s="66"/>
      <c r="C207" s="132" t="s">
        <v>590</v>
      </c>
      <c r="D207" s="133" t="s">
        <v>628</v>
      </c>
      <c r="E207" s="102" t="str">
        <f>" - "&amp;'Giá VL'!E37</f>
        <v xml:space="preserve"> - Que hàn</v>
      </c>
      <c r="F207" s="66" t="str">
        <f>'Giá VL'!F37</f>
        <v>kg</v>
      </c>
      <c r="G207" s="134">
        <f>PTVT!G207</f>
        <v>1.58</v>
      </c>
      <c r="H207" s="135">
        <f>'Giá VL'!V37</f>
        <v>22000</v>
      </c>
      <c r="I207" s="144">
        <f>'5.Tiên lượng'!V65</f>
        <v>1</v>
      </c>
      <c r="J207" s="135">
        <f t="shared" si="25"/>
        <v>34760</v>
      </c>
    </row>
    <row r="208" spans="1:10">
      <c r="A208" s="67"/>
      <c r="B208" s="66"/>
      <c r="C208" s="132" t="s">
        <v>590</v>
      </c>
      <c r="D208" s="133" t="s">
        <v>620</v>
      </c>
      <c r="E208" s="102" t="s">
        <v>621</v>
      </c>
      <c r="F208" s="66" t="s">
        <v>37</v>
      </c>
      <c r="G208" s="134">
        <f>PTVT!G208</f>
        <v>5</v>
      </c>
      <c r="H208" s="135">
        <f>(G206*H206+G207*H207)/100</f>
        <v>5887.7237296833518</v>
      </c>
      <c r="I208" s="144">
        <f>'5.Tiên lượng'!V65</f>
        <v>1</v>
      </c>
      <c r="J208" s="135">
        <f t="shared" si="25"/>
        <v>29438.618648416759</v>
      </c>
    </row>
    <row r="209" spans="1:10">
      <c r="A209" s="126"/>
      <c r="B209" s="127"/>
      <c r="C209" s="128" t="s">
        <v>590</v>
      </c>
      <c r="D209" s="128" t="s">
        <v>590</v>
      </c>
      <c r="E209" s="129" t="s">
        <v>265</v>
      </c>
      <c r="F209" s="127" t="s">
        <v>266</v>
      </c>
      <c r="G209" s="130"/>
      <c r="H209" s="131"/>
      <c r="I209" s="143"/>
      <c r="J209" s="131">
        <f>SUM(J210:J210)</f>
        <v>3370558</v>
      </c>
    </row>
    <row r="210" spans="1:10">
      <c r="A210" s="67"/>
      <c r="B210" s="66"/>
      <c r="C210" s="132" t="s">
        <v>590</v>
      </c>
      <c r="D210" s="133" t="s">
        <v>629</v>
      </c>
      <c r="E210" s="102" t="str">
        <f>" - "&amp;'Giá NC'!E10</f>
        <v xml:space="preserve"> - Nhân công bậc 4,0/7 - Nhóm 2</v>
      </c>
      <c r="F210" s="66" t="str">
        <f>'Giá NC'!F10</f>
        <v>công</v>
      </c>
      <c r="G210" s="134">
        <f>PTVT!G210</f>
        <v>11.5</v>
      </c>
      <c r="H210" s="135">
        <f>'Giá NC'!K10</f>
        <v>293092</v>
      </c>
      <c r="I210" s="144">
        <f>'5.Tiên lượng'!W65</f>
        <v>1</v>
      </c>
      <c r="J210" s="135">
        <f>PRODUCT(G210,H210,I210)</f>
        <v>3370558</v>
      </c>
    </row>
    <row r="211" spans="1:10">
      <c r="A211" s="126"/>
      <c r="B211" s="127"/>
      <c r="C211" s="128" t="s">
        <v>590</v>
      </c>
      <c r="D211" s="128" t="s">
        <v>590</v>
      </c>
      <c r="E211" s="129" t="s">
        <v>267</v>
      </c>
      <c r="F211" s="127" t="s">
        <v>268</v>
      </c>
      <c r="G211" s="130"/>
      <c r="H211" s="131"/>
      <c r="I211" s="143"/>
      <c r="J211" s="131">
        <f>SUM(J212:J213)</f>
        <v>182920.82011862399</v>
      </c>
    </row>
    <row r="212" spans="1:10">
      <c r="A212" s="67"/>
      <c r="B212" s="66"/>
      <c r="C212" s="132" t="s">
        <v>590</v>
      </c>
      <c r="D212" s="133" t="s">
        <v>630</v>
      </c>
      <c r="E212" s="102" t="str">
        <f>" - "&amp;'Giá Máy'!E16</f>
        <v xml:space="preserve"> - Máy hàn điện 23kW</v>
      </c>
      <c r="F212" s="66" t="str">
        <f>'Giá Máy'!F16</f>
        <v>ca</v>
      </c>
      <c r="G212" s="134">
        <f>PTVT!G212</f>
        <v>0.42</v>
      </c>
      <c r="H212" s="135">
        <f>'Giá Máy'!O16</f>
        <v>426986.04135999997</v>
      </c>
      <c r="I212" s="144">
        <f>'5.Tiên lượng'!X65</f>
        <v>1</v>
      </c>
      <c r="J212" s="135">
        <f t="shared" ref="J212:J213" si="26">PRODUCT(G212,H212,I212)</f>
        <v>179334.13737119999</v>
      </c>
    </row>
    <row r="213" spans="1:10">
      <c r="A213" s="104"/>
      <c r="B213" s="105"/>
      <c r="C213" s="136" t="s">
        <v>590</v>
      </c>
      <c r="D213" s="137" t="s">
        <v>611</v>
      </c>
      <c r="E213" s="106" t="s">
        <v>612</v>
      </c>
      <c r="F213" s="105" t="s">
        <v>37</v>
      </c>
      <c r="G213" s="138">
        <f>PTVT!G213</f>
        <v>2</v>
      </c>
      <c r="H213" s="139">
        <f>(G212*H212)/100</f>
        <v>1793.3413737119999</v>
      </c>
      <c r="I213" s="145">
        <f>'5.Tiên lượng'!X65</f>
        <v>1</v>
      </c>
      <c r="J213" s="139">
        <f t="shared" si="26"/>
        <v>3586.6827474239999</v>
      </c>
    </row>
    <row r="214" spans="1:10">
      <c r="A214" s="121"/>
      <c r="B214" s="122">
        <v>26</v>
      </c>
      <c r="C214" s="121" t="str">
        <f>'5.Tiên lượng'!C67</f>
        <v>AL.24111</v>
      </c>
      <c r="D214" s="121" t="str">
        <f>'5.Tiên lượng'!C67</f>
        <v>AL.24111</v>
      </c>
      <c r="E214" s="123" t="str">
        <f>'5.Tiên lượng'!D67</f>
        <v>Thi công khe co không có thanh TL</v>
      </c>
      <c r="F214" s="122" t="str">
        <f>'5.Tiên lượng'!E67</f>
        <v>m</v>
      </c>
      <c r="G214" s="124"/>
      <c r="H214" s="125"/>
      <c r="I214" s="141"/>
      <c r="J214" s="142">
        <f>J215+J220+J222</f>
        <v>113804.56908721634</v>
      </c>
    </row>
    <row r="215" spans="1:10">
      <c r="A215" s="126"/>
      <c r="B215" s="127"/>
      <c r="C215" s="128" t="s">
        <v>590</v>
      </c>
      <c r="D215" s="128" t="s">
        <v>590</v>
      </c>
      <c r="E215" s="129" t="s">
        <v>262</v>
      </c>
      <c r="F215" s="127" t="s">
        <v>263</v>
      </c>
      <c r="G215" s="130"/>
      <c r="H215" s="131"/>
      <c r="I215" s="143"/>
      <c r="J215" s="131">
        <f>SUM(J216:J219)</f>
        <v>77759.339445135047</v>
      </c>
    </row>
    <row r="216" spans="1:10">
      <c r="A216" s="67"/>
      <c r="B216" s="66"/>
      <c r="C216" s="132" t="s">
        <v>590</v>
      </c>
      <c r="D216" s="133" t="s">
        <v>631</v>
      </c>
      <c r="E216" s="102" t="str">
        <f>" - "&amp;'Giá VL'!E28</f>
        <v xml:space="preserve"> - Ma tít chèn khe</v>
      </c>
      <c r="F216" s="66" t="str">
        <f>'Giá VL'!F28</f>
        <v>kg</v>
      </c>
      <c r="G216" s="134">
        <f>PTVT!G216</f>
        <v>1.36</v>
      </c>
      <c r="H216" s="135">
        <f>'Giá VL'!V28</f>
        <v>4000</v>
      </c>
      <c r="I216" s="144">
        <f>'5.Tiên lượng'!V67</f>
        <v>1</v>
      </c>
      <c r="J216" s="135">
        <f t="shared" ref="J216:J219" si="27">PRODUCT(G216,H216,I216)</f>
        <v>5440</v>
      </c>
    </row>
    <row r="217" spans="1:10">
      <c r="A217" s="67"/>
      <c r="B217" s="66"/>
      <c r="C217" s="132" t="s">
        <v>590</v>
      </c>
      <c r="D217" s="133" t="s">
        <v>619</v>
      </c>
      <c r="E217" s="102" t="str">
        <f>" - "&amp;'Giá VL'!E31</f>
        <v xml:space="preserve"> - Nhựa đường</v>
      </c>
      <c r="F217" s="66" t="str">
        <f>'Giá VL'!F31</f>
        <v>kg</v>
      </c>
      <c r="G217" s="134">
        <f>PTVT!G217</f>
        <v>0.13</v>
      </c>
      <c r="H217" s="135">
        <f>'Giá VL'!V31</f>
        <v>13717.500872863939</v>
      </c>
      <c r="I217" s="144">
        <f>'5.Tiên lượng'!V67</f>
        <v>1</v>
      </c>
      <c r="J217" s="135">
        <f t="shared" si="27"/>
        <v>1783.2751134723121</v>
      </c>
    </row>
    <row r="218" spans="1:10">
      <c r="A218" s="67"/>
      <c r="B218" s="66"/>
      <c r="C218" s="132" t="s">
        <v>590</v>
      </c>
      <c r="D218" s="133" t="s">
        <v>632</v>
      </c>
      <c r="E218" s="102" t="str">
        <f>" - "&amp;'Giá VL'!E38</f>
        <v xml:space="preserve"> - Thép Fi 25</v>
      </c>
      <c r="F218" s="66" t="str">
        <f>'Giá VL'!F38</f>
        <v>kg</v>
      </c>
      <c r="G218" s="134">
        <f>PTVT!G218</f>
        <v>3.8</v>
      </c>
      <c r="H218" s="135">
        <f>'Giá VL'!V38</f>
        <v>17587.694379947148</v>
      </c>
      <c r="I218" s="144">
        <f>'5.Tiên lượng'!V67</f>
        <v>1</v>
      </c>
      <c r="J218" s="135">
        <f t="shared" si="27"/>
        <v>66833.238643799166</v>
      </c>
    </row>
    <row r="219" spans="1:10">
      <c r="A219" s="67"/>
      <c r="B219" s="66"/>
      <c r="C219" s="132" t="s">
        <v>590</v>
      </c>
      <c r="D219" s="133" t="s">
        <v>620</v>
      </c>
      <c r="E219" s="102" t="s">
        <v>621</v>
      </c>
      <c r="F219" s="66" t="s">
        <v>37</v>
      </c>
      <c r="G219" s="134">
        <f>PTVT!G219</f>
        <v>5</v>
      </c>
      <c r="H219" s="135">
        <f>(G216*H216+G217*H217+G218*H218)/100</f>
        <v>740.56513757271478</v>
      </c>
      <c r="I219" s="144">
        <f>'5.Tiên lượng'!V67</f>
        <v>1</v>
      </c>
      <c r="J219" s="135">
        <f t="shared" si="27"/>
        <v>3702.8256878635739</v>
      </c>
    </row>
    <row r="220" spans="1:10">
      <c r="A220" s="126"/>
      <c r="B220" s="127"/>
      <c r="C220" s="128" t="s">
        <v>590</v>
      </c>
      <c r="D220" s="128" t="s">
        <v>590</v>
      </c>
      <c r="E220" s="129" t="s">
        <v>265</v>
      </c>
      <c r="F220" s="127" t="s">
        <v>266</v>
      </c>
      <c r="G220" s="130"/>
      <c r="H220" s="131"/>
      <c r="I220" s="143"/>
      <c r="J220" s="131">
        <f>SUM(J221:J221)</f>
        <v>24300</v>
      </c>
    </row>
    <row r="221" spans="1:10">
      <c r="A221" s="67"/>
      <c r="B221" s="66"/>
      <c r="C221" s="132" t="s">
        <v>590</v>
      </c>
      <c r="D221" s="133" t="s">
        <v>622</v>
      </c>
      <c r="E221" s="102" t="str">
        <f>" - "&amp;'Giá NC'!E9</f>
        <v xml:space="preserve"> - Nhân công bậc 3,5/7 - Nhóm 2</v>
      </c>
      <c r="F221" s="66" t="str">
        <f>'Giá NC'!F9</f>
        <v>công</v>
      </c>
      <c r="G221" s="134">
        <f>PTVT!G221</f>
        <v>0.09</v>
      </c>
      <c r="H221" s="135">
        <f>'Giá NC'!K9</f>
        <v>270000</v>
      </c>
      <c r="I221" s="144">
        <f>'5.Tiên lượng'!W67</f>
        <v>1</v>
      </c>
      <c r="J221" s="135">
        <f>PRODUCT(G221,H221,I221)</f>
        <v>24300</v>
      </c>
    </row>
    <row r="222" spans="1:10">
      <c r="A222" s="126"/>
      <c r="B222" s="127"/>
      <c r="C222" s="128" t="s">
        <v>590</v>
      </c>
      <c r="D222" s="128" t="s">
        <v>590</v>
      </c>
      <c r="E222" s="129" t="s">
        <v>267</v>
      </c>
      <c r="F222" s="127" t="s">
        <v>268</v>
      </c>
      <c r="G222" s="130"/>
      <c r="H222" s="131"/>
      <c r="I222" s="143"/>
      <c r="J222" s="131">
        <f>SUM(J223:J225)</f>
        <v>11745.2296420813</v>
      </c>
    </row>
    <row r="223" spans="1:10">
      <c r="A223" s="67"/>
      <c r="B223" s="66"/>
      <c r="C223" s="132" t="s">
        <v>590</v>
      </c>
      <c r="D223" s="133" t="s">
        <v>633</v>
      </c>
      <c r="E223" s="102" t="str">
        <f>" - "&amp;'Giá Máy'!E9</f>
        <v xml:space="preserve"> - Máy cắt uốn cốt thép 5kW</v>
      </c>
      <c r="F223" s="66" t="str">
        <f>'Giá Máy'!F9</f>
        <v>ca</v>
      </c>
      <c r="G223" s="134">
        <f>PTVT!G223</f>
        <v>1.2999999999999999E-2</v>
      </c>
      <c r="H223" s="135">
        <f>'Giá Máy'!O9</f>
        <v>286284.61192166666</v>
      </c>
      <c r="I223" s="144">
        <f>'5.Tiên lượng'!X67</f>
        <v>1</v>
      </c>
      <c r="J223" s="135">
        <f t="shared" ref="J223:J225" si="28">PRODUCT(G223,H223,I223)</f>
        <v>3721.6999549816665</v>
      </c>
    </row>
    <row r="224" spans="1:10">
      <c r="A224" s="67"/>
      <c r="B224" s="66"/>
      <c r="C224" s="132" t="s">
        <v>590</v>
      </c>
      <c r="D224" s="133" t="s">
        <v>634</v>
      </c>
      <c r="E224" s="102" t="str">
        <f>" - "&amp;'Giá Máy'!E22</f>
        <v xml:space="preserve"> - Máy nén khí diezel 600m3/h</v>
      </c>
      <c r="F224" s="66" t="str">
        <f>'Giá Máy'!F22</f>
        <v>ca</v>
      </c>
      <c r="G224" s="134">
        <f>PTVT!G224</f>
        <v>5.0000000000000001E-3</v>
      </c>
      <c r="H224" s="135">
        <f>'Giá Máy'!O22</f>
        <v>1558646.2133333334</v>
      </c>
      <c r="I224" s="144">
        <f>'5.Tiên lượng'!X67</f>
        <v>1</v>
      </c>
      <c r="J224" s="135">
        <f t="shared" si="28"/>
        <v>7793.2310666666672</v>
      </c>
    </row>
    <row r="225" spans="1:10">
      <c r="A225" s="104"/>
      <c r="B225" s="105"/>
      <c r="C225" s="136" t="s">
        <v>590</v>
      </c>
      <c r="D225" s="137" t="s">
        <v>611</v>
      </c>
      <c r="E225" s="106" t="s">
        <v>612</v>
      </c>
      <c r="F225" s="105" t="s">
        <v>37</v>
      </c>
      <c r="G225" s="138">
        <f>PTVT!G225</f>
        <v>2</v>
      </c>
      <c r="H225" s="139">
        <f>(G223*H223+G224*H224)/100</f>
        <v>115.14931021648334</v>
      </c>
      <c r="I225" s="145">
        <f>'5.Tiên lượng'!X67</f>
        <v>1</v>
      </c>
      <c r="J225" s="139">
        <f t="shared" si="28"/>
        <v>230.29862043296669</v>
      </c>
    </row>
    <row r="226" spans="1:10">
      <c r="A226" s="121"/>
      <c r="B226" s="122">
        <v>27</v>
      </c>
      <c r="C226" s="121" t="str">
        <f>'5.Tiên lượng'!C68</f>
        <v>AL.24112(VD)</v>
      </c>
      <c r="D226" s="121" t="str">
        <f>'5.Tiên lượng'!C68</f>
        <v>AL.24112(VD)</v>
      </c>
      <c r="E226" s="123" t="str">
        <f>'5.Tiên lượng'!D68</f>
        <v>Thi công khe giãn</v>
      </c>
      <c r="F226" s="122" t="str">
        <f>'5.Tiên lượng'!E68</f>
        <v>m</v>
      </c>
      <c r="G226" s="124"/>
      <c r="H226" s="125"/>
      <c r="I226" s="141"/>
      <c r="J226" s="142">
        <f>J227+J235+J237</f>
        <v>289625.66268221481</v>
      </c>
    </row>
    <row r="227" spans="1:10">
      <c r="A227" s="126"/>
      <c r="B227" s="127"/>
      <c r="C227" s="128" t="s">
        <v>590</v>
      </c>
      <c r="D227" s="128" t="s">
        <v>590</v>
      </c>
      <c r="E227" s="129" t="s">
        <v>262</v>
      </c>
      <c r="F227" s="127" t="s">
        <v>263</v>
      </c>
      <c r="G227" s="130"/>
      <c r="H227" s="131"/>
      <c r="I227" s="143"/>
      <c r="J227" s="131">
        <f>SUM(J228:J234)</f>
        <v>214684.29908605226</v>
      </c>
    </row>
    <row r="228" spans="1:10">
      <c r="A228" s="67"/>
      <c r="B228" s="66"/>
      <c r="C228" s="132" t="s">
        <v>590</v>
      </c>
      <c r="D228" s="133" t="s">
        <v>631</v>
      </c>
      <c r="E228" s="102" t="str">
        <f>" - "&amp;'Giá VL'!E28</f>
        <v xml:space="preserve"> - Ma tít chèn khe</v>
      </c>
      <c r="F228" s="66" t="str">
        <f>'Giá VL'!F28</f>
        <v>kg</v>
      </c>
      <c r="G228" s="134">
        <f>PTVT!G228</f>
        <v>1.33</v>
      </c>
      <c r="H228" s="135">
        <f>'Giá VL'!V28</f>
        <v>4000</v>
      </c>
      <c r="I228" s="144">
        <f>'5.Tiên lượng'!V68</f>
        <v>1</v>
      </c>
      <c r="J228" s="135">
        <f t="shared" ref="J228:J234" si="29">PRODUCT(G228,H228,I228)</f>
        <v>5320</v>
      </c>
    </row>
    <row r="229" spans="1:10">
      <c r="A229" s="67"/>
      <c r="B229" s="66"/>
      <c r="C229" s="132" t="s">
        <v>590</v>
      </c>
      <c r="D229" s="133" t="s">
        <v>619</v>
      </c>
      <c r="E229" s="102" t="str">
        <f>" - "&amp;'Giá VL'!E31</f>
        <v xml:space="preserve"> - Nhựa đường</v>
      </c>
      <c r="F229" s="66" t="str">
        <f>'Giá VL'!F31</f>
        <v>kg</v>
      </c>
      <c r="G229" s="134">
        <f>PTVT!G229</f>
        <v>0.25</v>
      </c>
      <c r="H229" s="135">
        <f>'Giá VL'!V31</f>
        <v>13717.500872863939</v>
      </c>
      <c r="I229" s="144">
        <f>'5.Tiên lượng'!V68</f>
        <v>1</v>
      </c>
      <c r="J229" s="135">
        <f t="shared" si="29"/>
        <v>3429.3752182159847</v>
      </c>
    </row>
    <row r="230" spans="1:10">
      <c r="A230" s="67"/>
      <c r="B230" s="66"/>
      <c r="C230" s="132" t="s">
        <v>590</v>
      </c>
      <c r="D230" s="133" t="s">
        <v>632</v>
      </c>
      <c r="E230" s="102" t="str">
        <f>" - "&amp;'Giá VL'!E38</f>
        <v xml:space="preserve"> - Thép Fi 25</v>
      </c>
      <c r="F230" s="66" t="str">
        <f>'Giá VL'!F38</f>
        <v>kg</v>
      </c>
      <c r="G230" s="134">
        <f>PTVT!G230</f>
        <v>7.65</v>
      </c>
      <c r="H230" s="135">
        <f>'Giá VL'!V38</f>
        <v>17587.694379947148</v>
      </c>
      <c r="I230" s="144">
        <f>'5.Tiên lượng'!V68</f>
        <v>1</v>
      </c>
      <c r="J230" s="135">
        <f t="shared" si="29"/>
        <v>134545.86200659568</v>
      </c>
    </row>
    <row r="231" spans="1:10">
      <c r="A231" s="67"/>
      <c r="B231" s="66"/>
      <c r="C231" s="132" t="s">
        <v>590</v>
      </c>
      <c r="D231" s="133" t="s">
        <v>729</v>
      </c>
      <c r="E231" s="102" t="str">
        <f>" - "&amp;'Giá VL'!E30</f>
        <v xml:space="preserve"> - Mùn cưa</v>
      </c>
      <c r="F231" s="66" t="str">
        <f>'Giá VL'!F30</f>
        <v>kg</v>
      </c>
      <c r="G231" s="134">
        <f>PTVT!G231</f>
        <v>0.43</v>
      </c>
      <c r="H231" s="135">
        <f>'Giá VL'!V30</f>
        <v>200</v>
      </c>
      <c r="I231" s="144">
        <f>'5.Tiên lượng'!V68</f>
        <v>1</v>
      </c>
      <c r="J231" s="135">
        <f t="shared" si="29"/>
        <v>86</v>
      </c>
    </row>
    <row r="232" spans="1:10">
      <c r="A232" s="67"/>
      <c r="B232" s="66"/>
      <c r="C232" s="132" t="s">
        <v>590</v>
      </c>
      <c r="D232" s="133" t="s">
        <v>707</v>
      </c>
      <c r="E232" s="102" t="str">
        <f>" - "&amp;'Giá VL'!E12</f>
        <v xml:space="preserve"> - Cao su đệm khe giãn</v>
      </c>
      <c r="F232" s="66" t="str">
        <f>'Giá VL'!F12</f>
        <v>m</v>
      </c>
      <c r="G232" s="134">
        <f>PTVT!G232</f>
        <v>1.2</v>
      </c>
      <c r="H232" s="135">
        <f>'Giá VL'!V12</f>
        <v>35000</v>
      </c>
      <c r="I232" s="144">
        <f>'5.Tiên lượng'!V68</f>
        <v>1</v>
      </c>
      <c r="J232" s="135">
        <f t="shared" si="29"/>
        <v>42000</v>
      </c>
    </row>
    <row r="233" spans="1:10">
      <c r="A233" s="67"/>
      <c r="B233" s="66"/>
      <c r="C233" s="132" t="s">
        <v>590</v>
      </c>
      <c r="D233" s="133" t="s">
        <v>735</v>
      </c>
      <c r="E233" s="102" t="str">
        <f>" - "&amp;'Giá VL'!E34</f>
        <v xml:space="preserve"> - Ống nhựa khe co giãn Fi 42</v>
      </c>
      <c r="F233" s="66" t="str">
        <f>'Giá VL'!F34</f>
        <v>m</v>
      </c>
      <c r="G233" s="134">
        <f>PTVT!G233</f>
        <v>1.59</v>
      </c>
      <c r="H233" s="135">
        <f>'Giá VL'!V34</f>
        <v>12000</v>
      </c>
      <c r="I233" s="144">
        <f>'5.Tiên lượng'!V68</f>
        <v>1</v>
      </c>
      <c r="J233" s="135">
        <f t="shared" si="29"/>
        <v>19080</v>
      </c>
    </row>
    <row r="234" spans="1:10">
      <c r="A234" s="67"/>
      <c r="B234" s="66"/>
      <c r="C234" s="132" t="s">
        <v>590</v>
      </c>
      <c r="D234" s="133" t="s">
        <v>620</v>
      </c>
      <c r="E234" s="102" t="s">
        <v>621</v>
      </c>
      <c r="F234" s="66" t="s">
        <v>37</v>
      </c>
      <c r="G234" s="134">
        <f>PTVT!G234</f>
        <v>5</v>
      </c>
      <c r="H234" s="135">
        <f>(G228*H228+G229*H229+G230*H230+G231*H231+G232*H232+G233*H233)/100</f>
        <v>2044.6123722481166</v>
      </c>
      <c r="I234" s="144">
        <f>'5.Tiên lượng'!V68</f>
        <v>1</v>
      </c>
      <c r="J234" s="135">
        <f t="shared" si="29"/>
        <v>10223.061861240583</v>
      </c>
    </row>
    <row r="235" spans="1:10">
      <c r="A235" s="126"/>
      <c r="B235" s="127"/>
      <c r="C235" s="128" t="s">
        <v>590</v>
      </c>
      <c r="D235" s="128" t="s">
        <v>590</v>
      </c>
      <c r="E235" s="129" t="s">
        <v>265</v>
      </c>
      <c r="F235" s="127" t="s">
        <v>266</v>
      </c>
      <c r="G235" s="130"/>
      <c r="H235" s="131"/>
      <c r="I235" s="143"/>
      <c r="J235" s="131">
        <f>SUM(J236:J236)</f>
        <v>59400</v>
      </c>
    </row>
    <row r="236" spans="1:10">
      <c r="A236" s="67"/>
      <c r="B236" s="66"/>
      <c r="C236" s="132" t="s">
        <v>590</v>
      </c>
      <c r="D236" s="133" t="s">
        <v>622</v>
      </c>
      <c r="E236" s="102" t="str">
        <f>" - "&amp;'Giá NC'!E9</f>
        <v xml:space="preserve"> - Nhân công bậc 3,5/7 - Nhóm 2</v>
      </c>
      <c r="F236" s="66" t="str">
        <f>'Giá NC'!F9</f>
        <v>công</v>
      </c>
      <c r="G236" s="134">
        <f>PTVT!G236</f>
        <v>0.22</v>
      </c>
      <c r="H236" s="135">
        <f>'Giá NC'!K9</f>
        <v>270000</v>
      </c>
      <c r="I236" s="144">
        <f>'5.Tiên lượng'!W68</f>
        <v>1</v>
      </c>
      <c r="J236" s="135">
        <f>PRODUCT(G236,H236,I236)</f>
        <v>59400</v>
      </c>
    </row>
    <row r="237" spans="1:10">
      <c r="A237" s="126"/>
      <c r="B237" s="127"/>
      <c r="C237" s="128" t="s">
        <v>590</v>
      </c>
      <c r="D237" s="128" t="s">
        <v>590</v>
      </c>
      <c r="E237" s="129" t="s">
        <v>267</v>
      </c>
      <c r="F237" s="127" t="s">
        <v>268</v>
      </c>
      <c r="G237" s="130"/>
      <c r="H237" s="131"/>
      <c r="I237" s="143"/>
      <c r="J237" s="131">
        <f>SUM(J238:J240)</f>
        <v>15541.363596162601</v>
      </c>
    </row>
    <row r="238" spans="1:10">
      <c r="A238" s="67"/>
      <c r="B238" s="66"/>
      <c r="C238" s="132" t="s">
        <v>590</v>
      </c>
      <c r="D238" s="133" t="s">
        <v>633</v>
      </c>
      <c r="E238" s="102" t="str">
        <f>" - "&amp;'Giá Máy'!E9</f>
        <v xml:space="preserve"> - Máy cắt uốn cốt thép 5kW</v>
      </c>
      <c r="F238" s="66" t="str">
        <f>'Giá Máy'!F9</f>
        <v>ca</v>
      </c>
      <c r="G238" s="134">
        <f>PTVT!G238</f>
        <v>2.5999999999999999E-2</v>
      </c>
      <c r="H238" s="135">
        <f>'Giá Máy'!O9</f>
        <v>286284.61192166666</v>
      </c>
      <c r="I238" s="144">
        <f>'5.Tiên lượng'!X68</f>
        <v>1</v>
      </c>
      <c r="J238" s="135">
        <f t="shared" ref="J238:J240" si="30">PRODUCT(G238,H238,I238)</f>
        <v>7443.3999099633329</v>
      </c>
    </row>
    <row r="239" spans="1:10">
      <c r="A239" s="67"/>
      <c r="B239" s="66"/>
      <c r="C239" s="132" t="s">
        <v>590</v>
      </c>
      <c r="D239" s="133" t="s">
        <v>634</v>
      </c>
      <c r="E239" s="102" t="str">
        <f>" - "&amp;'Giá Máy'!E22</f>
        <v xml:space="preserve"> - Máy nén khí diezel 600m3/h</v>
      </c>
      <c r="F239" s="66" t="str">
        <f>'Giá Máy'!F22</f>
        <v>ca</v>
      </c>
      <c r="G239" s="134">
        <f>PTVT!G239</f>
        <v>5.0000000000000001E-3</v>
      </c>
      <c r="H239" s="135">
        <f>'Giá Máy'!O22</f>
        <v>1558646.2133333334</v>
      </c>
      <c r="I239" s="144">
        <f>'5.Tiên lượng'!X68</f>
        <v>1</v>
      </c>
      <c r="J239" s="135">
        <f t="shared" si="30"/>
        <v>7793.2310666666672</v>
      </c>
    </row>
    <row r="240" spans="1:10">
      <c r="A240" s="104"/>
      <c r="B240" s="105"/>
      <c r="C240" s="136" t="s">
        <v>590</v>
      </c>
      <c r="D240" s="137" t="s">
        <v>611</v>
      </c>
      <c r="E240" s="106" t="s">
        <v>612</v>
      </c>
      <c r="F240" s="105" t="s">
        <v>37</v>
      </c>
      <c r="G240" s="138">
        <f>PTVT!G240</f>
        <v>2</v>
      </c>
      <c r="H240" s="139">
        <f>(G238*H238+G239*H239)/100</f>
        <v>152.36630976629999</v>
      </c>
      <c r="I240" s="145">
        <f>'5.Tiên lượng'!X68</f>
        <v>1</v>
      </c>
      <c r="J240" s="139">
        <f t="shared" si="30"/>
        <v>304.73261953259998</v>
      </c>
    </row>
    <row r="241" spans="1:10">
      <c r="A241" s="121"/>
      <c r="B241" s="122">
        <v>28</v>
      </c>
      <c r="C241" s="121" t="str">
        <f>'5.Tiên lượng'!C69</f>
        <v>AL.24113(VD)</v>
      </c>
      <c r="D241" s="121" t="str">
        <f>'5.Tiên lượng'!C69</f>
        <v>AL.24113(VD)</v>
      </c>
      <c r="E241" s="123" t="str">
        <f>'5.Tiên lượng'!D69</f>
        <v>Thi công  khe dọc</v>
      </c>
      <c r="F241" s="122" t="str">
        <f>'5.Tiên lượng'!E69</f>
        <v>m</v>
      </c>
      <c r="G241" s="124"/>
      <c r="H241" s="125"/>
      <c r="I241" s="141"/>
      <c r="J241" s="142">
        <f>J242+J246+J248</f>
        <v>50532.985738439966</v>
      </c>
    </row>
    <row r="242" spans="1:10">
      <c r="A242" s="126"/>
      <c r="B242" s="127"/>
      <c r="C242" s="128" t="s">
        <v>590</v>
      </c>
      <c r="D242" s="128" t="s">
        <v>590</v>
      </c>
      <c r="E242" s="129" t="s">
        <v>262</v>
      </c>
      <c r="F242" s="127" t="s">
        <v>263</v>
      </c>
      <c r="G242" s="130"/>
      <c r="H242" s="131"/>
      <c r="I242" s="143"/>
      <c r="J242" s="131">
        <f>SUM(J243:J245)</f>
        <v>23463.787008838957</v>
      </c>
    </row>
    <row r="243" spans="1:10">
      <c r="A243" s="67"/>
      <c r="B243" s="66"/>
      <c r="C243" s="132" t="s">
        <v>590</v>
      </c>
      <c r="D243" s="133" t="s">
        <v>631</v>
      </c>
      <c r="E243" s="102" t="str">
        <f>" - "&amp;'Giá VL'!E28</f>
        <v xml:space="preserve"> - Ma tít chèn khe</v>
      </c>
      <c r="F243" s="66" t="str">
        <f>'Giá VL'!F28</f>
        <v>kg</v>
      </c>
      <c r="G243" s="134">
        <f>PTVT!G243</f>
        <v>0.75</v>
      </c>
      <c r="H243" s="135">
        <f>'Giá VL'!V28</f>
        <v>4000</v>
      </c>
      <c r="I243" s="144">
        <f>'5.Tiên lượng'!V69</f>
        <v>1</v>
      </c>
      <c r="J243" s="135">
        <f t="shared" ref="J243:J245" si="31">PRODUCT(G243,H243,I243)</f>
        <v>3000</v>
      </c>
    </row>
    <row r="244" spans="1:10">
      <c r="A244" s="67"/>
      <c r="B244" s="66"/>
      <c r="C244" s="132" t="s">
        <v>590</v>
      </c>
      <c r="D244" s="133" t="s">
        <v>632</v>
      </c>
      <c r="E244" s="102" t="str">
        <f>" - "&amp;'Giá VL'!E38</f>
        <v xml:space="preserve"> - Thép Fi 25</v>
      </c>
      <c r="F244" s="66" t="str">
        <f>'Giá VL'!F38</f>
        <v>kg</v>
      </c>
      <c r="G244" s="134">
        <f>PTVT!G244</f>
        <v>1.1000000000000001</v>
      </c>
      <c r="H244" s="135">
        <f>'Giá VL'!V38</f>
        <v>17587.694379947148</v>
      </c>
      <c r="I244" s="144">
        <f>'5.Tiên lượng'!V69</f>
        <v>1</v>
      </c>
      <c r="J244" s="135">
        <f t="shared" si="31"/>
        <v>19346.463817941865</v>
      </c>
    </row>
    <row r="245" spans="1:10">
      <c r="A245" s="67"/>
      <c r="B245" s="66"/>
      <c r="C245" s="132" t="s">
        <v>590</v>
      </c>
      <c r="D245" s="133" t="s">
        <v>620</v>
      </c>
      <c r="E245" s="102" t="s">
        <v>621</v>
      </c>
      <c r="F245" s="66" t="s">
        <v>37</v>
      </c>
      <c r="G245" s="134">
        <f>PTVT!G245</f>
        <v>5</v>
      </c>
      <c r="H245" s="135">
        <f>(G243*H243+G244*H244)/100</f>
        <v>223.46463817941864</v>
      </c>
      <c r="I245" s="144">
        <f>'5.Tiên lượng'!V69</f>
        <v>1</v>
      </c>
      <c r="J245" s="135">
        <f t="shared" si="31"/>
        <v>1117.3231908970931</v>
      </c>
    </row>
    <row r="246" spans="1:10">
      <c r="A246" s="126"/>
      <c r="B246" s="127"/>
      <c r="C246" s="128" t="s">
        <v>590</v>
      </c>
      <c r="D246" s="128" t="s">
        <v>590</v>
      </c>
      <c r="E246" s="129" t="s">
        <v>265</v>
      </c>
      <c r="F246" s="127" t="s">
        <v>266</v>
      </c>
      <c r="G246" s="130"/>
      <c r="H246" s="131"/>
      <c r="I246" s="143"/>
      <c r="J246" s="131">
        <f>SUM(J247:J247)</f>
        <v>16200</v>
      </c>
    </row>
    <row r="247" spans="1:10">
      <c r="A247" s="67"/>
      <c r="B247" s="66"/>
      <c r="C247" s="132" t="s">
        <v>590</v>
      </c>
      <c r="D247" s="133" t="s">
        <v>622</v>
      </c>
      <c r="E247" s="102" t="str">
        <f>" - "&amp;'Giá NC'!E9</f>
        <v xml:space="preserve"> - Nhân công bậc 3,5/7 - Nhóm 2</v>
      </c>
      <c r="F247" s="66" t="str">
        <f>'Giá NC'!F9</f>
        <v>công</v>
      </c>
      <c r="G247" s="134">
        <f>PTVT!G247</f>
        <v>0.06</v>
      </c>
      <c r="H247" s="135">
        <f>'Giá NC'!K9</f>
        <v>270000</v>
      </c>
      <c r="I247" s="144">
        <f>'5.Tiên lượng'!W69</f>
        <v>1</v>
      </c>
      <c r="J247" s="135">
        <f>PRODUCT(G247,H247,I247)</f>
        <v>16200</v>
      </c>
    </row>
    <row r="248" spans="1:10">
      <c r="A248" s="126"/>
      <c r="B248" s="127"/>
      <c r="C248" s="128" t="s">
        <v>590</v>
      </c>
      <c r="D248" s="128" t="s">
        <v>590</v>
      </c>
      <c r="E248" s="129" t="s">
        <v>267</v>
      </c>
      <c r="F248" s="127" t="s">
        <v>268</v>
      </c>
      <c r="G248" s="130"/>
      <c r="H248" s="131"/>
      <c r="I248" s="143"/>
      <c r="J248" s="131">
        <f>SUM(J249:J251)</f>
        <v>10869.198729601001</v>
      </c>
    </row>
    <row r="249" spans="1:10">
      <c r="A249" s="67"/>
      <c r="B249" s="66"/>
      <c r="C249" s="132" t="s">
        <v>590</v>
      </c>
      <c r="D249" s="133" t="s">
        <v>633</v>
      </c>
      <c r="E249" s="102" t="str">
        <f>" - "&amp;'Giá Máy'!E9</f>
        <v xml:space="preserve"> - Máy cắt uốn cốt thép 5kW</v>
      </c>
      <c r="F249" s="66" t="str">
        <f>'Giá Máy'!F9</f>
        <v>ca</v>
      </c>
      <c r="G249" s="134">
        <f>PTVT!G249</f>
        <v>0.01</v>
      </c>
      <c r="H249" s="135">
        <f>'Giá Máy'!O9</f>
        <v>286284.61192166666</v>
      </c>
      <c r="I249" s="144">
        <f>'5.Tiên lượng'!X69</f>
        <v>1</v>
      </c>
      <c r="J249" s="135">
        <f t="shared" ref="J249:J251" si="32">PRODUCT(G249,H249,I249)</f>
        <v>2862.8461192166665</v>
      </c>
    </row>
    <row r="250" spans="1:10">
      <c r="A250" s="67"/>
      <c r="B250" s="66"/>
      <c r="C250" s="132" t="s">
        <v>590</v>
      </c>
      <c r="D250" s="133" t="s">
        <v>634</v>
      </c>
      <c r="E250" s="102" t="str">
        <f>" - "&amp;'Giá Máy'!E22</f>
        <v xml:space="preserve"> - Máy nén khí diezel 600m3/h</v>
      </c>
      <c r="F250" s="66" t="str">
        <f>'Giá Máy'!F22</f>
        <v>ca</v>
      </c>
      <c r="G250" s="134">
        <f>PTVT!G250</f>
        <v>5.0000000000000001E-3</v>
      </c>
      <c r="H250" s="135">
        <f>'Giá Máy'!O22</f>
        <v>1558646.2133333334</v>
      </c>
      <c r="I250" s="144">
        <f>'5.Tiên lượng'!X69</f>
        <v>1</v>
      </c>
      <c r="J250" s="135">
        <f t="shared" si="32"/>
        <v>7793.2310666666672</v>
      </c>
    </row>
    <row r="251" spans="1:10">
      <c r="A251" s="104"/>
      <c r="B251" s="105"/>
      <c r="C251" s="136" t="s">
        <v>590</v>
      </c>
      <c r="D251" s="137" t="s">
        <v>611</v>
      </c>
      <c r="E251" s="106" t="s">
        <v>612</v>
      </c>
      <c r="F251" s="105" t="s">
        <v>37</v>
      </c>
      <c r="G251" s="138">
        <f>PTVT!G251</f>
        <v>2</v>
      </c>
      <c r="H251" s="139">
        <f>(G249*H249+G250*H250)/100</f>
        <v>106.56077185883333</v>
      </c>
      <c r="I251" s="145">
        <f>'5.Tiên lượng'!X69</f>
        <v>1</v>
      </c>
      <c r="J251" s="139">
        <f t="shared" si="32"/>
        <v>213.12154371766667</v>
      </c>
    </row>
    <row r="252" spans="1:10">
      <c r="A252" s="121"/>
      <c r="B252" s="122">
        <v>29</v>
      </c>
      <c r="C252" s="121" t="str">
        <f>'5.Tiên lượng'!C70</f>
        <v>AL.24310</v>
      </c>
      <c r="D252" s="121" t="str">
        <f>'5.Tiên lượng'!C70</f>
        <v>AL.24310</v>
      </c>
      <c r="E252" s="123" t="str">
        <f>'5.Tiên lượng'!D70</f>
        <v>Cắt khe</v>
      </c>
      <c r="F252" s="122" t="str">
        <f>'5.Tiên lượng'!E70</f>
        <v>100m</v>
      </c>
      <c r="G252" s="124"/>
      <c r="H252" s="125"/>
      <c r="I252" s="141"/>
      <c r="J252" s="142">
        <f>J253+J256+J258</f>
        <v>411920.99635104003</v>
      </c>
    </row>
    <row r="253" spans="1:10">
      <c r="A253" s="126"/>
      <c r="B253" s="127"/>
      <c r="C253" s="128" t="s">
        <v>590</v>
      </c>
      <c r="D253" s="128" t="s">
        <v>590</v>
      </c>
      <c r="E253" s="129" t="s">
        <v>262</v>
      </c>
      <c r="F253" s="127" t="s">
        <v>263</v>
      </c>
      <c r="G253" s="130"/>
      <c r="H253" s="131"/>
      <c r="I253" s="143"/>
      <c r="J253" s="131">
        <f>SUM(J254:J255)</f>
        <v>2432.6999999999998</v>
      </c>
    </row>
    <row r="254" spans="1:10">
      <c r="A254" s="67"/>
      <c r="B254" s="66"/>
      <c r="C254" s="132" t="s">
        <v>590</v>
      </c>
      <c r="D254" s="133" t="s">
        <v>636</v>
      </c>
      <c r="E254" s="102" t="str">
        <f>" - "&amp;'Giá VL'!E27</f>
        <v xml:space="preserve"> - Lưỡi cắt D350mm</v>
      </c>
      <c r="F254" s="66" t="str">
        <f>'Giá VL'!F27</f>
        <v>cái</v>
      </c>
      <c r="G254" s="134">
        <f>PTVT!G254</f>
        <v>5.2999999999999999E-2</v>
      </c>
      <c r="H254" s="135">
        <f>'Giá VL'!V27</f>
        <v>45000</v>
      </c>
      <c r="I254" s="144">
        <f>'5.Tiên lượng'!V70</f>
        <v>1</v>
      </c>
      <c r="J254" s="135">
        <f t="shared" ref="J254:J255" si="33">PRODUCT(G254,H254,I254)</f>
        <v>2385</v>
      </c>
    </row>
    <row r="255" spans="1:10">
      <c r="A255" s="67"/>
      <c r="B255" s="66"/>
      <c r="C255" s="132" t="s">
        <v>590</v>
      </c>
      <c r="D255" s="133" t="s">
        <v>620</v>
      </c>
      <c r="E255" s="102" t="s">
        <v>621</v>
      </c>
      <c r="F255" s="66" t="s">
        <v>37</v>
      </c>
      <c r="G255" s="134">
        <f>PTVT!G255</f>
        <v>2</v>
      </c>
      <c r="H255" s="135">
        <f>(G254*H254)/100</f>
        <v>23.85</v>
      </c>
      <c r="I255" s="144">
        <f>'5.Tiên lượng'!V70</f>
        <v>1</v>
      </c>
      <c r="J255" s="135">
        <f t="shared" si="33"/>
        <v>47.7</v>
      </c>
    </row>
    <row r="256" spans="1:10">
      <c r="A256" s="126"/>
      <c r="B256" s="127"/>
      <c r="C256" s="128" t="s">
        <v>590</v>
      </c>
      <c r="D256" s="128" t="s">
        <v>590</v>
      </c>
      <c r="E256" s="129" t="s">
        <v>265</v>
      </c>
      <c r="F256" s="127" t="s">
        <v>266</v>
      </c>
      <c r="G256" s="130"/>
      <c r="H256" s="131"/>
      <c r="I256" s="143"/>
      <c r="J256" s="131">
        <f>SUM(J257:J257)</f>
        <v>288900</v>
      </c>
    </row>
    <row r="257" spans="1:10">
      <c r="A257" s="67"/>
      <c r="B257" s="66"/>
      <c r="C257" s="132" t="s">
        <v>590</v>
      </c>
      <c r="D257" s="133" t="s">
        <v>622</v>
      </c>
      <c r="E257" s="102" t="str">
        <f>" - "&amp;'Giá NC'!E9</f>
        <v xml:space="preserve"> - Nhân công bậc 3,5/7 - Nhóm 2</v>
      </c>
      <c r="F257" s="66" t="str">
        <f>'Giá NC'!F9</f>
        <v>công</v>
      </c>
      <c r="G257" s="134">
        <f>PTVT!G257</f>
        <v>1.07</v>
      </c>
      <c r="H257" s="135">
        <f>'Giá NC'!K9</f>
        <v>270000</v>
      </c>
      <c r="I257" s="144">
        <f>'5.Tiên lượng'!W70</f>
        <v>1</v>
      </c>
      <c r="J257" s="135">
        <f>PRODUCT(G257,H257,I257)</f>
        <v>288900</v>
      </c>
    </row>
    <row r="258" spans="1:10">
      <c r="A258" s="126"/>
      <c r="B258" s="127"/>
      <c r="C258" s="128" t="s">
        <v>590</v>
      </c>
      <c r="D258" s="128" t="s">
        <v>590</v>
      </c>
      <c r="E258" s="129" t="s">
        <v>267</v>
      </c>
      <c r="F258" s="127" t="s">
        <v>268</v>
      </c>
      <c r="G258" s="130"/>
      <c r="H258" s="131"/>
      <c r="I258" s="143"/>
      <c r="J258" s="131">
        <v>120588.29635104</v>
      </c>
    </row>
    <row r="259" spans="1:10">
      <c r="A259" s="67"/>
      <c r="B259" s="66"/>
      <c r="C259" s="132" t="s">
        <v>590</v>
      </c>
      <c r="D259" s="133" t="s">
        <v>637</v>
      </c>
      <c r="E259" s="102" t="str">
        <f>" - "&amp;'Giá Máy'!E8</f>
        <v xml:space="preserve"> - Máy cắt bê tông 12CV (MCD 218)</v>
      </c>
      <c r="F259" s="66" t="str">
        <f>'Giá Máy'!F8</f>
        <v>ca</v>
      </c>
      <c r="G259" s="134">
        <f>PTVT!G259</f>
        <v>0.252</v>
      </c>
      <c r="H259" s="135">
        <f>'Giá Máy'!O8</f>
        <v>491957.28666666668</v>
      </c>
      <c r="I259" s="144">
        <f>'5.Tiên lượng'!X70</f>
        <v>1</v>
      </c>
      <c r="J259" s="135">
        <f t="shared" ref="J259:J260" si="34">PRODUCT(G259,H259,I259)</f>
        <v>123973.23624</v>
      </c>
    </row>
    <row r="260" spans="1:10">
      <c r="A260" s="104"/>
      <c r="B260" s="105"/>
      <c r="C260" s="136" t="s">
        <v>590</v>
      </c>
      <c r="D260" s="137" t="s">
        <v>611</v>
      </c>
      <c r="E260" s="106" t="s">
        <v>612</v>
      </c>
      <c r="F260" s="105" t="s">
        <v>37</v>
      </c>
      <c r="G260" s="138">
        <f>PTVT!G260</f>
        <v>2</v>
      </c>
      <c r="H260" s="139">
        <f>(G259*H259)/100</f>
        <v>1239.7323624000001</v>
      </c>
      <c r="I260" s="145">
        <f>'5.Tiên lượng'!X70</f>
        <v>1</v>
      </c>
      <c r="J260" s="139">
        <f t="shared" si="34"/>
        <v>2479.4647248000001</v>
      </c>
    </row>
    <row r="261" spans="1:10">
      <c r="A261" s="114"/>
      <c r="B261" s="115"/>
      <c r="C261" s="116" t="s">
        <v>339</v>
      </c>
      <c r="D261" s="117" t="s">
        <v>339</v>
      </c>
      <c r="E261" s="118" t="s">
        <v>340</v>
      </c>
      <c r="F261" s="115"/>
      <c r="G261" s="119"/>
      <c r="H261" s="120"/>
      <c r="I261" s="140"/>
      <c r="J261" s="120" t="s">
        <v>597</v>
      </c>
    </row>
    <row r="262" spans="1:10">
      <c r="A262" s="114"/>
      <c r="B262" s="115"/>
      <c r="C262" s="116" t="s">
        <v>339</v>
      </c>
      <c r="D262" s="117" t="s">
        <v>339</v>
      </c>
      <c r="E262" s="118" t="s">
        <v>341</v>
      </c>
      <c r="F262" s="115"/>
      <c r="G262" s="119"/>
      <c r="H262" s="120"/>
      <c r="I262" s="140"/>
      <c r="J262" s="120" t="s">
        <v>597</v>
      </c>
    </row>
    <row r="263" spans="1:10">
      <c r="A263" s="121"/>
      <c r="B263" s="122">
        <v>30</v>
      </c>
      <c r="C263" s="121" t="str">
        <f>'5.Tiên lượng'!C76</f>
        <v>AB.31132</v>
      </c>
      <c r="D263" s="121" t="str">
        <f>'5.Tiên lượng'!C76</f>
        <v>AB.31132</v>
      </c>
      <c r="E263" s="123" t="str">
        <f>'5.Tiên lượng'!D76</f>
        <v>Đào nền đường bằng máy đào 1,25m3 - Cấp đất II</v>
      </c>
      <c r="F263" s="122" t="str">
        <f>'5.Tiên lượng'!E76</f>
        <v>100m3</v>
      </c>
      <c r="G263" s="124"/>
      <c r="H263" s="125"/>
      <c r="I263" s="141"/>
      <c r="J263" s="142">
        <f>J264+J266</f>
        <v>1761883.4098585716</v>
      </c>
    </row>
    <row r="264" spans="1:10">
      <c r="A264" s="126"/>
      <c r="B264" s="127"/>
      <c r="C264" s="128" t="s">
        <v>590</v>
      </c>
      <c r="D264" s="128" t="s">
        <v>590</v>
      </c>
      <c r="E264" s="129" t="s">
        <v>265</v>
      </c>
      <c r="F264" s="127" t="s">
        <v>266</v>
      </c>
      <c r="G264" s="130"/>
      <c r="H264" s="131"/>
      <c r="I264" s="143"/>
      <c r="J264" s="131">
        <f>SUM(J265:J265)</f>
        <v>775015.02</v>
      </c>
    </row>
    <row r="265" spans="1:10">
      <c r="A265" s="67"/>
      <c r="B265" s="66"/>
      <c r="C265" s="132" t="s">
        <v>590</v>
      </c>
      <c r="D265" s="133" t="s">
        <v>598</v>
      </c>
      <c r="E265" s="102" t="str">
        <f>" - "&amp;'Giá NC'!E5</f>
        <v xml:space="preserve"> - Nhân công bậc 3,0/7 - Nhóm 1</v>
      </c>
      <c r="F265" s="66" t="str">
        <f>'Giá NC'!F5</f>
        <v>công</v>
      </c>
      <c r="G265" s="134">
        <f>PTVT!G265</f>
        <v>3.39</v>
      </c>
      <c r="H265" s="135">
        <f>'Giá NC'!K5</f>
        <v>228618</v>
      </c>
      <c r="I265" s="144">
        <f>'5.Tiên lượng'!W76</f>
        <v>1</v>
      </c>
      <c r="J265" s="135">
        <f>PRODUCT(G265,H265,I265)</f>
        <v>775015.02</v>
      </c>
    </row>
    <row r="266" spans="1:10">
      <c r="A266" s="126"/>
      <c r="B266" s="127"/>
      <c r="C266" s="128" t="s">
        <v>590</v>
      </c>
      <c r="D266" s="128" t="s">
        <v>590</v>
      </c>
      <c r="E266" s="129" t="s">
        <v>267</v>
      </c>
      <c r="F266" s="127" t="s">
        <v>268</v>
      </c>
      <c r="G266" s="130"/>
      <c r="H266" s="131"/>
      <c r="I266" s="143"/>
      <c r="J266" s="131">
        <f>SUM(J267:J268)</f>
        <v>986868.38985857158</v>
      </c>
    </row>
    <row r="267" spans="1:10">
      <c r="A267" s="67"/>
      <c r="B267" s="66"/>
      <c r="C267" s="132" t="s">
        <v>590</v>
      </c>
      <c r="D267" s="133" t="s">
        <v>599</v>
      </c>
      <c r="E267" s="102" t="str">
        <f>" - "&amp;'Giá Máy'!E14</f>
        <v xml:space="preserve"> - Máy đào 1,25m3</v>
      </c>
      <c r="F267" s="66" t="str">
        <f>'Giá Máy'!F14</f>
        <v>ca</v>
      </c>
      <c r="G267" s="134">
        <f>PTVT!G267</f>
        <v>0.26400000000000001</v>
      </c>
      <c r="H267" s="135">
        <f>'Giá Máy'!O14</f>
        <v>3496941.8057142859</v>
      </c>
      <c r="I267" s="144">
        <f>'5.Tiên lượng'!X76</f>
        <v>1</v>
      </c>
      <c r="J267" s="135">
        <f t="shared" ref="J267:J268" si="35">PRODUCT(G267,H267,I267)</f>
        <v>923192.63670857158</v>
      </c>
    </row>
    <row r="268" spans="1:10">
      <c r="A268" s="104"/>
      <c r="B268" s="105"/>
      <c r="C268" s="136" t="s">
        <v>590</v>
      </c>
      <c r="D268" s="137" t="s">
        <v>600</v>
      </c>
      <c r="E268" s="106" t="str">
        <f>" - "&amp;'Giá Máy'!E29</f>
        <v xml:space="preserve"> - Máy ủi 110CV</v>
      </c>
      <c r="F268" s="105" t="str">
        <f>'Giá Máy'!F29</f>
        <v>ca</v>
      </c>
      <c r="G268" s="138">
        <f>PTVT!G268</f>
        <v>3.5000000000000003E-2</v>
      </c>
      <c r="H268" s="139">
        <f>'Giá Máy'!O29</f>
        <v>1819307.232857143</v>
      </c>
      <c r="I268" s="145">
        <f>'5.Tiên lượng'!X76</f>
        <v>1</v>
      </c>
      <c r="J268" s="139">
        <f t="shared" si="35"/>
        <v>63675.753150000011</v>
      </c>
    </row>
    <row r="269" spans="1:10">
      <c r="A269" s="121"/>
      <c r="B269" s="122">
        <v>31</v>
      </c>
      <c r="C269" s="121" t="str">
        <f>'5.Tiên lượng'!C78</f>
        <v>AB.31133</v>
      </c>
      <c r="D269" s="121" t="str">
        <f>'5.Tiên lượng'!C78</f>
        <v>AB.31133</v>
      </c>
      <c r="E269" s="123" t="str">
        <f>'5.Tiên lượng'!D78</f>
        <v>Đào nền đường bằng máy đào 1,25m3 - Cấp đất III</v>
      </c>
      <c r="F269" s="122" t="str">
        <f>'5.Tiên lượng'!E78</f>
        <v>100m3</v>
      </c>
      <c r="G269" s="124"/>
      <c r="H269" s="125"/>
      <c r="I269" s="141"/>
      <c r="J269" s="142">
        <f>J270+J272</f>
        <v>2088510.2708914285</v>
      </c>
    </row>
    <row r="270" spans="1:10">
      <c r="A270" s="126"/>
      <c r="B270" s="127"/>
      <c r="C270" s="128" t="s">
        <v>590</v>
      </c>
      <c r="D270" s="128" t="s">
        <v>590</v>
      </c>
      <c r="E270" s="129" t="s">
        <v>265</v>
      </c>
      <c r="F270" s="127" t="s">
        <v>266</v>
      </c>
      <c r="G270" s="130"/>
      <c r="H270" s="131"/>
      <c r="I270" s="143"/>
      <c r="J270" s="131">
        <f>SUM(J271:J271)</f>
        <v>928189.08</v>
      </c>
    </row>
    <row r="271" spans="1:10">
      <c r="A271" s="67"/>
      <c r="B271" s="66"/>
      <c r="C271" s="132" t="s">
        <v>590</v>
      </c>
      <c r="D271" s="133" t="s">
        <v>598</v>
      </c>
      <c r="E271" s="102" t="str">
        <f>" - "&amp;'Giá NC'!E5</f>
        <v xml:space="preserve"> - Nhân công bậc 3,0/7 - Nhóm 1</v>
      </c>
      <c r="F271" s="66" t="str">
        <f>'Giá NC'!F5</f>
        <v>công</v>
      </c>
      <c r="G271" s="134">
        <f>PTVT!G271</f>
        <v>4.0599999999999996</v>
      </c>
      <c r="H271" s="135">
        <f>'Giá NC'!K5</f>
        <v>228618</v>
      </c>
      <c r="I271" s="144">
        <f>'5.Tiên lượng'!W78</f>
        <v>1</v>
      </c>
      <c r="J271" s="135">
        <f>PRODUCT(G271,H271,I271)</f>
        <v>928189.08</v>
      </c>
    </row>
    <row r="272" spans="1:10">
      <c r="A272" s="126"/>
      <c r="B272" s="127"/>
      <c r="C272" s="128" t="s">
        <v>590</v>
      </c>
      <c r="D272" s="128" t="s">
        <v>590</v>
      </c>
      <c r="E272" s="129" t="s">
        <v>267</v>
      </c>
      <c r="F272" s="127" t="s">
        <v>268</v>
      </c>
      <c r="G272" s="130"/>
      <c r="H272" s="131"/>
      <c r="I272" s="143"/>
      <c r="J272" s="131">
        <f>SUM(J273:J274)</f>
        <v>1160321.1908914286</v>
      </c>
    </row>
    <row r="273" spans="1:10">
      <c r="A273" s="67"/>
      <c r="B273" s="66"/>
      <c r="C273" s="132" t="s">
        <v>590</v>
      </c>
      <c r="D273" s="133" t="s">
        <v>599</v>
      </c>
      <c r="E273" s="102" t="str">
        <f>" - "&amp;'Giá Máy'!E14</f>
        <v xml:space="preserve"> - Máy đào 1,25m3</v>
      </c>
      <c r="F273" s="66" t="str">
        <f>'Giá Máy'!F14</f>
        <v>ca</v>
      </c>
      <c r="G273" s="134">
        <f>PTVT!G273</f>
        <v>0.311</v>
      </c>
      <c r="H273" s="135">
        <f>'Giá Máy'!O14</f>
        <v>3496941.8057142859</v>
      </c>
      <c r="I273" s="144">
        <f>'5.Tiên lượng'!X78</f>
        <v>1</v>
      </c>
      <c r="J273" s="135">
        <f t="shared" ref="J273:J274" si="36">PRODUCT(G273,H273,I273)</f>
        <v>1087548.901577143</v>
      </c>
    </row>
    <row r="274" spans="1:10">
      <c r="A274" s="104"/>
      <c r="B274" s="105"/>
      <c r="C274" s="136" t="s">
        <v>590</v>
      </c>
      <c r="D274" s="137" t="s">
        <v>600</v>
      </c>
      <c r="E274" s="106" t="str">
        <f>" - "&amp;'Giá Máy'!E29</f>
        <v xml:space="preserve"> - Máy ủi 110CV</v>
      </c>
      <c r="F274" s="105" t="str">
        <f>'Giá Máy'!F29</f>
        <v>ca</v>
      </c>
      <c r="G274" s="138">
        <f>PTVT!G274</f>
        <v>0.04</v>
      </c>
      <c r="H274" s="139">
        <f>'Giá Máy'!O29</f>
        <v>1819307.232857143</v>
      </c>
      <c r="I274" s="145">
        <f>'5.Tiên lượng'!X78</f>
        <v>1</v>
      </c>
      <c r="J274" s="139">
        <f t="shared" si="36"/>
        <v>72772.289314285721</v>
      </c>
    </row>
    <row r="275" spans="1:10">
      <c r="A275" s="121"/>
      <c r="B275" s="122">
        <v>32</v>
      </c>
      <c r="C275" s="121" t="str">
        <f>'5.Tiên lượng'!C80</f>
        <v>AB.31134</v>
      </c>
      <c r="D275" s="121" t="str">
        <f>'5.Tiên lượng'!C80</f>
        <v>AB.31134</v>
      </c>
      <c r="E275" s="123" t="str">
        <f>'5.Tiên lượng'!D80</f>
        <v>Đào nền đường bằng máy đào 1,25m3 - Cấp đất IV</v>
      </c>
      <c r="F275" s="122" t="str">
        <f>'5.Tiên lượng'!E80</f>
        <v>100m3</v>
      </c>
      <c r="G275" s="124"/>
      <c r="H275" s="125"/>
      <c r="I275" s="141"/>
      <c r="J275" s="142">
        <f>J276+J278</f>
        <v>2687875.7251285715</v>
      </c>
    </row>
    <row r="276" spans="1:10">
      <c r="A276" s="126"/>
      <c r="B276" s="127"/>
      <c r="C276" s="128" t="s">
        <v>590</v>
      </c>
      <c r="D276" s="128" t="s">
        <v>590</v>
      </c>
      <c r="E276" s="129" t="s">
        <v>265</v>
      </c>
      <c r="F276" s="127" t="s">
        <v>266</v>
      </c>
      <c r="G276" s="130"/>
      <c r="H276" s="131"/>
      <c r="I276" s="143"/>
      <c r="J276" s="131">
        <f>SUM(J277:J277)</f>
        <v>1099652.5799999998</v>
      </c>
    </row>
    <row r="277" spans="1:10">
      <c r="A277" s="67"/>
      <c r="B277" s="66"/>
      <c r="C277" s="132" t="s">
        <v>590</v>
      </c>
      <c r="D277" s="133" t="s">
        <v>598</v>
      </c>
      <c r="E277" s="102" t="str">
        <f>" - "&amp;'Giá NC'!E5</f>
        <v xml:space="preserve"> - Nhân công bậc 3,0/7 - Nhóm 1</v>
      </c>
      <c r="F277" s="66" t="str">
        <f>'Giá NC'!F5</f>
        <v>công</v>
      </c>
      <c r="G277" s="134">
        <f>PTVT!G277</f>
        <v>4.8099999999999996</v>
      </c>
      <c r="H277" s="135">
        <f>'Giá NC'!K5</f>
        <v>228618</v>
      </c>
      <c r="I277" s="144">
        <f>'5.Tiên lượng'!W80</f>
        <v>1</v>
      </c>
      <c r="J277" s="135">
        <f>PRODUCT(G277,H277,I277)</f>
        <v>1099652.5799999998</v>
      </c>
    </row>
    <row r="278" spans="1:10">
      <c r="A278" s="126"/>
      <c r="B278" s="127"/>
      <c r="C278" s="128" t="s">
        <v>590</v>
      </c>
      <c r="D278" s="128" t="s">
        <v>590</v>
      </c>
      <c r="E278" s="129" t="s">
        <v>267</v>
      </c>
      <c r="F278" s="127" t="s">
        <v>268</v>
      </c>
      <c r="G278" s="130"/>
      <c r="H278" s="131"/>
      <c r="I278" s="143"/>
      <c r="J278" s="131">
        <f>SUM(J279:J280)</f>
        <v>1588223.1451285714</v>
      </c>
    </row>
    <row r="279" spans="1:10">
      <c r="A279" s="67"/>
      <c r="B279" s="66"/>
      <c r="C279" s="132" t="s">
        <v>590</v>
      </c>
      <c r="D279" s="133" t="s">
        <v>599</v>
      </c>
      <c r="E279" s="102" t="str">
        <f>" - "&amp;'Giá Máy'!E14</f>
        <v xml:space="preserve"> - Máy đào 1,25m3</v>
      </c>
      <c r="F279" s="66" t="str">
        <f>'Giá Máy'!F14</f>
        <v>ca</v>
      </c>
      <c r="G279" s="134">
        <f>PTVT!G279</f>
        <v>0.42399999999999999</v>
      </c>
      <c r="H279" s="135">
        <f>'Giá Máy'!O14</f>
        <v>3496941.8057142859</v>
      </c>
      <c r="I279" s="144">
        <f>'5.Tiên lượng'!X80</f>
        <v>1</v>
      </c>
      <c r="J279" s="135">
        <f t="shared" ref="J279:J280" si="37">PRODUCT(G279,H279,I279)</f>
        <v>1482703.3256228571</v>
      </c>
    </row>
    <row r="280" spans="1:10">
      <c r="A280" s="104"/>
      <c r="B280" s="105"/>
      <c r="C280" s="136" t="s">
        <v>590</v>
      </c>
      <c r="D280" s="137" t="s">
        <v>600</v>
      </c>
      <c r="E280" s="106" t="str">
        <f>" - "&amp;'Giá Máy'!E29</f>
        <v xml:space="preserve"> - Máy ủi 110CV</v>
      </c>
      <c r="F280" s="105" t="str">
        <f>'Giá Máy'!F29</f>
        <v>ca</v>
      </c>
      <c r="G280" s="138">
        <f>PTVT!G280</f>
        <v>5.8000000000000003E-2</v>
      </c>
      <c r="H280" s="139">
        <f>'Giá Máy'!O29</f>
        <v>1819307.232857143</v>
      </c>
      <c r="I280" s="145">
        <f>'5.Tiên lượng'!X80</f>
        <v>1</v>
      </c>
      <c r="J280" s="139">
        <f t="shared" si="37"/>
        <v>105519.8195057143</v>
      </c>
    </row>
    <row r="281" spans="1:10">
      <c r="A281" s="121"/>
      <c r="B281" s="122">
        <v>33</v>
      </c>
      <c r="C281" s="121" t="str">
        <f>'5.Tiên lượng'!C82</f>
        <v>AB.31134VD</v>
      </c>
      <c r="D281" s="121" t="str">
        <f>'5.Tiên lượng'!C82</f>
        <v>AB.31134VD</v>
      </c>
      <c r="E281" s="123" t="str">
        <f>'5.Tiên lượng'!D82</f>
        <v>Đào đường cũ cấp phối bằng máy đào 1,25m3</v>
      </c>
      <c r="F281" s="122" t="str">
        <f>'5.Tiên lượng'!E82</f>
        <v>m3</v>
      </c>
      <c r="G281" s="124"/>
      <c r="H281" s="125"/>
      <c r="I281" s="141"/>
      <c r="J281" s="142">
        <f>J282+J284</f>
        <v>26878.757251285715</v>
      </c>
    </row>
    <row r="282" spans="1:10">
      <c r="A282" s="126"/>
      <c r="B282" s="127"/>
      <c r="C282" s="128" t="s">
        <v>590</v>
      </c>
      <c r="D282" s="128" t="s">
        <v>590</v>
      </c>
      <c r="E282" s="129" t="s">
        <v>265</v>
      </c>
      <c r="F282" s="127" t="s">
        <v>266</v>
      </c>
      <c r="G282" s="130"/>
      <c r="H282" s="131"/>
      <c r="I282" s="143"/>
      <c r="J282" s="131">
        <f>SUM(J283:J283)</f>
        <v>10996.525799999999</v>
      </c>
    </row>
    <row r="283" spans="1:10">
      <c r="A283" s="67"/>
      <c r="B283" s="66"/>
      <c r="C283" s="132" t="s">
        <v>590</v>
      </c>
      <c r="D283" s="133" t="s">
        <v>598</v>
      </c>
      <c r="E283" s="102" t="str">
        <f>" - "&amp;'Giá NC'!E5</f>
        <v xml:space="preserve"> - Nhân công bậc 3,0/7 - Nhóm 1</v>
      </c>
      <c r="F283" s="66" t="str">
        <f>'Giá NC'!F5</f>
        <v>công</v>
      </c>
      <c r="G283" s="134">
        <f>PTVT!G283</f>
        <v>4.8099999999999997E-2</v>
      </c>
      <c r="H283" s="135">
        <f>'Giá NC'!K5</f>
        <v>228618</v>
      </c>
      <c r="I283" s="144">
        <f>'5.Tiên lượng'!W82</f>
        <v>1</v>
      </c>
      <c r="J283" s="135">
        <f>PRODUCT(G283,H283,I283)</f>
        <v>10996.525799999999</v>
      </c>
    </row>
    <row r="284" spans="1:10">
      <c r="A284" s="126"/>
      <c r="B284" s="127"/>
      <c r="C284" s="128" t="s">
        <v>590</v>
      </c>
      <c r="D284" s="128" t="s">
        <v>590</v>
      </c>
      <c r="E284" s="129" t="s">
        <v>267</v>
      </c>
      <c r="F284" s="127" t="s">
        <v>268</v>
      </c>
      <c r="G284" s="130"/>
      <c r="H284" s="131"/>
      <c r="I284" s="143"/>
      <c r="J284" s="131">
        <f>SUM(J285:J286)</f>
        <v>15882.231451285714</v>
      </c>
    </row>
    <row r="285" spans="1:10">
      <c r="A285" s="67"/>
      <c r="B285" s="66"/>
      <c r="C285" s="132" t="s">
        <v>590</v>
      </c>
      <c r="D285" s="133" t="s">
        <v>599</v>
      </c>
      <c r="E285" s="102" t="str">
        <f>" - "&amp;'Giá Máy'!E14</f>
        <v xml:space="preserve"> - Máy đào 1,25m3</v>
      </c>
      <c r="F285" s="66" t="str">
        <f>'Giá Máy'!F14</f>
        <v>ca</v>
      </c>
      <c r="G285" s="134">
        <f>PTVT!G285</f>
        <v>4.2399999999999998E-3</v>
      </c>
      <c r="H285" s="135">
        <f>'Giá Máy'!O14</f>
        <v>3496941.8057142859</v>
      </c>
      <c r="I285" s="144">
        <f>'5.Tiên lượng'!X82</f>
        <v>1</v>
      </c>
      <c r="J285" s="135">
        <f t="shared" ref="J285:J286" si="38">PRODUCT(G285,H285,I285)</f>
        <v>14827.033256228571</v>
      </c>
    </row>
    <row r="286" spans="1:10">
      <c r="A286" s="104"/>
      <c r="B286" s="105"/>
      <c r="C286" s="136" t="s">
        <v>590</v>
      </c>
      <c r="D286" s="137" t="s">
        <v>600</v>
      </c>
      <c r="E286" s="106" t="str">
        <f>" - "&amp;'Giá Máy'!E29</f>
        <v xml:space="preserve"> - Máy ủi 110CV</v>
      </c>
      <c r="F286" s="105" t="str">
        <f>'Giá Máy'!F29</f>
        <v>ca</v>
      </c>
      <c r="G286" s="138">
        <f>PTVT!G286</f>
        <v>5.8E-4</v>
      </c>
      <c r="H286" s="139">
        <f>'Giá Máy'!O29</f>
        <v>1819307.232857143</v>
      </c>
      <c r="I286" s="145">
        <f>'5.Tiên lượng'!X82</f>
        <v>1</v>
      </c>
      <c r="J286" s="139">
        <f t="shared" si="38"/>
        <v>1055.198195057143</v>
      </c>
    </row>
    <row r="287" spans="1:10">
      <c r="A287" s="121"/>
      <c r="B287" s="122">
        <v>34</v>
      </c>
      <c r="C287" s="121" t="str">
        <f>'5.Tiên lượng'!C85</f>
        <v>AB.31132(VD)</v>
      </c>
      <c r="D287" s="121" t="str">
        <f>'5.Tiên lượng'!C85</f>
        <v>AB.31132(VD)</v>
      </c>
      <c r="E287" s="123" t="str">
        <f>'5.Tiên lượng'!D85</f>
        <v>Đào rãnh bằng máy đào 1,25m3 - Cấp đất II</v>
      </c>
      <c r="F287" s="122" t="str">
        <f>'5.Tiên lượng'!E85</f>
        <v>100m3</v>
      </c>
      <c r="G287" s="124"/>
      <c r="H287" s="125"/>
      <c r="I287" s="141"/>
      <c r="J287" s="142">
        <f>J288+J290</f>
        <v>1761883.4098585716</v>
      </c>
    </row>
    <row r="288" spans="1:10">
      <c r="A288" s="126"/>
      <c r="B288" s="127"/>
      <c r="C288" s="128" t="s">
        <v>590</v>
      </c>
      <c r="D288" s="128" t="s">
        <v>590</v>
      </c>
      <c r="E288" s="129" t="s">
        <v>265</v>
      </c>
      <c r="F288" s="127" t="s">
        <v>266</v>
      </c>
      <c r="G288" s="130"/>
      <c r="H288" s="131"/>
      <c r="I288" s="143"/>
      <c r="J288" s="131">
        <f>SUM(J289:J289)</f>
        <v>775015.02</v>
      </c>
    </row>
    <row r="289" spans="1:10">
      <c r="A289" s="67"/>
      <c r="B289" s="66"/>
      <c r="C289" s="132" t="s">
        <v>590</v>
      </c>
      <c r="D289" s="133" t="s">
        <v>598</v>
      </c>
      <c r="E289" s="102" t="str">
        <f>" - "&amp;'Giá NC'!E5</f>
        <v xml:space="preserve"> - Nhân công bậc 3,0/7 - Nhóm 1</v>
      </c>
      <c r="F289" s="66" t="str">
        <f>'Giá NC'!F5</f>
        <v>công</v>
      </c>
      <c r="G289" s="134">
        <f>PTVT!G289</f>
        <v>3.39</v>
      </c>
      <c r="H289" s="135">
        <f>'Giá NC'!K5</f>
        <v>228618</v>
      </c>
      <c r="I289" s="144">
        <f>'5.Tiên lượng'!W85</f>
        <v>1</v>
      </c>
      <c r="J289" s="135">
        <f>PRODUCT(G289,H289,I289)</f>
        <v>775015.02</v>
      </c>
    </row>
    <row r="290" spans="1:10">
      <c r="A290" s="126"/>
      <c r="B290" s="127"/>
      <c r="C290" s="128" t="s">
        <v>590</v>
      </c>
      <c r="D290" s="128" t="s">
        <v>590</v>
      </c>
      <c r="E290" s="129" t="s">
        <v>267</v>
      </c>
      <c r="F290" s="127" t="s">
        <v>268</v>
      </c>
      <c r="G290" s="130"/>
      <c r="H290" s="131"/>
      <c r="I290" s="143"/>
      <c r="J290" s="131">
        <f>SUM(J291:J292)</f>
        <v>986868.38985857158</v>
      </c>
    </row>
    <row r="291" spans="1:10">
      <c r="A291" s="67"/>
      <c r="B291" s="66"/>
      <c r="C291" s="132" t="s">
        <v>590</v>
      </c>
      <c r="D291" s="133" t="s">
        <v>599</v>
      </c>
      <c r="E291" s="102" t="str">
        <f>" - "&amp;'Giá Máy'!E14</f>
        <v xml:space="preserve"> - Máy đào 1,25m3</v>
      </c>
      <c r="F291" s="66" t="str">
        <f>'Giá Máy'!F14</f>
        <v>ca</v>
      </c>
      <c r="G291" s="134">
        <f>PTVT!G291</f>
        <v>0.26400000000000001</v>
      </c>
      <c r="H291" s="135">
        <f>'Giá Máy'!O14</f>
        <v>3496941.8057142859</v>
      </c>
      <c r="I291" s="144">
        <f>'5.Tiên lượng'!X85</f>
        <v>1</v>
      </c>
      <c r="J291" s="135">
        <f t="shared" ref="J291:J292" si="39">PRODUCT(G291,H291,I291)</f>
        <v>923192.63670857158</v>
      </c>
    </row>
    <row r="292" spans="1:10">
      <c r="A292" s="104"/>
      <c r="B292" s="105"/>
      <c r="C292" s="136" t="s">
        <v>590</v>
      </c>
      <c r="D292" s="137" t="s">
        <v>600</v>
      </c>
      <c r="E292" s="106" t="str">
        <f>" - "&amp;'Giá Máy'!E29</f>
        <v xml:space="preserve"> - Máy ủi 110CV</v>
      </c>
      <c r="F292" s="105" t="str">
        <f>'Giá Máy'!F29</f>
        <v>ca</v>
      </c>
      <c r="G292" s="138">
        <f>PTVT!G292</f>
        <v>3.5000000000000003E-2</v>
      </c>
      <c r="H292" s="139">
        <f>'Giá Máy'!O29</f>
        <v>1819307.232857143</v>
      </c>
      <c r="I292" s="145">
        <f>'5.Tiên lượng'!X85</f>
        <v>1</v>
      </c>
      <c r="J292" s="139">
        <f t="shared" si="39"/>
        <v>63675.753150000011</v>
      </c>
    </row>
    <row r="293" spans="1:10">
      <c r="A293" s="121"/>
      <c r="B293" s="122">
        <v>35</v>
      </c>
      <c r="C293" s="121" t="str">
        <f>'5.Tiên lượng'!C87</f>
        <v>AB.31133(VD)</v>
      </c>
      <c r="D293" s="121" t="str">
        <f>'5.Tiên lượng'!C87</f>
        <v>AB.31133(VD)</v>
      </c>
      <c r="E293" s="123" t="str">
        <f>'5.Tiên lượng'!D87</f>
        <v>Đào rãnh bằng máy đào 1,25m3 - Cấp đất III</v>
      </c>
      <c r="F293" s="122" t="str">
        <f>'5.Tiên lượng'!E87</f>
        <v>100m3</v>
      </c>
      <c r="G293" s="124"/>
      <c r="H293" s="125"/>
      <c r="I293" s="141"/>
      <c r="J293" s="142">
        <f>J294+J296</f>
        <v>2088510.2708914285</v>
      </c>
    </row>
    <row r="294" spans="1:10">
      <c r="A294" s="126"/>
      <c r="B294" s="127"/>
      <c r="C294" s="128" t="s">
        <v>590</v>
      </c>
      <c r="D294" s="128" t="s">
        <v>590</v>
      </c>
      <c r="E294" s="129" t="s">
        <v>265</v>
      </c>
      <c r="F294" s="127" t="s">
        <v>266</v>
      </c>
      <c r="G294" s="130"/>
      <c r="H294" s="131"/>
      <c r="I294" s="143"/>
      <c r="J294" s="131">
        <f>SUM(J295:J295)</f>
        <v>928189.08</v>
      </c>
    </row>
    <row r="295" spans="1:10">
      <c r="A295" s="67"/>
      <c r="B295" s="66"/>
      <c r="C295" s="132" t="s">
        <v>590</v>
      </c>
      <c r="D295" s="133" t="s">
        <v>598</v>
      </c>
      <c r="E295" s="102" t="str">
        <f>" - "&amp;'Giá NC'!E5</f>
        <v xml:space="preserve"> - Nhân công bậc 3,0/7 - Nhóm 1</v>
      </c>
      <c r="F295" s="66" t="str">
        <f>'Giá NC'!F5</f>
        <v>công</v>
      </c>
      <c r="G295" s="134">
        <f>PTVT!G295</f>
        <v>4.0599999999999996</v>
      </c>
      <c r="H295" s="135">
        <f>'Giá NC'!K5</f>
        <v>228618</v>
      </c>
      <c r="I295" s="144">
        <f>'5.Tiên lượng'!W87</f>
        <v>1</v>
      </c>
      <c r="J295" s="135">
        <f>PRODUCT(G295,H295,I295)</f>
        <v>928189.08</v>
      </c>
    </row>
    <row r="296" spans="1:10">
      <c r="A296" s="126"/>
      <c r="B296" s="127"/>
      <c r="C296" s="128" t="s">
        <v>590</v>
      </c>
      <c r="D296" s="128" t="s">
        <v>590</v>
      </c>
      <c r="E296" s="129" t="s">
        <v>267</v>
      </c>
      <c r="F296" s="127" t="s">
        <v>268</v>
      </c>
      <c r="G296" s="130"/>
      <c r="H296" s="131"/>
      <c r="I296" s="143"/>
      <c r="J296" s="131">
        <f>SUM(J297:J298)</f>
        <v>1160321.1908914286</v>
      </c>
    </row>
    <row r="297" spans="1:10">
      <c r="A297" s="67"/>
      <c r="B297" s="66"/>
      <c r="C297" s="132" t="s">
        <v>590</v>
      </c>
      <c r="D297" s="133" t="s">
        <v>599</v>
      </c>
      <c r="E297" s="102" t="str">
        <f>" - "&amp;'Giá Máy'!E14</f>
        <v xml:space="preserve"> - Máy đào 1,25m3</v>
      </c>
      <c r="F297" s="66" t="str">
        <f>'Giá Máy'!F14</f>
        <v>ca</v>
      </c>
      <c r="G297" s="134">
        <f>PTVT!G297</f>
        <v>0.311</v>
      </c>
      <c r="H297" s="135">
        <f>'Giá Máy'!O14</f>
        <v>3496941.8057142859</v>
      </c>
      <c r="I297" s="144">
        <f>'5.Tiên lượng'!X87</f>
        <v>1</v>
      </c>
      <c r="J297" s="135">
        <f t="shared" ref="J297:J298" si="40">PRODUCT(G297,H297,I297)</f>
        <v>1087548.901577143</v>
      </c>
    </row>
    <row r="298" spans="1:10">
      <c r="A298" s="104"/>
      <c r="B298" s="105"/>
      <c r="C298" s="136" t="s">
        <v>590</v>
      </c>
      <c r="D298" s="137" t="s">
        <v>600</v>
      </c>
      <c r="E298" s="106" t="str">
        <f>" - "&amp;'Giá Máy'!E29</f>
        <v xml:space="preserve"> - Máy ủi 110CV</v>
      </c>
      <c r="F298" s="105" t="str">
        <f>'Giá Máy'!F29</f>
        <v>ca</v>
      </c>
      <c r="G298" s="138">
        <f>PTVT!G298</f>
        <v>0.04</v>
      </c>
      <c r="H298" s="139">
        <f>'Giá Máy'!O29</f>
        <v>1819307.232857143</v>
      </c>
      <c r="I298" s="145">
        <f>'5.Tiên lượng'!X87</f>
        <v>1</v>
      </c>
      <c r="J298" s="139">
        <f t="shared" si="40"/>
        <v>72772.289314285721</v>
      </c>
    </row>
    <row r="299" spans="1:10">
      <c r="A299" s="121"/>
      <c r="B299" s="122">
        <v>36</v>
      </c>
      <c r="C299" s="121" t="str">
        <f>'5.Tiên lượng'!C89</f>
        <v>AB.31134(VD)</v>
      </c>
      <c r="D299" s="121" t="str">
        <f>'5.Tiên lượng'!C89</f>
        <v>AB.31134(VD)</v>
      </c>
      <c r="E299" s="123" t="str">
        <f>'5.Tiên lượng'!D89</f>
        <v>Đào rãnh bằng máy đào 1,25m3 - Cấp đất IV</v>
      </c>
      <c r="F299" s="122" t="str">
        <f>'5.Tiên lượng'!E89</f>
        <v>100m3</v>
      </c>
      <c r="G299" s="124"/>
      <c r="H299" s="125"/>
      <c r="I299" s="141"/>
      <c r="J299" s="142">
        <f>J300+J302</f>
        <v>2687875.7251285715</v>
      </c>
    </row>
    <row r="300" spans="1:10">
      <c r="A300" s="126"/>
      <c r="B300" s="127"/>
      <c r="C300" s="128" t="s">
        <v>590</v>
      </c>
      <c r="D300" s="128" t="s">
        <v>590</v>
      </c>
      <c r="E300" s="129" t="s">
        <v>265</v>
      </c>
      <c r="F300" s="127" t="s">
        <v>266</v>
      </c>
      <c r="G300" s="130"/>
      <c r="H300" s="131"/>
      <c r="I300" s="143"/>
      <c r="J300" s="131">
        <f>SUM(J301:J301)</f>
        <v>1099652.5799999998</v>
      </c>
    </row>
    <row r="301" spans="1:10">
      <c r="A301" s="67"/>
      <c r="B301" s="66"/>
      <c r="C301" s="132" t="s">
        <v>590</v>
      </c>
      <c r="D301" s="133" t="s">
        <v>598</v>
      </c>
      <c r="E301" s="102" t="str">
        <f>" - "&amp;'Giá NC'!E5</f>
        <v xml:space="preserve"> - Nhân công bậc 3,0/7 - Nhóm 1</v>
      </c>
      <c r="F301" s="66" t="str">
        <f>'Giá NC'!F5</f>
        <v>công</v>
      </c>
      <c r="G301" s="134">
        <f>PTVT!G301</f>
        <v>4.8099999999999996</v>
      </c>
      <c r="H301" s="135">
        <f>'Giá NC'!K5</f>
        <v>228618</v>
      </c>
      <c r="I301" s="144">
        <f>'5.Tiên lượng'!W89</f>
        <v>1</v>
      </c>
      <c r="J301" s="135">
        <f>PRODUCT(G301,H301,I301)</f>
        <v>1099652.5799999998</v>
      </c>
    </row>
    <row r="302" spans="1:10">
      <c r="A302" s="126"/>
      <c r="B302" s="127"/>
      <c r="C302" s="128" t="s">
        <v>590</v>
      </c>
      <c r="D302" s="128" t="s">
        <v>590</v>
      </c>
      <c r="E302" s="129" t="s">
        <v>267</v>
      </c>
      <c r="F302" s="127" t="s">
        <v>268</v>
      </c>
      <c r="G302" s="130"/>
      <c r="H302" s="131"/>
      <c r="I302" s="143"/>
      <c r="J302" s="131">
        <f>SUM(J303:J304)</f>
        <v>1588223.1451285714</v>
      </c>
    </row>
    <row r="303" spans="1:10">
      <c r="A303" s="67"/>
      <c r="B303" s="66"/>
      <c r="C303" s="132" t="s">
        <v>590</v>
      </c>
      <c r="D303" s="133" t="s">
        <v>599</v>
      </c>
      <c r="E303" s="102" t="str">
        <f>" - "&amp;'Giá Máy'!E14</f>
        <v xml:space="preserve"> - Máy đào 1,25m3</v>
      </c>
      <c r="F303" s="66" t="str">
        <f>'Giá Máy'!F14</f>
        <v>ca</v>
      </c>
      <c r="G303" s="134">
        <f>PTVT!G303</f>
        <v>0.42399999999999999</v>
      </c>
      <c r="H303" s="135">
        <f>'Giá Máy'!O14</f>
        <v>3496941.8057142859</v>
      </c>
      <c r="I303" s="144">
        <f>'5.Tiên lượng'!X89</f>
        <v>1</v>
      </c>
      <c r="J303" s="135">
        <f t="shared" ref="J303:J304" si="41">PRODUCT(G303,H303,I303)</f>
        <v>1482703.3256228571</v>
      </c>
    </row>
    <row r="304" spans="1:10">
      <c r="A304" s="104"/>
      <c r="B304" s="105"/>
      <c r="C304" s="136" t="s">
        <v>590</v>
      </c>
      <c r="D304" s="137" t="s">
        <v>600</v>
      </c>
      <c r="E304" s="106" t="str">
        <f>" - "&amp;'Giá Máy'!E29</f>
        <v xml:space="preserve"> - Máy ủi 110CV</v>
      </c>
      <c r="F304" s="105" t="str">
        <f>'Giá Máy'!F29</f>
        <v>ca</v>
      </c>
      <c r="G304" s="138">
        <f>PTVT!G304</f>
        <v>5.8000000000000003E-2</v>
      </c>
      <c r="H304" s="139">
        <f>'Giá Máy'!O29</f>
        <v>1819307.232857143</v>
      </c>
      <c r="I304" s="145">
        <f>'5.Tiên lượng'!X89</f>
        <v>1</v>
      </c>
      <c r="J304" s="139">
        <f t="shared" si="41"/>
        <v>105519.8195057143</v>
      </c>
    </row>
    <row r="305" spans="1:10">
      <c r="A305" s="121"/>
      <c r="B305" s="122">
        <v>37</v>
      </c>
      <c r="C305" s="121" t="str">
        <f>'5.Tiên lượng'!C92</f>
        <v>AB.31132(VD)</v>
      </c>
      <c r="D305" s="121" t="str">
        <f>'5.Tiên lượng'!C92</f>
        <v>AB.31132(VD)</v>
      </c>
      <c r="E305" s="123" t="str">
        <f>'5.Tiên lượng'!D92</f>
        <v>Đào cấp bằng máy đào 1,25m3 - Cấp đất II</v>
      </c>
      <c r="F305" s="122" t="str">
        <f>'5.Tiên lượng'!E92</f>
        <v>100m3</v>
      </c>
      <c r="G305" s="124"/>
      <c r="H305" s="125"/>
      <c r="I305" s="141"/>
      <c r="J305" s="142">
        <f>J306+J308</f>
        <v>1761883.4098585716</v>
      </c>
    </row>
    <row r="306" spans="1:10">
      <c r="A306" s="126"/>
      <c r="B306" s="127"/>
      <c r="C306" s="128" t="s">
        <v>590</v>
      </c>
      <c r="D306" s="128" t="s">
        <v>590</v>
      </c>
      <c r="E306" s="129" t="s">
        <v>265</v>
      </c>
      <c r="F306" s="127" t="s">
        <v>266</v>
      </c>
      <c r="G306" s="130"/>
      <c r="H306" s="131"/>
      <c r="I306" s="143"/>
      <c r="J306" s="131">
        <f>SUM(J307:J307)</f>
        <v>775015.02</v>
      </c>
    </row>
    <row r="307" spans="1:10">
      <c r="A307" s="67"/>
      <c r="B307" s="66"/>
      <c r="C307" s="132" t="s">
        <v>590</v>
      </c>
      <c r="D307" s="133" t="s">
        <v>598</v>
      </c>
      <c r="E307" s="102" t="str">
        <f>" - "&amp;'Giá NC'!E5</f>
        <v xml:space="preserve"> - Nhân công bậc 3,0/7 - Nhóm 1</v>
      </c>
      <c r="F307" s="66" t="str">
        <f>'Giá NC'!F5</f>
        <v>công</v>
      </c>
      <c r="G307" s="134">
        <f>PTVT!G307</f>
        <v>3.39</v>
      </c>
      <c r="H307" s="135">
        <f>'Giá NC'!K5</f>
        <v>228618</v>
      </c>
      <c r="I307" s="144">
        <f>'5.Tiên lượng'!W92</f>
        <v>1</v>
      </c>
      <c r="J307" s="135">
        <f>PRODUCT(G307,H307,I307)</f>
        <v>775015.02</v>
      </c>
    </row>
    <row r="308" spans="1:10">
      <c r="A308" s="126"/>
      <c r="B308" s="127"/>
      <c r="C308" s="128" t="s">
        <v>590</v>
      </c>
      <c r="D308" s="128" t="s">
        <v>590</v>
      </c>
      <c r="E308" s="129" t="s">
        <v>267</v>
      </c>
      <c r="F308" s="127" t="s">
        <v>268</v>
      </c>
      <c r="G308" s="130"/>
      <c r="H308" s="131"/>
      <c r="I308" s="143"/>
      <c r="J308" s="131">
        <f>SUM(J309:J310)</f>
        <v>986868.38985857158</v>
      </c>
    </row>
    <row r="309" spans="1:10">
      <c r="A309" s="67"/>
      <c r="B309" s="66"/>
      <c r="C309" s="132" t="s">
        <v>590</v>
      </c>
      <c r="D309" s="133" t="s">
        <v>599</v>
      </c>
      <c r="E309" s="102" t="str">
        <f>" - "&amp;'Giá Máy'!E14</f>
        <v xml:space="preserve"> - Máy đào 1,25m3</v>
      </c>
      <c r="F309" s="66" t="str">
        <f>'Giá Máy'!F14</f>
        <v>ca</v>
      </c>
      <c r="G309" s="134">
        <f>PTVT!G309</f>
        <v>0.26400000000000001</v>
      </c>
      <c r="H309" s="135">
        <f>'Giá Máy'!O14</f>
        <v>3496941.8057142859</v>
      </c>
      <c r="I309" s="144">
        <f>'5.Tiên lượng'!X92</f>
        <v>1</v>
      </c>
      <c r="J309" s="135">
        <f t="shared" ref="J309:J310" si="42">PRODUCT(G309,H309,I309)</f>
        <v>923192.63670857158</v>
      </c>
    </row>
    <row r="310" spans="1:10">
      <c r="A310" s="104"/>
      <c r="B310" s="105"/>
      <c r="C310" s="136" t="s">
        <v>590</v>
      </c>
      <c r="D310" s="137" t="s">
        <v>600</v>
      </c>
      <c r="E310" s="106" t="str">
        <f>" - "&amp;'Giá Máy'!E29</f>
        <v xml:space="preserve"> - Máy ủi 110CV</v>
      </c>
      <c r="F310" s="105" t="str">
        <f>'Giá Máy'!F29</f>
        <v>ca</v>
      </c>
      <c r="G310" s="138">
        <f>PTVT!G310</f>
        <v>3.5000000000000003E-2</v>
      </c>
      <c r="H310" s="139">
        <f>'Giá Máy'!O29</f>
        <v>1819307.232857143</v>
      </c>
      <c r="I310" s="145">
        <f>'5.Tiên lượng'!X92</f>
        <v>1</v>
      </c>
      <c r="J310" s="139">
        <f t="shared" si="42"/>
        <v>63675.753150000011</v>
      </c>
    </row>
    <row r="311" spans="1:10">
      <c r="A311" s="121"/>
      <c r="B311" s="122">
        <v>38</v>
      </c>
      <c r="C311" s="121" t="str">
        <f>'5.Tiên lượng'!C94</f>
        <v>AB.31132</v>
      </c>
      <c r="D311" s="121" t="str">
        <f>'5.Tiên lượng'!C94</f>
        <v>AB.31132</v>
      </c>
      <c r="E311" s="123" t="str">
        <f>'5.Tiên lượng'!D94</f>
        <v>Đào hữu cơ bằng máy đào 1,25m3 - Cấp đất II</v>
      </c>
      <c r="F311" s="122" t="str">
        <f>'5.Tiên lượng'!E94</f>
        <v>100m3</v>
      </c>
      <c r="G311" s="124"/>
      <c r="H311" s="125"/>
      <c r="I311" s="141"/>
      <c r="J311" s="142">
        <f>J312+J314</f>
        <v>1736140.930154572</v>
      </c>
    </row>
    <row r="312" spans="1:10">
      <c r="A312" s="126"/>
      <c r="B312" s="127"/>
      <c r="C312" s="128" t="s">
        <v>590</v>
      </c>
      <c r="D312" s="128" t="s">
        <v>590</v>
      </c>
      <c r="E312" s="129" t="s">
        <v>265</v>
      </c>
      <c r="F312" s="127" t="s">
        <v>266</v>
      </c>
      <c r="G312" s="130"/>
      <c r="H312" s="131"/>
      <c r="I312" s="143"/>
      <c r="J312" s="131">
        <f>SUM(J313:J313)</f>
        <v>775015.02</v>
      </c>
    </row>
    <row r="313" spans="1:10">
      <c r="A313" s="67"/>
      <c r="B313" s="66"/>
      <c r="C313" s="132" t="s">
        <v>590</v>
      </c>
      <c r="D313" s="133" t="s">
        <v>598</v>
      </c>
      <c r="E313" s="102" t="str">
        <f>" - "&amp;'Giá NC'!E5</f>
        <v xml:space="preserve"> - Nhân công bậc 3,0/7 - Nhóm 1</v>
      </c>
      <c r="F313" s="66" t="str">
        <f>'Giá NC'!F5</f>
        <v>công</v>
      </c>
      <c r="G313" s="134">
        <f>PTVT!G313</f>
        <v>3.39</v>
      </c>
      <c r="H313" s="135">
        <f>'Giá NC'!K5</f>
        <v>228618</v>
      </c>
      <c r="I313" s="144">
        <f>'5.Tiên lượng'!W94</f>
        <v>1</v>
      </c>
      <c r="J313" s="135">
        <f>PRODUCT(G313,H313,I313)</f>
        <v>775015.02</v>
      </c>
    </row>
    <row r="314" spans="1:10">
      <c r="A314" s="126"/>
      <c r="B314" s="127"/>
      <c r="C314" s="128" t="s">
        <v>590</v>
      </c>
      <c r="D314" s="128" t="s">
        <v>590</v>
      </c>
      <c r="E314" s="129" t="s">
        <v>267</v>
      </c>
      <c r="F314" s="127" t="s">
        <v>268</v>
      </c>
      <c r="G314" s="130"/>
      <c r="H314" s="131"/>
      <c r="I314" s="143"/>
      <c r="J314" s="131">
        <v>961125.91015457199</v>
      </c>
    </row>
    <row r="315" spans="1:10">
      <c r="A315" s="67"/>
      <c r="B315" s="66"/>
      <c r="C315" s="132" t="s">
        <v>590</v>
      </c>
      <c r="D315" s="133" t="s">
        <v>599</v>
      </c>
      <c r="E315" s="102" t="str">
        <f>" - "&amp;'Giá Máy'!E14</f>
        <v xml:space="preserve"> - Máy đào 1,25m3</v>
      </c>
      <c r="F315" s="66" t="str">
        <f>'Giá Máy'!F14</f>
        <v>ca</v>
      </c>
      <c r="G315" s="134">
        <f>PTVT!G315</f>
        <v>0.26400000000000001</v>
      </c>
      <c r="H315" s="135">
        <f>'Giá Máy'!O14</f>
        <v>3496941.8057142859</v>
      </c>
      <c r="I315" s="144">
        <f>'5.Tiên lượng'!X94</f>
        <v>1</v>
      </c>
      <c r="J315" s="135">
        <f t="shared" ref="J315:J316" si="43">PRODUCT(G315,H315,I315)</f>
        <v>923192.63670857158</v>
      </c>
    </row>
    <row r="316" spans="1:10">
      <c r="A316" s="104"/>
      <c r="B316" s="105"/>
      <c r="C316" s="136" t="s">
        <v>590</v>
      </c>
      <c r="D316" s="137" t="s">
        <v>600</v>
      </c>
      <c r="E316" s="106" t="str">
        <f>" - "&amp;'Giá Máy'!E29</f>
        <v xml:space="preserve"> - Máy ủi 110CV</v>
      </c>
      <c r="F316" s="105" t="str">
        <f>'Giá Máy'!F29</f>
        <v>ca</v>
      </c>
      <c r="G316" s="138">
        <f>PTVT!G316</f>
        <v>3.5000000000000003E-2</v>
      </c>
      <c r="H316" s="139">
        <f>'Giá Máy'!O29</f>
        <v>1819307.232857143</v>
      </c>
      <c r="I316" s="145">
        <f>'5.Tiên lượng'!X94</f>
        <v>1</v>
      </c>
      <c r="J316" s="139">
        <f t="shared" si="43"/>
        <v>63675.753150000011</v>
      </c>
    </row>
    <row r="317" spans="1:10">
      <c r="A317" s="114"/>
      <c r="B317" s="115"/>
      <c r="C317" s="116" t="s">
        <v>339</v>
      </c>
      <c r="D317" s="117" t="s">
        <v>339</v>
      </c>
      <c r="E317" s="118" t="s">
        <v>376</v>
      </c>
      <c r="F317" s="115"/>
      <c r="G317" s="119"/>
      <c r="H317" s="120"/>
      <c r="I317" s="140"/>
      <c r="J317" s="120" t="s">
        <v>597</v>
      </c>
    </row>
    <row r="318" spans="1:10">
      <c r="A318" s="121"/>
      <c r="B318" s="122">
        <v>39</v>
      </c>
      <c r="C318" s="121" t="str">
        <f>'5.Tiên lượng'!C97</f>
        <v>AB.67110</v>
      </c>
      <c r="D318" s="121" t="str">
        <f>'5.Tiên lượng'!C97</f>
        <v>AB.67110</v>
      </c>
      <c r="E318" s="123" t="str">
        <f>'5.Tiên lượng'!D97</f>
        <v>Đắp đá hỗn hợp công trình bằng máy ủi 180CV</v>
      </c>
      <c r="F318" s="122" t="str">
        <f>'5.Tiên lượng'!E97</f>
        <v>100m3</v>
      </c>
      <c r="G318" s="124"/>
      <c r="H318" s="125"/>
      <c r="I318" s="141"/>
      <c r="J318" s="142">
        <f>J319+J321</f>
        <v>4310546.4288000008</v>
      </c>
    </row>
    <row r="319" spans="1:10">
      <c r="A319" s="126"/>
      <c r="B319" s="127"/>
      <c r="C319" s="128" t="s">
        <v>590</v>
      </c>
      <c r="D319" s="128" t="s">
        <v>590</v>
      </c>
      <c r="E319" s="129" t="s">
        <v>265</v>
      </c>
      <c r="F319" s="127" t="s">
        <v>266</v>
      </c>
      <c r="G319" s="130"/>
      <c r="H319" s="131"/>
      <c r="I319" s="143"/>
      <c r="J319" s="131">
        <f>SUM(J320:J320)</f>
        <v>857317.5</v>
      </c>
    </row>
    <row r="320" spans="1:10">
      <c r="A320" s="67"/>
      <c r="B320" s="66"/>
      <c r="C320" s="132" t="s">
        <v>590</v>
      </c>
      <c r="D320" s="133" t="s">
        <v>598</v>
      </c>
      <c r="E320" s="102" t="str">
        <f>" - "&amp;'Giá NC'!E5</f>
        <v xml:space="preserve"> - Nhân công bậc 3,0/7 - Nhóm 1</v>
      </c>
      <c r="F320" s="66" t="str">
        <f>'Giá NC'!F5</f>
        <v>công</v>
      </c>
      <c r="G320" s="134">
        <f>PTVT!G320</f>
        <v>3.75</v>
      </c>
      <c r="H320" s="135">
        <f>'Giá NC'!K5</f>
        <v>228618</v>
      </c>
      <c r="I320" s="144">
        <f>'5.Tiên lượng'!W97</f>
        <v>1</v>
      </c>
      <c r="J320" s="135">
        <f>PRODUCT(G320,H320,I320)</f>
        <v>857317.5</v>
      </c>
    </row>
    <row r="321" spans="1:10">
      <c r="A321" s="126"/>
      <c r="B321" s="127"/>
      <c r="C321" s="128" t="s">
        <v>590</v>
      </c>
      <c r="D321" s="128" t="s">
        <v>590</v>
      </c>
      <c r="E321" s="129" t="s">
        <v>267</v>
      </c>
      <c r="F321" s="127" t="s">
        <v>268</v>
      </c>
      <c r="G321" s="130"/>
      <c r="H321" s="131"/>
      <c r="I321" s="143"/>
      <c r="J321" s="131">
        <f>SUM(J322:J322)</f>
        <v>3453228.9288000008</v>
      </c>
    </row>
    <row r="322" spans="1:10">
      <c r="A322" s="104"/>
      <c r="B322" s="105"/>
      <c r="C322" s="136" t="s">
        <v>590</v>
      </c>
      <c r="D322" s="137" t="s">
        <v>603</v>
      </c>
      <c r="E322" s="106" t="str">
        <f>" - "&amp;'Giá Máy'!E30</f>
        <v xml:space="preserve"> - Máy ủi 180CV</v>
      </c>
      <c r="F322" s="105" t="str">
        <f>'Giá Máy'!F30</f>
        <v>ca</v>
      </c>
      <c r="G322" s="138">
        <f>PTVT!G322</f>
        <v>1.1200000000000001</v>
      </c>
      <c r="H322" s="139">
        <f>'Giá Máy'!O30</f>
        <v>3083240.1150000002</v>
      </c>
      <c r="I322" s="145">
        <f>'5.Tiên lượng'!X97</f>
        <v>1</v>
      </c>
      <c r="J322" s="139">
        <f>PRODUCT(G322,H322,I322)</f>
        <v>3453228.9288000008</v>
      </c>
    </row>
    <row r="323" spans="1:10">
      <c r="A323" s="121"/>
      <c r="B323" s="122">
        <v>40</v>
      </c>
      <c r="C323" s="121" t="str">
        <f>'5.Tiên lượng'!C99</f>
        <v>AD.11212</v>
      </c>
      <c r="D323" s="121" t="str">
        <f>'5.Tiên lượng'!C99</f>
        <v>AD.11212</v>
      </c>
      <c r="E323" s="123" t="str">
        <f>'5.Tiên lượng'!D99</f>
        <v xml:space="preserve">Thi công móng cấp phối đá dăm lớp dưới </v>
      </c>
      <c r="F323" s="122" t="str">
        <f>'5.Tiên lượng'!E99</f>
        <v>100m3</v>
      </c>
      <c r="G323" s="124"/>
      <c r="H323" s="125"/>
      <c r="I323" s="141"/>
      <c r="J323" s="142">
        <f>J324+J326+J328</f>
        <v>35361297.757013127</v>
      </c>
    </row>
    <row r="324" spans="1:10">
      <c r="A324" s="126"/>
      <c r="B324" s="127"/>
      <c r="C324" s="128" t="s">
        <v>590</v>
      </c>
      <c r="D324" s="128" t="s">
        <v>590</v>
      </c>
      <c r="E324" s="129" t="s">
        <v>262</v>
      </c>
      <c r="F324" s="127" t="s">
        <v>263</v>
      </c>
      <c r="G324" s="130"/>
      <c r="H324" s="131"/>
      <c r="I324" s="143"/>
      <c r="J324" s="131">
        <f>SUM(J325:J325)</f>
        <v>32221379.337286752</v>
      </c>
    </row>
    <row r="325" spans="1:10">
      <c r="A325" s="67"/>
      <c r="B325" s="66"/>
      <c r="C325" s="132" t="s">
        <v>590</v>
      </c>
      <c r="D325" s="133" t="s">
        <v>604</v>
      </c>
      <c r="E325" s="102" t="str">
        <f>" - "&amp;'Giá VL'!E13</f>
        <v xml:space="preserve"> - Cấp phối đá dăm loại 2</v>
      </c>
      <c r="F325" s="66" t="str">
        <f>'Giá VL'!F13</f>
        <v>m3</v>
      </c>
      <c r="G325" s="134">
        <f>PTVT!G325</f>
        <v>134</v>
      </c>
      <c r="H325" s="135">
        <f>'Giá VL'!V13</f>
        <v>240458.05475587127</v>
      </c>
      <c r="I325" s="144">
        <f>'5.Tiên lượng'!V99</f>
        <v>1</v>
      </c>
      <c r="J325" s="135">
        <f>PRODUCT(G325,H325,I325)</f>
        <v>32221379.337286752</v>
      </c>
    </row>
    <row r="326" spans="1:10">
      <c r="A326" s="126"/>
      <c r="B326" s="127"/>
      <c r="C326" s="128" t="s">
        <v>590</v>
      </c>
      <c r="D326" s="128" t="s">
        <v>590</v>
      </c>
      <c r="E326" s="129" t="s">
        <v>265</v>
      </c>
      <c r="F326" s="127" t="s">
        <v>266</v>
      </c>
      <c r="G326" s="130"/>
      <c r="H326" s="131"/>
      <c r="I326" s="143"/>
      <c r="J326" s="131">
        <f>SUM(J327:J327)</f>
        <v>770352.96000000008</v>
      </c>
    </row>
    <row r="327" spans="1:10">
      <c r="A327" s="67"/>
      <c r="B327" s="66"/>
      <c r="C327" s="132" t="s">
        <v>590</v>
      </c>
      <c r="D327" s="133" t="s">
        <v>605</v>
      </c>
      <c r="E327" s="102" t="str">
        <f>" - "&amp;'Giá NC'!E8</f>
        <v xml:space="preserve"> - Nhân công bậc 3,0/7 - Nhóm 2</v>
      </c>
      <c r="F327" s="66" t="str">
        <f>'Giá NC'!F8</f>
        <v>công</v>
      </c>
      <c r="G327" s="134">
        <f>PTVT!G327</f>
        <v>3.12</v>
      </c>
      <c r="H327" s="135">
        <f>'Giá NC'!K8</f>
        <v>246908</v>
      </c>
      <c r="I327" s="144">
        <f>'5.Tiên lượng'!W99</f>
        <v>1</v>
      </c>
      <c r="J327" s="135">
        <f>PRODUCT(G327,H327,I327)</f>
        <v>770352.96000000008</v>
      </c>
    </row>
    <row r="328" spans="1:10">
      <c r="A328" s="126"/>
      <c r="B328" s="127"/>
      <c r="C328" s="128" t="s">
        <v>590</v>
      </c>
      <c r="D328" s="128" t="s">
        <v>590</v>
      </c>
      <c r="E328" s="129" t="s">
        <v>267</v>
      </c>
      <c r="F328" s="127" t="s">
        <v>268</v>
      </c>
      <c r="G328" s="130"/>
      <c r="H328" s="131"/>
      <c r="I328" s="143"/>
      <c r="J328" s="131">
        <f>SUM(J329:J334)</f>
        <v>2369565.459726376</v>
      </c>
    </row>
    <row r="329" spans="1:10">
      <c r="A329" s="67"/>
      <c r="B329" s="66"/>
      <c r="C329" s="132" t="s">
        <v>590</v>
      </c>
      <c r="D329" s="133" t="s">
        <v>606</v>
      </c>
      <c r="E329" s="102" t="str">
        <f>" - "&amp;'Giá Máy'!E24</f>
        <v xml:space="preserve"> - Máy rải cấp phối đá dăm 50 - 60m3/h</v>
      </c>
      <c r="F329" s="66" t="str">
        <f>'Giá Máy'!F24</f>
        <v>ca</v>
      </c>
      <c r="G329" s="134">
        <f>PTVT!G329</f>
        <v>0.21</v>
      </c>
      <c r="H329" s="135">
        <f>'Giá Máy'!O24</f>
        <v>3572483.6555555556</v>
      </c>
      <c r="I329" s="144">
        <f>'5.Tiên lượng'!X99</f>
        <v>1</v>
      </c>
      <c r="J329" s="135">
        <f t="shared" ref="J329:J334" si="44">PRODUCT(G329,H329,I329)</f>
        <v>750221.5676666667</v>
      </c>
    </row>
    <row r="330" spans="1:10">
      <c r="A330" s="67"/>
      <c r="B330" s="66"/>
      <c r="C330" s="132" t="s">
        <v>590</v>
      </c>
      <c r="D330" s="133" t="s">
        <v>607</v>
      </c>
      <c r="E330" s="102" t="str">
        <f>" - "&amp;'Giá Máy'!E19</f>
        <v xml:space="preserve"> - Máy lu rung tự hành 25T</v>
      </c>
      <c r="F330" s="66" t="str">
        <f>'Giá Máy'!F19</f>
        <v>ca</v>
      </c>
      <c r="G330" s="134">
        <f>PTVT!G330</f>
        <v>0.32</v>
      </c>
      <c r="H330" s="135">
        <f>'Giá Máy'!O19</f>
        <v>2794294.0688888887</v>
      </c>
      <c r="I330" s="144">
        <f>'5.Tiên lượng'!X99</f>
        <v>1</v>
      </c>
      <c r="J330" s="135">
        <f t="shared" si="44"/>
        <v>894174.10204444441</v>
      </c>
    </row>
    <row r="331" spans="1:10">
      <c r="A331" s="67"/>
      <c r="B331" s="66"/>
      <c r="C331" s="132" t="s">
        <v>590</v>
      </c>
      <c r="D331" s="133" t="s">
        <v>608</v>
      </c>
      <c r="E331" s="102" t="str">
        <f>" - "&amp;'Giá Máy'!E38</f>
        <v xml:space="preserve"> - Máy lu bánh hơi tự hành 16T</v>
      </c>
      <c r="F331" s="66" t="str">
        <f>'Giá Máy'!F38</f>
        <v>ca</v>
      </c>
      <c r="G331" s="134">
        <f>PTVT!G331</f>
        <v>0.12</v>
      </c>
      <c r="H331" s="135">
        <f>'Giá Máy'!O38</f>
        <v>1553246.5422222223</v>
      </c>
      <c r="I331" s="144">
        <f>'5.Tiên lượng'!X99</f>
        <v>1</v>
      </c>
      <c r="J331" s="135">
        <f t="shared" si="44"/>
        <v>186389.58506666668</v>
      </c>
    </row>
    <row r="332" spans="1:10">
      <c r="A332" s="67"/>
      <c r="B332" s="66"/>
      <c r="C332" s="132" t="s">
        <v>590</v>
      </c>
      <c r="D332" s="133" t="s">
        <v>609</v>
      </c>
      <c r="E332" s="102" t="str">
        <f>" - "&amp;'Giá Máy'!E17</f>
        <v xml:space="preserve"> - Máy lu bánh thép 10T</v>
      </c>
      <c r="F332" s="66" t="str">
        <f>'Giá Máy'!F17</f>
        <v>ca</v>
      </c>
      <c r="G332" s="134">
        <f>PTVT!G332</f>
        <v>0.26</v>
      </c>
      <c r="H332" s="135">
        <f>'Giá Máy'!O17</f>
        <v>1132157.2474074075</v>
      </c>
      <c r="I332" s="144">
        <f>'5.Tiên lượng'!X99</f>
        <v>1</v>
      </c>
      <c r="J332" s="135">
        <f t="shared" si="44"/>
        <v>294360.88432592596</v>
      </c>
    </row>
    <row r="333" spans="1:10">
      <c r="A333" s="67"/>
      <c r="B333" s="66"/>
      <c r="C333" s="132" t="s">
        <v>590</v>
      </c>
      <c r="D333" s="133" t="s">
        <v>610</v>
      </c>
      <c r="E333" s="102" t="str">
        <f>" - "&amp;'Giá Máy'!E33</f>
        <v xml:space="preserve"> - Ô tô tưới nước 5m3</v>
      </c>
      <c r="F333" s="66" t="str">
        <f>'Giá Máy'!F33</f>
        <v>ca</v>
      </c>
      <c r="G333" s="134">
        <f>PTVT!G333</f>
        <v>0.21</v>
      </c>
      <c r="H333" s="135">
        <f>'Giá Máy'!O33</f>
        <v>1107763.9892307692</v>
      </c>
      <c r="I333" s="144">
        <f>'5.Tiên lượng'!X99</f>
        <v>1</v>
      </c>
      <c r="J333" s="135">
        <f t="shared" si="44"/>
        <v>232630.43773846154</v>
      </c>
    </row>
    <row r="334" spans="1:10">
      <c r="A334" s="104"/>
      <c r="B334" s="105"/>
      <c r="C334" s="136" t="s">
        <v>590</v>
      </c>
      <c r="D334" s="137" t="s">
        <v>611</v>
      </c>
      <c r="E334" s="106" t="s">
        <v>612</v>
      </c>
      <c r="F334" s="105" t="s">
        <v>37</v>
      </c>
      <c r="G334" s="138">
        <f>PTVT!G334</f>
        <v>0.5</v>
      </c>
      <c r="H334" s="139">
        <f>(G329*H329+G330*H330+G331*H331+G332*H332+G333*H333)/100</f>
        <v>23577.76576842165</v>
      </c>
      <c r="I334" s="145">
        <f>'5.Tiên lượng'!X99</f>
        <v>1</v>
      </c>
      <c r="J334" s="139">
        <f t="shared" si="44"/>
        <v>11788.882884210825</v>
      </c>
    </row>
    <row r="335" spans="1:10">
      <c r="A335" s="121"/>
      <c r="B335" s="122">
        <v>41</v>
      </c>
      <c r="C335" s="121" t="str">
        <f>'5.Tiên lượng'!C101</f>
        <v>AB.64113</v>
      </c>
      <c r="D335" s="121" t="str">
        <f>'5.Tiên lượng'!C101</f>
        <v>AB.64113</v>
      </c>
      <c r="E335" s="123" t="str">
        <f>'5.Tiên lượng'!D101</f>
        <v>Đắp nền đường bằng máy lu bánh thép 9T, máy ủi 110CV, độ chặt Y/C K = 0,95</v>
      </c>
      <c r="F335" s="122" t="str">
        <f>'5.Tiên lượng'!E101</f>
        <v>100m3</v>
      </c>
      <c r="G335" s="124"/>
      <c r="H335" s="125"/>
      <c r="I335" s="141"/>
      <c r="J335" s="142">
        <f>J336+J338</f>
        <v>1163810.7994262991</v>
      </c>
    </row>
    <row r="336" spans="1:10">
      <c r="A336" s="126"/>
      <c r="B336" s="127"/>
      <c r="C336" s="128" t="s">
        <v>590</v>
      </c>
      <c r="D336" s="128" t="s">
        <v>590</v>
      </c>
      <c r="E336" s="129" t="s">
        <v>265</v>
      </c>
      <c r="F336" s="127" t="s">
        <v>266</v>
      </c>
      <c r="G336" s="130"/>
      <c r="H336" s="131"/>
      <c r="I336" s="143"/>
      <c r="J336" s="131">
        <f>SUM(J337:J337)</f>
        <v>377219.69999999995</v>
      </c>
    </row>
    <row r="337" spans="1:10">
      <c r="A337" s="67"/>
      <c r="B337" s="66"/>
      <c r="C337" s="132" t="s">
        <v>590</v>
      </c>
      <c r="D337" s="133" t="s">
        <v>598</v>
      </c>
      <c r="E337" s="102" t="str">
        <f>" - "&amp;'Giá NC'!E5</f>
        <v xml:space="preserve"> - Nhân công bậc 3,0/7 - Nhóm 1</v>
      </c>
      <c r="F337" s="66" t="str">
        <f>'Giá NC'!F5</f>
        <v>công</v>
      </c>
      <c r="G337" s="134">
        <f>PTVT!G337</f>
        <v>1.65</v>
      </c>
      <c r="H337" s="135">
        <f>'Giá NC'!K5</f>
        <v>228618</v>
      </c>
      <c r="I337" s="144">
        <f>'5.Tiên lượng'!W101</f>
        <v>1</v>
      </c>
      <c r="J337" s="135">
        <f>PRODUCT(G337,H337,I337)</f>
        <v>377219.69999999995</v>
      </c>
    </row>
    <row r="338" spans="1:10">
      <c r="A338" s="126"/>
      <c r="B338" s="127"/>
      <c r="C338" s="128" t="s">
        <v>590</v>
      </c>
      <c r="D338" s="128" t="s">
        <v>590</v>
      </c>
      <c r="E338" s="129" t="s">
        <v>267</v>
      </c>
      <c r="F338" s="127" t="s">
        <v>268</v>
      </c>
      <c r="G338" s="130"/>
      <c r="H338" s="131"/>
      <c r="I338" s="143"/>
      <c r="J338" s="131">
        <v>786591.09942629898</v>
      </c>
    </row>
    <row r="339" spans="1:10">
      <c r="A339" s="67"/>
      <c r="B339" s="66"/>
      <c r="C339" s="132" t="s">
        <v>590</v>
      </c>
      <c r="D339" s="133" t="s">
        <v>638</v>
      </c>
      <c r="E339" s="102" t="str">
        <f>" - "&amp;'Giá Máy'!E41</f>
        <v xml:space="preserve"> - Máy lu bánh thép 9T</v>
      </c>
      <c r="F339" s="66" t="str">
        <f>'Giá Máy'!F41</f>
        <v>ca</v>
      </c>
      <c r="G339" s="134">
        <f>PTVT!G339</f>
        <v>0.42</v>
      </c>
      <c r="H339" s="135">
        <f>'Giá Máy'!O41</f>
        <v>1009475.96</v>
      </c>
      <c r="I339" s="144">
        <f>'5.Tiên lượng'!X101</f>
        <v>1</v>
      </c>
      <c r="J339" s="135">
        <f t="shared" ref="J339:J341" si="45">PRODUCT(G339,H339,I339)</f>
        <v>423979.90319999994</v>
      </c>
    </row>
    <row r="340" spans="1:10">
      <c r="A340" s="67"/>
      <c r="B340" s="66"/>
      <c r="C340" s="132" t="s">
        <v>590</v>
      </c>
      <c r="D340" s="133" t="s">
        <v>600</v>
      </c>
      <c r="E340" s="102" t="str">
        <f>" - "&amp;'Giá Máy'!E29</f>
        <v xml:space="preserve"> - Máy ủi 110CV</v>
      </c>
      <c r="F340" s="66" t="str">
        <f>'Giá Máy'!F29</f>
        <v>ca</v>
      </c>
      <c r="G340" s="134">
        <f>PTVT!G340</f>
        <v>0.21</v>
      </c>
      <c r="H340" s="135">
        <f>'Giá Máy'!O29</f>
        <v>1819307.232857143</v>
      </c>
      <c r="I340" s="144">
        <f>'5.Tiên lượng'!X101</f>
        <v>1</v>
      </c>
      <c r="J340" s="135">
        <f t="shared" si="45"/>
        <v>382054.51890000002</v>
      </c>
    </row>
    <row r="341" spans="1:10">
      <c r="A341" s="104"/>
      <c r="B341" s="105"/>
      <c r="C341" s="136" t="s">
        <v>590</v>
      </c>
      <c r="D341" s="137" t="s">
        <v>611</v>
      </c>
      <c r="E341" s="106" t="s">
        <v>612</v>
      </c>
      <c r="F341" s="105" t="s">
        <v>37</v>
      </c>
      <c r="G341" s="138">
        <f>PTVT!G341</f>
        <v>1.5</v>
      </c>
      <c r="H341" s="139">
        <f>(G339*H339+G340*H340)/100</f>
        <v>8060.3442209999994</v>
      </c>
      <c r="I341" s="145">
        <f>'5.Tiên lượng'!X101</f>
        <v>1</v>
      </c>
      <c r="J341" s="139">
        <f t="shared" si="45"/>
        <v>12090.516331499999</v>
      </c>
    </row>
    <row r="342" spans="1:10">
      <c r="A342" s="114"/>
      <c r="B342" s="115"/>
      <c r="C342" s="116" t="s">
        <v>339</v>
      </c>
      <c r="D342" s="117" t="s">
        <v>339</v>
      </c>
      <c r="E342" s="118" t="s">
        <v>387</v>
      </c>
      <c r="F342" s="115"/>
      <c r="G342" s="119"/>
      <c r="H342" s="120"/>
      <c r="I342" s="140"/>
      <c r="J342" s="120" t="s">
        <v>597</v>
      </c>
    </row>
    <row r="343" spans="1:10">
      <c r="A343" s="114"/>
      <c r="B343" s="115"/>
      <c r="C343" s="116" t="s">
        <v>339</v>
      </c>
      <c r="D343" s="117" t="s">
        <v>339</v>
      </c>
      <c r="E343" s="118" t="s">
        <v>438</v>
      </c>
      <c r="F343" s="115"/>
      <c r="G343" s="119"/>
      <c r="H343" s="120"/>
      <c r="I343" s="140"/>
      <c r="J343" s="120" t="s">
        <v>597</v>
      </c>
    </row>
    <row r="344" spans="1:10">
      <c r="A344" s="121"/>
      <c r="B344" s="122">
        <v>42</v>
      </c>
      <c r="C344" s="121" t="str">
        <f>'5.Tiên lượng'!C105</f>
        <v>AD.11212(VD)</v>
      </c>
      <c r="D344" s="121" t="str">
        <f>'5.Tiên lượng'!C105</f>
        <v>AD.11212(VD)</v>
      </c>
      <c r="E344" s="123" t="str">
        <f>'5.Tiên lượng'!D105</f>
        <v>Bù vật liệu (trên mặt đường cũ lồi lõm) bằng cấp phối đá dăm loại 2 (không lu)</v>
      </c>
      <c r="F344" s="122" t="str">
        <f>'5.Tiên lượng'!E105</f>
        <v>100m3</v>
      </c>
      <c r="G344" s="124"/>
      <c r="H344" s="125"/>
      <c r="I344" s="141"/>
      <c r="J344" s="142">
        <f>J345+J347+J349</f>
        <v>35361297.757013127</v>
      </c>
    </row>
    <row r="345" spans="1:10">
      <c r="A345" s="126"/>
      <c r="B345" s="127"/>
      <c r="C345" s="128" t="s">
        <v>590</v>
      </c>
      <c r="D345" s="128" t="s">
        <v>590</v>
      </c>
      <c r="E345" s="129" t="s">
        <v>262</v>
      </c>
      <c r="F345" s="127" t="s">
        <v>263</v>
      </c>
      <c r="G345" s="130"/>
      <c r="H345" s="131"/>
      <c r="I345" s="143"/>
      <c r="J345" s="131">
        <f>SUM(J346:J346)</f>
        <v>32221379.337286752</v>
      </c>
    </row>
    <row r="346" spans="1:10">
      <c r="A346" s="67"/>
      <c r="B346" s="66"/>
      <c r="C346" s="132" t="s">
        <v>590</v>
      </c>
      <c r="D346" s="133" t="s">
        <v>604</v>
      </c>
      <c r="E346" s="102" t="str">
        <f>" - "&amp;'Giá VL'!E13</f>
        <v xml:space="preserve"> - Cấp phối đá dăm loại 2</v>
      </c>
      <c r="F346" s="66" t="str">
        <f>'Giá VL'!F13</f>
        <v>m3</v>
      </c>
      <c r="G346" s="134">
        <f>PTVT!G346</f>
        <v>134</v>
      </c>
      <c r="H346" s="135">
        <f>'Giá VL'!V13</f>
        <v>240458.05475587127</v>
      </c>
      <c r="I346" s="144">
        <f>'5.Tiên lượng'!V105</f>
        <v>1</v>
      </c>
      <c r="J346" s="135">
        <f>PRODUCT(G346,H346,I346)</f>
        <v>32221379.337286752</v>
      </c>
    </row>
    <row r="347" spans="1:10">
      <c r="A347" s="126"/>
      <c r="B347" s="127"/>
      <c r="C347" s="128" t="s">
        <v>590</v>
      </c>
      <c r="D347" s="128" t="s">
        <v>590</v>
      </c>
      <c r="E347" s="129" t="s">
        <v>265</v>
      </c>
      <c r="F347" s="127" t="s">
        <v>266</v>
      </c>
      <c r="G347" s="130"/>
      <c r="H347" s="131"/>
      <c r="I347" s="143"/>
      <c r="J347" s="131">
        <f>SUM(J348:J348)</f>
        <v>770352.96000000008</v>
      </c>
    </row>
    <row r="348" spans="1:10">
      <c r="A348" s="67"/>
      <c r="B348" s="66"/>
      <c r="C348" s="132" t="s">
        <v>590</v>
      </c>
      <c r="D348" s="133" t="s">
        <v>605</v>
      </c>
      <c r="E348" s="102" t="str">
        <f>" - "&amp;'Giá NC'!E8</f>
        <v xml:space="preserve"> - Nhân công bậc 3,0/7 - Nhóm 2</v>
      </c>
      <c r="F348" s="66" t="str">
        <f>'Giá NC'!F8</f>
        <v>công</v>
      </c>
      <c r="G348" s="134">
        <f>PTVT!G348</f>
        <v>3.12</v>
      </c>
      <c r="H348" s="135">
        <f>'Giá NC'!K8</f>
        <v>246908</v>
      </c>
      <c r="I348" s="144">
        <f>'5.Tiên lượng'!W105</f>
        <v>1</v>
      </c>
      <c r="J348" s="135">
        <f>PRODUCT(G348,H348,I348)</f>
        <v>770352.96000000008</v>
      </c>
    </row>
    <row r="349" spans="1:10">
      <c r="A349" s="126"/>
      <c r="B349" s="127"/>
      <c r="C349" s="128" t="s">
        <v>590</v>
      </c>
      <c r="D349" s="128" t="s">
        <v>590</v>
      </c>
      <c r="E349" s="129" t="s">
        <v>267</v>
      </c>
      <c r="F349" s="127" t="s">
        <v>268</v>
      </c>
      <c r="G349" s="130"/>
      <c r="H349" s="131"/>
      <c r="I349" s="143"/>
      <c r="J349" s="131">
        <f>SUM(J350:J355)</f>
        <v>2369565.459726376</v>
      </c>
    </row>
    <row r="350" spans="1:10">
      <c r="A350" s="67"/>
      <c r="B350" s="66"/>
      <c r="C350" s="132" t="s">
        <v>590</v>
      </c>
      <c r="D350" s="133" t="s">
        <v>606</v>
      </c>
      <c r="E350" s="102" t="str">
        <f>" - "&amp;'Giá Máy'!E24</f>
        <v xml:space="preserve"> - Máy rải cấp phối đá dăm 50 - 60m3/h</v>
      </c>
      <c r="F350" s="66" t="str">
        <f>'Giá Máy'!F24</f>
        <v>ca</v>
      </c>
      <c r="G350" s="134">
        <f>PTVT!G350</f>
        <v>0.21</v>
      </c>
      <c r="H350" s="135">
        <f>'Giá Máy'!O24</f>
        <v>3572483.6555555556</v>
      </c>
      <c r="I350" s="144">
        <f>'5.Tiên lượng'!X105</f>
        <v>1</v>
      </c>
      <c r="J350" s="135">
        <f t="shared" ref="J350:J355" si="46">PRODUCT(G350,H350,I350)</f>
        <v>750221.5676666667</v>
      </c>
    </row>
    <row r="351" spans="1:10">
      <c r="A351" s="67"/>
      <c r="B351" s="66"/>
      <c r="C351" s="132" t="s">
        <v>590</v>
      </c>
      <c r="D351" s="133" t="s">
        <v>607</v>
      </c>
      <c r="E351" s="102" t="str">
        <f>" - "&amp;'Giá Máy'!E19</f>
        <v xml:space="preserve"> - Máy lu rung tự hành 25T</v>
      </c>
      <c r="F351" s="66" t="str">
        <f>'Giá Máy'!F19</f>
        <v>ca</v>
      </c>
      <c r="G351" s="134">
        <f>PTVT!G351</f>
        <v>0.32</v>
      </c>
      <c r="H351" s="135">
        <f>'Giá Máy'!O19</f>
        <v>2794294.0688888887</v>
      </c>
      <c r="I351" s="144">
        <f>'5.Tiên lượng'!X105</f>
        <v>1</v>
      </c>
      <c r="J351" s="135">
        <f t="shared" si="46"/>
        <v>894174.10204444441</v>
      </c>
    </row>
    <row r="352" spans="1:10">
      <c r="A352" s="67"/>
      <c r="B352" s="66"/>
      <c r="C352" s="132" t="s">
        <v>590</v>
      </c>
      <c r="D352" s="133" t="s">
        <v>608</v>
      </c>
      <c r="E352" s="102" t="str">
        <f>" - "&amp;'Giá Máy'!E38</f>
        <v xml:space="preserve"> - Máy lu bánh hơi tự hành 16T</v>
      </c>
      <c r="F352" s="66" t="str">
        <f>'Giá Máy'!F38</f>
        <v>ca</v>
      </c>
      <c r="G352" s="134">
        <f>PTVT!G352</f>
        <v>0.12</v>
      </c>
      <c r="H352" s="135">
        <f>'Giá Máy'!O38</f>
        <v>1553246.5422222223</v>
      </c>
      <c r="I352" s="144">
        <f>'5.Tiên lượng'!X105</f>
        <v>1</v>
      </c>
      <c r="J352" s="135">
        <f t="shared" si="46"/>
        <v>186389.58506666668</v>
      </c>
    </row>
    <row r="353" spans="1:10">
      <c r="A353" s="67"/>
      <c r="B353" s="66"/>
      <c r="C353" s="132" t="s">
        <v>590</v>
      </c>
      <c r="D353" s="133" t="s">
        <v>609</v>
      </c>
      <c r="E353" s="102" t="str">
        <f>" - "&amp;'Giá Máy'!E17</f>
        <v xml:space="preserve"> - Máy lu bánh thép 10T</v>
      </c>
      <c r="F353" s="66" t="str">
        <f>'Giá Máy'!F17</f>
        <v>ca</v>
      </c>
      <c r="G353" s="134">
        <f>PTVT!G353</f>
        <v>0.26</v>
      </c>
      <c r="H353" s="135">
        <f>'Giá Máy'!O17</f>
        <v>1132157.2474074075</v>
      </c>
      <c r="I353" s="144">
        <f>'5.Tiên lượng'!X105</f>
        <v>1</v>
      </c>
      <c r="J353" s="135">
        <f t="shared" si="46"/>
        <v>294360.88432592596</v>
      </c>
    </row>
    <row r="354" spans="1:10">
      <c r="A354" s="67"/>
      <c r="B354" s="66"/>
      <c r="C354" s="132" t="s">
        <v>590</v>
      </c>
      <c r="D354" s="133" t="s">
        <v>610</v>
      </c>
      <c r="E354" s="102" t="str">
        <f>" - "&amp;'Giá Máy'!E33</f>
        <v xml:space="preserve"> - Ô tô tưới nước 5m3</v>
      </c>
      <c r="F354" s="66" t="str">
        <f>'Giá Máy'!F33</f>
        <v>ca</v>
      </c>
      <c r="G354" s="134">
        <f>PTVT!G354</f>
        <v>0.21</v>
      </c>
      <c r="H354" s="135">
        <f>'Giá Máy'!O33</f>
        <v>1107763.9892307692</v>
      </c>
      <c r="I354" s="144">
        <f>'5.Tiên lượng'!X105</f>
        <v>1</v>
      </c>
      <c r="J354" s="135">
        <f t="shared" si="46"/>
        <v>232630.43773846154</v>
      </c>
    </row>
    <row r="355" spans="1:10">
      <c r="A355" s="104"/>
      <c r="B355" s="105"/>
      <c r="C355" s="136" t="s">
        <v>590</v>
      </c>
      <c r="D355" s="137" t="s">
        <v>611</v>
      </c>
      <c r="E355" s="106" t="s">
        <v>612</v>
      </c>
      <c r="F355" s="105" t="s">
        <v>37</v>
      </c>
      <c r="G355" s="138">
        <f>PTVT!G355</f>
        <v>0.5</v>
      </c>
      <c r="H355" s="139">
        <f>(G350*H350+G351*H351+G352*H352+G353*H353+G354*H354)/100</f>
        <v>23577.76576842165</v>
      </c>
      <c r="I355" s="145">
        <f>'5.Tiên lượng'!X105</f>
        <v>1</v>
      </c>
      <c r="J355" s="139">
        <f t="shared" si="46"/>
        <v>11788.882884210825</v>
      </c>
    </row>
    <row r="356" spans="1:10">
      <c r="A356" s="121"/>
      <c r="B356" s="122">
        <v>43</v>
      </c>
      <c r="C356" s="121" t="str">
        <f>'5.Tiên lượng'!C107</f>
        <v>AB.31133</v>
      </c>
      <c r="D356" s="121" t="str">
        <f>'5.Tiên lượng'!C107</f>
        <v>AB.31133</v>
      </c>
      <c r="E356" s="123" t="str">
        <f>'5.Tiên lượng'!D107</f>
        <v>Đào đất phần cạp mở rộng bằng máy đào 1,25m3 - Cấp đất III</v>
      </c>
      <c r="F356" s="122" t="str">
        <f>'5.Tiên lượng'!E107</f>
        <v>100m3</v>
      </c>
      <c r="G356" s="124"/>
      <c r="H356" s="125"/>
      <c r="I356" s="141"/>
      <c r="J356" s="142">
        <f>J357+J359</f>
        <v>2088510.2708914285</v>
      </c>
    </row>
    <row r="357" spans="1:10">
      <c r="A357" s="126"/>
      <c r="B357" s="127"/>
      <c r="C357" s="128" t="s">
        <v>590</v>
      </c>
      <c r="D357" s="128" t="s">
        <v>590</v>
      </c>
      <c r="E357" s="129" t="s">
        <v>265</v>
      </c>
      <c r="F357" s="127" t="s">
        <v>266</v>
      </c>
      <c r="G357" s="130"/>
      <c r="H357" s="131"/>
      <c r="I357" s="143"/>
      <c r="J357" s="131">
        <f>SUM(J358:J358)</f>
        <v>928189.08</v>
      </c>
    </row>
    <row r="358" spans="1:10">
      <c r="A358" s="67"/>
      <c r="B358" s="66"/>
      <c r="C358" s="132" t="s">
        <v>590</v>
      </c>
      <c r="D358" s="133" t="s">
        <v>598</v>
      </c>
      <c r="E358" s="102" t="str">
        <f>" - "&amp;'Giá NC'!E5</f>
        <v xml:space="preserve"> - Nhân công bậc 3,0/7 - Nhóm 1</v>
      </c>
      <c r="F358" s="66" t="str">
        <f>'Giá NC'!F5</f>
        <v>công</v>
      </c>
      <c r="G358" s="134">
        <f>PTVT!G358</f>
        <v>4.0599999999999996</v>
      </c>
      <c r="H358" s="135">
        <f>'Giá NC'!K5</f>
        <v>228618</v>
      </c>
      <c r="I358" s="144">
        <f>'5.Tiên lượng'!W107</f>
        <v>1</v>
      </c>
      <c r="J358" s="135">
        <f>PRODUCT(G358,H358,I358)</f>
        <v>928189.08</v>
      </c>
    </row>
    <row r="359" spans="1:10">
      <c r="A359" s="126"/>
      <c r="B359" s="127"/>
      <c r="C359" s="128" t="s">
        <v>590</v>
      </c>
      <c r="D359" s="128" t="s">
        <v>590</v>
      </c>
      <c r="E359" s="129" t="s">
        <v>267</v>
      </c>
      <c r="F359" s="127" t="s">
        <v>268</v>
      </c>
      <c r="G359" s="130"/>
      <c r="H359" s="131"/>
      <c r="I359" s="143"/>
      <c r="J359" s="131">
        <f>SUM(J360:J361)</f>
        <v>1160321.1908914286</v>
      </c>
    </row>
    <row r="360" spans="1:10">
      <c r="A360" s="67"/>
      <c r="B360" s="66"/>
      <c r="C360" s="132" t="s">
        <v>590</v>
      </c>
      <c r="D360" s="133" t="s">
        <v>599</v>
      </c>
      <c r="E360" s="102" t="str">
        <f>" - "&amp;'Giá Máy'!E14</f>
        <v xml:space="preserve"> - Máy đào 1,25m3</v>
      </c>
      <c r="F360" s="66" t="str">
        <f>'Giá Máy'!F14</f>
        <v>ca</v>
      </c>
      <c r="G360" s="134">
        <f>PTVT!G360</f>
        <v>0.311</v>
      </c>
      <c r="H360" s="135">
        <f>'Giá Máy'!O14</f>
        <v>3496941.8057142859</v>
      </c>
      <c r="I360" s="144">
        <f>'5.Tiên lượng'!X107</f>
        <v>1</v>
      </c>
      <c r="J360" s="135">
        <f t="shared" ref="J360:J361" si="47">PRODUCT(G360,H360,I360)</f>
        <v>1087548.901577143</v>
      </c>
    </row>
    <row r="361" spans="1:10">
      <c r="A361" s="104"/>
      <c r="B361" s="105"/>
      <c r="C361" s="136" t="s">
        <v>590</v>
      </c>
      <c r="D361" s="137" t="s">
        <v>600</v>
      </c>
      <c r="E361" s="106" t="str">
        <f>" - "&amp;'Giá Máy'!E29</f>
        <v xml:space="preserve"> - Máy ủi 110CV</v>
      </c>
      <c r="F361" s="105" t="str">
        <f>'Giá Máy'!F29</f>
        <v>ca</v>
      </c>
      <c r="G361" s="138">
        <f>PTVT!G361</f>
        <v>0.04</v>
      </c>
      <c r="H361" s="139">
        <f>'Giá Máy'!O29</f>
        <v>1819307.232857143</v>
      </c>
      <c r="I361" s="145">
        <f>'5.Tiên lượng'!X107</f>
        <v>1</v>
      </c>
      <c r="J361" s="139">
        <f t="shared" si="47"/>
        <v>72772.289314285721</v>
      </c>
    </row>
    <row r="362" spans="1:10">
      <c r="A362" s="121"/>
      <c r="B362" s="122">
        <v>44</v>
      </c>
      <c r="C362" s="121" t="str">
        <f>'5.Tiên lượng'!C109</f>
        <v>AD.11212</v>
      </c>
      <c r="D362" s="121" t="str">
        <f>'5.Tiên lượng'!C109</f>
        <v>AD.11212</v>
      </c>
      <c r="E362" s="123" t="str">
        <f>'5.Tiên lượng'!D109</f>
        <v>Bù trả vật liệu phần cạp mở rộng bằng cấp phối đá dăm loại 2 dày 18cm (không lu)</v>
      </c>
      <c r="F362" s="122" t="str">
        <f>'5.Tiên lượng'!E109</f>
        <v>100m3</v>
      </c>
      <c r="G362" s="124"/>
      <c r="H362" s="125"/>
      <c r="I362" s="141"/>
      <c r="J362" s="142">
        <f>J363+J365+J367</f>
        <v>35361297.757013127</v>
      </c>
    </row>
    <row r="363" spans="1:10">
      <c r="A363" s="126"/>
      <c r="B363" s="127"/>
      <c r="C363" s="128" t="s">
        <v>590</v>
      </c>
      <c r="D363" s="128" t="s">
        <v>590</v>
      </c>
      <c r="E363" s="129" t="s">
        <v>262</v>
      </c>
      <c r="F363" s="127" t="s">
        <v>263</v>
      </c>
      <c r="G363" s="130"/>
      <c r="H363" s="131"/>
      <c r="I363" s="143"/>
      <c r="J363" s="131">
        <f>SUM(J364:J364)</f>
        <v>32221379.337286752</v>
      </c>
    </row>
    <row r="364" spans="1:10">
      <c r="A364" s="67"/>
      <c r="B364" s="66"/>
      <c r="C364" s="132" t="s">
        <v>590</v>
      </c>
      <c r="D364" s="133" t="s">
        <v>604</v>
      </c>
      <c r="E364" s="102" t="str">
        <f>" - "&amp;'Giá VL'!E13</f>
        <v xml:space="preserve"> - Cấp phối đá dăm loại 2</v>
      </c>
      <c r="F364" s="66" t="str">
        <f>'Giá VL'!F13</f>
        <v>m3</v>
      </c>
      <c r="G364" s="134">
        <f>PTVT!G364</f>
        <v>134</v>
      </c>
      <c r="H364" s="135">
        <f>'Giá VL'!V13</f>
        <v>240458.05475587127</v>
      </c>
      <c r="I364" s="144">
        <f>'5.Tiên lượng'!V109</f>
        <v>1</v>
      </c>
      <c r="J364" s="135">
        <f>PRODUCT(G364,H364,I364)</f>
        <v>32221379.337286752</v>
      </c>
    </row>
    <row r="365" spans="1:10">
      <c r="A365" s="126"/>
      <c r="B365" s="127"/>
      <c r="C365" s="128" t="s">
        <v>590</v>
      </c>
      <c r="D365" s="128" t="s">
        <v>590</v>
      </c>
      <c r="E365" s="129" t="s">
        <v>265</v>
      </c>
      <c r="F365" s="127" t="s">
        <v>266</v>
      </c>
      <c r="G365" s="130"/>
      <c r="H365" s="131"/>
      <c r="I365" s="143"/>
      <c r="J365" s="131">
        <f>SUM(J366:J366)</f>
        <v>770352.96000000008</v>
      </c>
    </row>
    <row r="366" spans="1:10">
      <c r="A366" s="67"/>
      <c r="B366" s="66"/>
      <c r="C366" s="132" t="s">
        <v>590</v>
      </c>
      <c r="D366" s="133" t="s">
        <v>605</v>
      </c>
      <c r="E366" s="102" t="str">
        <f>" - "&amp;'Giá NC'!E8</f>
        <v xml:space="preserve"> - Nhân công bậc 3,0/7 - Nhóm 2</v>
      </c>
      <c r="F366" s="66" t="str">
        <f>'Giá NC'!F8</f>
        <v>công</v>
      </c>
      <c r="G366" s="134">
        <f>PTVT!G366</f>
        <v>3.12</v>
      </c>
      <c r="H366" s="135">
        <f>'Giá NC'!K8</f>
        <v>246908</v>
      </c>
      <c r="I366" s="144">
        <f>'5.Tiên lượng'!W109</f>
        <v>1</v>
      </c>
      <c r="J366" s="135">
        <f>PRODUCT(G366,H366,I366)</f>
        <v>770352.96000000008</v>
      </c>
    </row>
    <row r="367" spans="1:10">
      <c r="A367" s="126"/>
      <c r="B367" s="127"/>
      <c r="C367" s="128" t="s">
        <v>590</v>
      </c>
      <c r="D367" s="128" t="s">
        <v>590</v>
      </c>
      <c r="E367" s="129" t="s">
        <v>267</v>
      </c>
      <c r="F367" s="127" t="s">
        <v>268</v>
      </c>
      <c r="G367" s="130"/>
      <c r="H367" s="131"/>
      <c r="I367" s="143"/>
      <c r="J367" s="131">
        <f>SUM(J368:J373)</f>
        <v>2369565.459726376</v>
      </c>
    </row>
    <row r="368" spans="1:10">
      <c r="A368" s="67"/>
      <c r="B368" s="66"/>
      <c r="C368" s="132" t="s">
        <v>590</v>
      </c>
      <c r="D368" s="133" t="s">
        <v>606</v>
      </c>
      <c r="E368" s="102" t="str">
        <f>" - "&amp;'Giá Máy'!E24</f>
        <v xml:space="preserve"> - Máy rải cấp phối đá dăm 50 - 60m3/h</v>
      </c>
      <c r="F368" s="66" t="str">
        <f>'Giá Máy'!F24</f>
        <v>ca</v>
      </c>
      <c r="G368" s="134">
        <f>PTVT!G368</f>
        <v>0.21</v>
      </c>
      <c r="H368" s="135">
        <f>'Giá Máy'!O24</f>
        <v>3572483.6555555556</v>
      </c>
      <c r="I368" s="144">
        <f>'5.Tiên lượng'!X109</f>
        <v>1</v>
      </c>
      <c r="J368" s="135">
        <f t="shared" ref="J368:J373" si="48">PRODUCT(G368,H368,I368)</f>
        <v>750221.5676666667</v>
      </c>
    </row>
    <row r="369" spans="1:10">
      <c r="A369" s="67"/>
      <c r="B369" s="66"/>
      <c r="C369" s="132" t="s">
        <v>590</v>
      </c>
      <c r="D369" s="133" t="s">
        <v>607</v>
      </c>
      <c r="E369" s="102" t="str">
        <f>" - "&amp;'Giá Máy'!E19</f>
        <v xml:space="preserve"> - Máy lu rung tự hành 25T</v>
      </c>
      <c r="F369" s="66" t="str">
        <f>'Giá Máy'!F19</f>
        <v>ca</v>
      </c>
      <c r="G369" s="134">
        <f>PTVT!G369</f>
        <v>0.32</v>
      </c>
      <c r="H369" s="135">
        <f>'Giá Máy'!O19</f>
        <v>2794294.0688888887</v>
      </c>
      <c r="I369" s="144">
        <f>'5.Tiên lượng'!X109</f>
        <v>1</v>
      </c>
      <c r="J369" s="135">
        <f t="shared" si="48"/>
        <v>894174.10204444441</v>
      </c>
    </row>
    <row r="370" spans="1:10">
      <c r="A370" s="67"/>
      <c r="B370" s="66"/>
      <c r="C370" s="132" t="s">
        <v>590</v>
      </c>
      <c r="D370" s="133" t="s">
        <v>608</v>
      </c>
      <c r="E370" s="102" t="str">
        <f>" - "&amp;'Giá Máy'!E38</f>
        <v xml:space="preserve"> - Máy lu bánh hơi tự hành 16T</v>
      </c>
      <c r="F370" s="66" t="str">
        <f>'Giá Máy'!F38</f>
        <v>ca</v>
      </c>
      <c r="G370" s="134">
        <f>PTVT!G370</f>
        <v>0.12</v>
      </c>
      <c r="H370" s="135">
        <f>'Giá Máy'!O38</f>
        <v>1553246.5422222223</v>
      </c>
      <c r="I370" s="144">
        <f>'5.Tiên lượng'!X109</f>
        <v>1</v>
      </c>
      <c r="J370" s="135">
        <f t="shared" si="48"/>
        <v>186389.58506666668</v>
      </c>
    </row>
    <row r="371" spans="1:10">
      <c r="A371" s="67"/>
      <c r="B371" s="66"/>
      <c r="C371" s="132" t="s">
        <v>590</v>
      </c>
      <c r="D371" s="133" t="s">
        <v>609</v>
      </c>
      <c r="E371" s="102" t="str">
        <f>" - "&amp;'Giá Máy'!E17</f>
        <v xml:space="preserve"> - Máy lu bánh thép 10T</v>
      </c>
      <c r="F371" s="66" t="str">
        <f>'Giá Máy'!F17</f>
        <v>ca</v>
      </c>
      <c r="G371" s="134">
        <f>PTVT!G371</f>
        <v>0.26</v>
      </c>
      <c r="H371" s="135">
        <f>'Giá Máy'!O17</f>
        <v>1132157.2474074075</v>
      </c>
      <c r="I371" s="144">
        <f>'5.Tiên lượng'!X109</f>
        <v>1</v>
      </c>
      <c r="J371" s="135">
        <f t="shared" si="48"/>
        <v>294360.88432592596</v>
      </c>
    </row>
    <row r="372" spans="1:10">
      <c r="A372" s="67"/>
      <c r="B372" s="66"/>
      <c r="C372" s="132" t="s">
        <v>590</v>
      </c>
      <c r="D372" s="133" t="s">
        <v>610</v>
      </c>
      <c r="E372" s="102" t="str">
        <f>" - "&amp;'Giá Máy'!E33</f>
        <v xml:space="preserve"> - Ô tô tưới nước 5m3</v>
      </c>
      <c r="F372" s="66" t="str">
        <f>'Giá Máy'!F33</f>
        <v>ca</v>
      </c>
      <c r="G372" s="134">
        <f>PTVT!G372</f>
        <v>0.21</v>
      </c>
      <c r="H372" s="135">
        <f>'Giá Máy'!O33</f>
        <v>1107763.9892307692</v>
      </c>
      <c r="I372" s="144">
        <f>'5.Tiên lượng'!X109</f>
        <v>1</v>
      </c>
      <c r="J372" s="135">
        <f t="shared" si="48"/>
        <v>232630.43773846154</v>
      </c>
    </row>
    <row r="373" spans="1:10">
      <c r="A373" s="104"/>
      <c r="B373" s="105"/>
      <c r="C373" s="136" t="s">
        <v>590</v>
      </c>
      <c r="D373" s="137" t="s">
        <v>611</v>
      </c>
      <c r="E373" s="106" t="s">
        <v>612</v>
      </c>
      <c r="F373" s="105" t="s">
        <v>37</v>
      </c>
      <c r="G373" s="138">
        <f>PTVT!G373</f>
        <v>0.5</v>
      </c>
      <c r="H373" s="139">
        <f>(G368*H368+G369*H369+G370*H370+G371*H371+G372*H372)/100</f>
        <v>23577.76576842165</v>
      </c>
      <c r="I373" s="145">
        <f>'5.Tiên lượng'!X109</f>
        <v>1</v>
      </c>
      <c r="J373" s="139">
        <f t="shared" si="48"/>
        <v>11788.882884210825</v>
      </c>
    </row>
    <row r="374" spans="1:10" ht="27.6">
      <c r="A374" s="121"/>
      <c r="B374" s="122">
        <v>45</v>
      </c>
      <c r="C374" s="121" t="str">
        <f>'5.Tiên lượng'!C111</f>
        <v>LS.11110(ĐM.1322)</v>
      </c>
      <c r="D374" s="121" t="str">
        <f>'5.Tiên lượng'!C111</f>
        <v>LS.11110(ĐM.1322)</v>
      </c>
      <c r="E374" s="123" t="str">
        <f>'5.Tiên lượng'!D111</f>
        <v>Cào bóc tái sinh nguội tại chỗ bằng máy cào bóc tái sinh WR2400 trên mặt đường láng nhựa, chiều dày 18cm (4% xi măng rải thủ công)</v>
      </c>
      <c r="F374" s="122" t="str">
        <f>'5.Tiên lượng'!E111</f>
        <v>100m3</v>
      </c>
      <c r="G374" s="124"/>
      <c r="H374" s="125"/>
      <c r="I374" s="141"/>
      <c r="J374" s="142">
        <f>J375+J380+J383</f>
        <v>37106679.534435421</v>
      </c>
    </row>
    <row r="375" spans="1:10">
      <c r="A375" s="126"/>
      <c r="B375" s="127"/>
      <c r="C375" s="128" t="s">
        <v>590</v>
      </c>
      <c r="D375" s="128" t="s">
        <v>590</v>
      </c>
      <c r="E375" s="129" t="s">
        <v>262</v>
      </c>
      <c r="F375" s="127" t="s">
        <v>263</v>
      </c>
      <c r="G375" s="130"/>
      <c r="H375" s="131"/>
      <c r="I375" s="143"/>
      <c r="J375" s="131">
        <f>SUM(J376:J379)</f>
        <v>19188881.861584913</v>
      </c>
    </row>
    <row r="376" spans="1:10">
      <c r="A376" s="67"/>
      <c r="B376" s="66"/>
      <c r="C376" s="132" t="s">
        <v>590</v>
      </c>
      <c r="D376" s="133" t="s">
        <v>614</v>
      </c>
      <c r="E376" s="102" t="str">
        <f>" - "&amp;'Giá VL'!E45</f>
        <v xml:space="preserve"> - Xi măng PCB40</v>
      </c>
      <c r="F376" s="66" t="str">
        <f>'Giá VL'!F45</f>
        <v>kg</v>
      </c>
      <c r="G376" s="134">
        <f>PTVT!G376</f>
        <v>8247</v>
      </c>
      <c r="H376" s="135">
        <f>'Giá VL'!V45</f>
        <v>1730</v>
      </c>
      <c r="I376" s="144">
        <f>'5.Tiên lượng'!V111</f>
        <v>0.9</v>
      </c>
      <c r="J376" s="135">
        <f t="shared" ref="J376:J379" si="49">PRODUCT(G376,H376,I376)</f>
        <v>12840579</v>
      </c>
    </row>
    <row r="377" spans="1:10">
      <c r="A377" s="67"/>
      <c r="B377" s="66"/>
      <c r="C377" s="132" t="s">
        <v>590</v>
      </c>
      <c r="D377" s="133" t="s">
        <v>617</v>
      </c>
      <c r="E377" s="102" t="str">
        <f>" - "&amp;'Giá VL'!E33</f>
        <v xml:space="preserve"> - Nước</v>
      </c>
      <c r="F377" s="66" t="str">
        <f>'Giá VL'!F33</f>
        <v>lít</v>
      </c>
      <c r="G377" s="134">
        <f>PTVT!G377</f>
        <v>12918</v>
      </c>
      <c r="H377" s="135">
        <f>'Giá VL'!V33</f>
        <v>15</v>
      </c>
      <c r="I377" s="144">
        <f>'5.Tiên lượng'!V111</f>
        <v>0.9</v>
      </c>
      <c r="J377" s="135">
        <f t="shared" si="49"/>
        <v>174393</v>
      </c>
    </row>
    <row r="378" spans="1:10">
      <c r="A378" s="67"/>
      <c r="B378" s="66"/>
      <c r="C378" s="132" t="s">
        <v>590</v>
      </c>
      <c r="D378" s="133" t="s">
        <v>639</v>
      </c>
      <c r="E378" s="102" t="str">
        <f>" - "&amp;'Giá VL'!E36</f>
        <v xml:space="preserve"> - Phụ gia chống trương nở đất TS</v>
      </c>
      <c r="F378" s="66" t="str">
        <f>'Giá VL'!F36</f>
        <v>kg</v>
      </c>
      <c r="G378" s="134">
        <f>PTVT!G378</f>
        <v>280</v>
      </c>
      <c r="H378" s="135">
        <f>'Giá VL'!V36</f>
        <v>23745.717985167823</v>
      </c>
      <c r="I378" s="144">
        <f>'5.Tiên lượng'!V111</f>
        <v>0.9</v>
      </c>
      <c r="J378" s="135">
        <f t="shared" si="49"/>
        <v>5983920.9322622912</v>
      </c>
    </row>
    <row r="379" spans="1:10">
      <c r="A379" s="67"/>
      <c r="B379" s="66"/>
      <c r="C379" s="132" t="s">
        <v>590</v>
      </c>
      <c r="D379" s="133" t="s">
        <v>620</v>
      </c>
      <c r="E379" s="102" t="s">
        <v>621</v>
      </c>
      <c r="F379" s="66" t="s">
        <v>37</v>
      </c>
      <c r="G379" s="134">
        <f>PTVT!G379</f>
        <v>1</v>
      </c>
      <c r="H379" s="135">
        <f>(G376*H376+G377*H377+G378*H378)/100</f>
        <v>211098.8103584699</v>
      </c>
      <c r="I379" s="144">
        <f>'5.Tiên lượng'!V111</f>
        <v>0.9</v>
      </c>
      <c r="J379" s="135">
        <f t="shared" si="49"/>
        <v>189988.92932262292</v>
      </c>
    </row>
    <row r="380" spans="1:10">
      <c r="A380" s="126"/>
      <c r="B380" s="127"/>
      <c r="C380" s="128" t="s">
        <v>590</v>
      </c>
      <c r="D380" s="128" t="s">
        <v>590</v>
      </c>
      <c r="E380" s="129" t="s">
        <v>265</v>
      </c>
      <c r="F380" s="127" t="s">
        <v>266</v>
      </c>
      <c r="G380" s="130"/>
      <c r="H380" s="131"/>
      <c r="I380" s="143"/>
      <c r="J380" s="131">
        <f>SUM(J381:J382)</f>
        <v>2466402.8760000002</v>
      </c>
    </row>
    <row r="381" spans="1:10">
      <c r="A381" s="67"/>
      <c r="B381" s="66"/>
      <c r="C381" s="132" t="s">
        <v>590</v>
      </c>
      <c r="D381" s="133" t="s">
        <v>629</v>
      </c>
      <c r="E381" s="102" t="str">
        <f>" - "&amp;'Giá NC'!E10</f>
        <v xml:space="preserve"> - Nhân công bậc 4,0/7 - Nhóm 2</v>
      </c>
      <c r="F381" s="66" t="str">
        <f>'Giá NC'!F10</f>
        <v>công</v>
      </c>
      <c r="G381" s="134">
        <f>PTVT!G381</f>
        <v>4.67</v>
      </c>
      <c r="H381" s="135">
        <f>'Giá NC'!K10</f>
        <v>293092</v>
      </c>
      <c r="I381" s="144">
        <f>'5.Tiên lượng'!W111</f>
        <v>0.9</v>
      </c>
      <c r="J381" s="135">
        <f t="shared" ref="J381:J382" si="50">PRODUCT(G381,H381,I381)</f>
        <v>1231865.676</v>
      </c>
    </row>
    <row r="382" spans="1:10">
      <c r="A382" s="67"/>
      <c r="B382" s="66"/>
      <c r="C382" s="132" t="s">
        <v>590</v>
      </c>
      <c r="D382" s="133" t="s">
        <v>598</v>
      </c>
      <c r="E382" s="102" t="str">
        <f>" - "&amp;'Giá NC'!E5</f>
        <v xml:space="preserve"> - Nhân công bậc 3,0/7 - Nhóm 1</v>
      </c>
      <c r="F382" s="66" t="str">
        <f>'Giá NC'!F5</f>
        <v>công</v>
      </c>
      <c r="G382" s="134">
        <f>PTVT!G382</f>
        <v>6</v>
      </c>
      <c r="H382" s="135">
        <f>'Giá NC'!K5</f>
        <v>228618</v>
      </c>
      <c r="I382" s="144">
        <f>'5.Tiên lượng'!W111</f>
        <v>0.9</v>
      </c>
      <c r="J382" s="135">
        <f t="shared" si="50"/>
        <v>1234537.2</v>
      </c>
    </row>
    <row r="383" spans="1:10">
      <c r="A383" s="126"/>
      <c r="B383" s="127"/>
      <c r="C383" s="128" t="s">
        <v>590</v>
      </c>
      <c r="D383" s="128" t="s">
        <v>590</v>
      </c>
      <c r="E383" s="129" t="s">
        <v>267</v>
      </c>
      <c r="F383" s="127" t="s">
        <v>268</v>
      </c>
      <c r="G383" s="130"/>
      <c r="H383" s="131"/>
      <c r="I383" s="143"/>
      <c r="J383" s="131">
        <f>SUM(J384:J392)</f>
        <v>15451394.796850514</v>
      </c>
    </row>
    <row r="384" spans="1:10">
      <c r="A384" s="67"/>
      <c r="B384" s="66"/>
      <c r="C384" s="132" t="s">
        <v>590</v>
      </c>
      <c r="D384" s="133" t="s">
        <v>640</v>
      </c>
      <c r="E384" s="102" t="str">
        <f>" - "&amp;'Giá Máy'!E35</f>
        <v xml:space="preserve"> - Máy cào bóc tái sinh Wirtgen 2400</v>
      </c>
      <c r="F384" s="66" t="str">
        <f>'Giá Máy'!F35</f>
        <v>ca</v>
      </c>
      <c r="G384" s="134">
        <f>PTVT!G384</f>
        <v>0.32400000000000001</v>
      </c>
      <c r="H384" s="135">
        <f>'Giá Máy'!O35</f>
        <v>40942317.600000001</v>
      </c>
      <c r="I384" s="144">
        <f>'5.Tiên lượng'!X111</f>
        <v>0.9</v>
      </c>
      <c r="J384" s="135">
        <f t="shared" ref="J384:J392" si="51">PRODUCT(G384,H384,I384)</f>
        <v>11938779.81216</v>
      </c>
    </row>
    <row r="385" spans="1:10">
      <c r="A385" s="67"/>
      <c r="B385" s="66"/>
      <c r="C385" s="132" t="s">
        <v>590</v>
      </c>
      <c r="D385" s="133" t="s">
        <v>641</v>
      </c>
      <c r="E385" s="102" t="str">
        <f>" - "&amp;'Giá Máy'!E43</f>
        <v xml:space="preserve"> - Máy rải xi măng SW16TC (16m3)</v>
      </c>
      <c r="F385" s="66" t="str">
        <f>'Giá Máy'!F43</f>
        <v>ca</v>
      </c>
      <c r="G385" s="134">
        <f>PTVT!G385</f>
        <v>0</v>
      </c>
      <c r="H385" s="135">
        <f>'Giá Máy'!O43</f>
        <v>10312616.668888887</v>
      </c>
      <c r="I385" s="144">
        <f>'5.Tiên lượng'!X111</f>
        <v>0.9</v>
      </c>
      <c r="J385" s="135">
        <f t="shared" si="51"/>
        <v>0</v>
      </c>
    </row>
    <row r="386" spans="1:10">
      <c r="A386" s="67"/>
      <c r="B386" s="66"/>
      <c r="C386" s="132" t="s">
        <v>590</v>
      </c>
      <c r="D386" s="133" t="s">
        <v>642</v>
      </c>
      <c r="E386" s="102" t="str">
        <f>" - "&amp;'Giá Máy'!E40</f>
        <v xml:space="preserve"> - Ô tô tưới nước 10m3</v>
      </c>
      <c r="F386" s="66" t="str">
        <f>'Giá Máy'!F40</f>
        <v>ca</v>
      </c>
      <c r="G386" s="134">
        <f>PTVT!G386</f>
        <v>0.63200000000000001</v>
      </c>
      <c r="H386" s="135">
        <f>'Giá Máy'!O40</f>
        <v>1491813.8923076922</v>
      </c>
      <c r="I386" s="144">
        <f>'5.Tiên lượng'!X111</f>
        <v>0.9</v>
      </c>
      <c r="J386" s="135">
        <f t="shared" si="51"/>
        <v>848543.74194461538</v>
      </c>
    </row>
    <row r="387" spans="1:10">
      <c r="A387" s="67"/>
      <c r="B387" s="66"/>
      <c r="C387" s="132" t="s">
        <v>590</v>
      </c>
      <c r="D387" s="133" t="s">
        <v>643</v>
      </c>
      <c r="E387" s="102" t="str">
        <f>" - "&amp;'Giá Máy'!E36</f>
        <v xml:space="preserve"> - Máy lu rung chân cừu 12T</v>
      </c>
      <c r="F387" s="66" t="str">
        <f>'Giá Máy'!F36</f>
        <v>ca</v>
      </c>
      <c r="G387" s="134">
        <f>PTVT!G387</f>
        <v>0.46600000000000003</v>
      </c>
      <c r="H387" s="135">
        <f>'Giá Máy'!O36</f>
        <v>1686285.1748148147</v>
      </c>
      <c r="I387" s="144">
        <f>'5.Tiên lượng'!X111</f>
        <v>0.9</v>
      </c>
      <c r="J387" s="135">
        <f t="shared" si="51"/>
        <v>707228.00231733336</v>
      </c>
    </row>
    <row r="388" spans="1:10">
      <c r="A388" s="67"/>
      <c r="B388" s="66"/>
      <c r="C388" s="132" t="s">
        <v>590</v>
      </c>
      <c r="D388" s="133" t="s">
        <v>644</v>
      </c>
      <c r="E388" s="102" t="str">
        <f>" - "&amp;'Giá Máy'!E44</f>
        <v xml:space="preserve"> - Máy lu bánh thép tự hành 12T</v>
      </c>
      <c r="F388" s="66" t="str">
        <f>'Giá Máy'!F44</f>
        <v>ca</v>
      </c>
      <c r="G388" s="134">
        <f>PTVT!G388</f>
        <v>0.46100000000000002</v>
      </c>
      <c r="H388" s="135">
        <f>'Giá Máy'!O44</f>
        <v>1270296.9466666668</v>
      </c>
      <c r="I388" s="144">
        <f>'5.Tiên lượng'!X111</f>
        <v>0.9</v>
      </c>
      <c r="J388" s="135">
        <f t="shared" si="51"/>
        <v>527046.20317200013</v>
      </c>
    </row>
    <row r="389" spans="1:10">
      <c r="A389" s="67"/>
      <c r="B389" s="66"/>
      <c r="C389" s="132" t="s">
        <v>590</v>
      </c>
      <c r="D389" s="133" t="s">
        <v>609</v>
      </c>
      <c r="E389" s="102" t="str">
        <f>" - "&amp;'Giá Máy'!E17</f>
        <v xml:space="preserve"> - Máy lu bánh thép 10T</v>
      </c>
      <c r="F389" s="66" t="str">
        <f>'Giá Máy'!F17</f>
        <v>ca</v>
      </c>
      <c r="G389" s="134">
        <f>PTVT!G389</f>
        <v>0.35699999999999998</v>
      </c>
      <c r="H389" s="135">
        <f>'Giá Máy'!O17</f>
        <v>1132157.2474074075</v>
      </c>
      <c r="I389" s="144">
        <f>'5.Tiên lượng'!X111</f>
        <v>0.9</v>
      </c>
      <c r="J389" s="135">
        <f t="shared" si="51"/>
        <v>363762.12359200005</v>
      </c>
    </row>
    <row r="390" spans="1:10">
      <c r="A390" s="67"/>
      <c r="B390" s="66"/>
      <c r="C390" s="132" t="s">
        <v>590</v>
      </c>
      <c r="D390" s="133" t="s">
        <v>608</v>
      </c>
      <c r="E390" s="102" t="str">
        <f>" - "&amp;'Giá Máy'!E38</f>
        <v xml:space="preserve"> - Máy lu bánh hơi tự hành 16T</v>
      </c>
      <c r="F390" s="66" t="str">
        <f>'Giá Máy'!F38</f>
        <v>ca</v>
      </c>
      <c r="G390" s="134">
        <f>PTVT!G390</f>
        <v>0.47399999999999998</v>
      </c>
      <c r="H390" s="135">
        <f>'Giá Máy'!O38</f>
        <v>1553246.5422222223</v>
      </c>
      <c r="I390" s="144">
        <f>'5.Tiên lượng'!X111</f>
        <v>0.9</v>
      </c>
      <c r="J390" s="135">
        <f t="shared" si="51"/>
        <v>662614.97491200001</v>
      </c>
    </row>
    <row r="391" spans="1:10">
      <c r="A391" s="67"/>
      <c r="B391" s="66"/>
      <c r="C391" s="132" t="s">
        <v>590</v>
      </c>
      <c r="D391" s="133" t="s">
        <v>645</v>
      </c>
      <c r="E391" s="102" t="str">
        <f>" - "&amp;'Giá Máy'!E26</f>
        <v xml:space="preserve"> - Máy san 110CV</v>
      </c>
      <c r="F391" s="66" t="str">
        <f>'Giá Máy'!F26</f>
        <v>ca</v>
      </c>
      <c r="G391" s="134">
        <f>PTVT!G391</f>
        <v>0.16300000000000001</v>
      </c>
      <c r="H391" s="135">
        <f>'Giá Máy'!O26</f>
        <v>1989485.4904347826</v>
      </c>
      <c r="I391" s="144">
        <f>'5.Tiên lượng'!X111</f>
        <v>0.9</v>
      </c>
      <c r="J391" s="135">
        <f t="shared" si="51"/>
        <v>291857.52144678263</v>
      </c>
    </row>
    <row r="392" spans="1:10">
      <c r="A392" s="104"/>
      <c r="B392" s="105"/>
      <c r="C392" s="136" t="s">
        <v>590</v>
      </c>
      <c r="D392" s="137" t="s">
        <v>611</v>
      </c>
      <c r="E392" s="106" t="s">
        <v>612</v>
      </c>
      <c r="F392" s="105" t="s">
        <v>37</v>
      </c>
      <c r="G392" s="138">
        <f>PTVT!G392</f>
        <v>0.72727272727272685</v>
      </c>
      <c r="H392" s="139">
        <f>(G384*H384+G385*H385+G386*H386+G387*H387+G388*H388+G389*H389+G390*H390+G391*H391)/100</f>
        <v>170442.58199494146</v>
      </c>
      <c r="I392" s="145">
        <f>'5.Tiên lượng'!X111</f>
        <v>0.9</v>
      </c>
      <c r="J392" s="139">
        <f t="shared" si="51"/>
        <v>111562.41730577979</v>
      </c>
    </row>
    <row r="393" spans="1:10">
      <c r="A393" s="121"/>
      <c r="B393" s="122">
        <v>46</v>
      </c>
      <c r="C393" s="121" t="str">
        <f>'5.Tiên lượng'!C113</f>
        <v>AD.24223</v>
      </c>
      <c r="D393" s="121" t="str">
        <f>'5.Tiên lượng'!C113</f>
        <v>AD.24223</v>
      </c>
      <c r="E393" s="123" t="str">
        <f>'5.Tiên lượng'!D113</f>
        <v>Tưới lớp dính bám mặt đường, nhũ tương CSS1, lượng nhũ tương 1kg/m2</v>
      </c>
      <c r="F393" s="122" t="str">
        <f>'5.Tiên lượng'!E113</f>
        <v>100m2</v>
      </c>
      <c r="G393" s="124"/>
      <c r="H393" s="125"/>
      <c r="I393" s="141"/>
      <c r="J393" s="142">
        <f>J394+J396+J398</f>
        <v>1727386.8948189537</v>
      </c>
    </row>
    <row r="394" spans="1:10">
      <c r="A394" s="126"/>
      <c r="B394" s="127"/>
      <c r="C394" s="128" t="s">
        <v>590</v>
      </c>
      <c r="D394" s="128" t="s">
        <v>590</v>
      </c>
      <c r="E394" s="129" t="s">
        <v>262</v>
      </c>
      <c r="F394" s="127" t="s">
        <v>263</v>
      </c>
      <c r="G394" s="130"/>
      <c r="H394" s="131"/>
      <c r="I394" s="143"/>
      <c r="J394" s="131">
        <f>SUM(J395:J395)</f>
        <v>1406043.8394685537</v>
      </c>
    </row>
    <row r="395" spans="1:10">
      <c r="A395" s="67"/>
      <c r="B395" s="66"/>
      <c r="C395" s="132" t="s">
        <v>590</v>
      </c>
      <c r="D395" s="133" t="s">
        <v>646</v>
      </c>
      <c r="E395" s="102" t="str">
        <f>" - "&amp;'Giá VL'!E32</f>
        <v xml:space="preserve"> - Nhựa nhũ tương gốc axít 60%</v>
      </c>
      <c r="F395" s="66" t="str">
        <f>'Giá VL'!F32</f>
        <v>kg</v>
      </c>
      <c r="G395" s="134">
        <f>PTVT!G395</f>
        <v>102.5</v>
      </c>
      <c r="H395" s="135">
        <f>'Giá VL'!V32</f>
        <v>13717.500872863939</v>
      </c>
      <c r="I395" s="144">
        <f>'5.Tiên lượng'!V113</f>
        <v>1</v>
      </c>
      <c r="J395" s="135">
        <f>PRODUCT(G395,H395,I395)</f>
        <v>1406043.8394685537</v>
      </c>
    </row>
    <row r="396" spans="1:10">
      <c r="A396" s="126"/>
      <c r="B396" s="127"/>
      <c r="C396" s="128" t="s">
        <v>590</v>
      </c>
      <c r="D396" s="128" t="s">
        <v>590</v>
      </c>
      <c r="E396" s="129" t="s">
        <v>265</v>
      </c>
      <c r="F396" s="127" t="s">
        <v>266</v>
      </c>
      <c r="G396" s="130"/>
      <c r="H396" s="131"/>
      <c r="I396" s="143"/>
      <c r="J396" s="131">
        <f>SUM(J397:J397)</f>
        <v>62100</v>
      </c>
    </row>
    <row r="397" spans="1:10">
      <c r="A397" s="67"/>
      <c r="B397" s="66"/>
      <c r="C397" s="132" t="s">
        <v>590</v>
      </c>
      <c r="D397" s="133" t="s">
        <v>622</v>
      </c>
      <c r="E397" s="102" t="str">
        <f>" - "&amp;'Giá NC'!E9</f>
        <v xml:space="preserve"> - Nhân công bậc 3,5/7 - Nhóm 2</v>
      </c>
      <c r="F397" s="66" t="str">
        <f>'Giá NC'!F9</f>
        <v>công</v>
      </c>
      <c r="G397" s="134">
        <f>PTVT!G397</f>
        <v>0.23</v>
      </c>
      <c r="H397" s="135">
        <f>'Giá NC'!K9</f>
        <v>270000</v>
      </c>
      <c r="I397" s="144">
        <f>'5.Tiên lượng'!W113</f>
        <v>1</v>
      </c>
      <c r="J397" s="135">
        <f>PRODUCT(G397,H397,I397)</f>
        <v>62100</v>
      </c>
    </row>
    <row r="398" spans="1:10">
      <c r="A398" s="126"/>
      <c r="B398" s="127"/>
      <c r="C398" s="128" t="s">
        <v>590</v>
      </c>
      <c r="D398" s="128" t="s">
        <v>590</v>
      </c>
      <c r="E398" s="129" t="s">
        <v>267</v>
      </c>
      <c r="F398" s="127" t="s">
        <v>268</v>
      </c>
      <c r="G398" s="130"/>
      <c r="H398" s="131"/>
      <c r="I398" s="143"/>
      <c r="J398" s="131">
        <f>SUM(J399:J401)</f>
        <v>259243.05535040001</v>
      </c>
    </row>
    <row r="399" spans="1:10">
      <c r="A399" s="67"/>
      <c r="B399" s="66"/>
      <c r="C399" s="132" t="s">
        <v>590</v>
      </c>
      <c r="D399" s="133" t="s">
        <v>647</v>
      </c>
      <c r="E399" s="102" t="str">
        <f>" - "&amp;'Giá Máy'!E23</f>
        <v xml:space="preserve"> - Máy phun nhựa đường 190CV</v>
      </c>
      <c r="F399" s="66" t="str">
        <f>'Giá Máy'!F23</f>
        <v>ca</v>
      </c>
      <c r="G399" s="134">
        <f>PTVT!G399</f>
        <v>6.8000000000000005E-2</v>
      </c>
      <c r="H399" s="135">
        <f>'Giá Máy'!O23</f>
        <v>2958321.8666666662</v>
      </c>
      <c r="I399" s="144">
        <f>'5.Tiên lượng'!X113</f>
        <v>1</v>
      </c>
      <c r="J399" s="135">
        <f t="shared" ref="J399:J401" si="52">PRODUCT(G399,H399,I399)</f>
        <v>201165.88693333333</v>
      </c>
    </row>
    <row r="400" spans="1:10">
      <c r="A400" s="67"/>
      <c r="B400" s="66"/>
      <c r="C400" s="132" t="s">
        <v>590</v>
      </c>
      <c r="D400" s="133" t="s">
        <v>634</v>
      </c>
      <c r="E400" s="102" t="str">
        <f>" - "&amp;'Giá Máy'!E22</f>
        <v xml:space="preserve"> - Máy nén khí diezel 600m3/h</v>
      </c>
      <c r="F400" s="66" t="str">
        <f>'Giá Máy'!F22</f>
        <v>ca</v>
      </c>
      <c r="G400" s="134">
        <f>PTVT!G400</f>
        <v>3.4000000000000002E-2</v>
      </c>
      <c r="H400" s="135">
        <f>'Giá Máy'!O22</f>
        <v>1558646.2133333334</v>
      </c>
      <c r="I400" s="144">
        <f>'5.Tiên lượng'!X113</f>
        <v>1</v>
      </c>
      <c r="J400" s="135">
        <f t="shared" si="52"/>
        <v>52993.971253333337</v>
      </c>
    </row>
    <row r="401" spans="1:10">
      <c r="A401" s="104"/>
      <c r="B401" s="105"/>
      <c r="C401" s="136" t="s">
        <v>590</v>
      </c>
      <c r="D401" s="137" t="s">
        <v>611</v>
      </c>
      <c r="E401" s="106" t="s">
        <v>612</v>
      </c>
      <c r="F401" s="105" t="s">
        <v>37</v>
      </c>
      <c r="G401" s="138">
        <f>PTVT!G401</f>
        <v>2</v>
      </c>
      <c r="H401" s="139">
        <f>(G399*H399+G400*H400)/100</f>
        <v>2541.5985818666668</v>
      </c>
      <c r="I401" s="145">
        <f>'5.Tiên lượng'!X113</f>
        <v>1</v>
      </c>
      <c r="J401" s="139">
        <f t="shared" si="52"/>
        <v>5083.1971637333336</v>
      </c>
    </row>
    <row r="402" spans="1:10">
      <c r="A402" s="121"/>
      <c r="B402" s="122">
        <v>47</v>
      </c>
      <c r="C402" s="121" t="str">
        <f>'5.Tiên lượng'!C115</f>
        <v>AD.24132</v>
      </c>
      <c r="D402" s="121" t="str">
        <f>'5.Tiên lượng'!C115</f>
        <v>AD.24132</v>
      </c>
      <c r="E402" s="123" t="str">
        <f>'5.Tiên lượng'!D115</f>
        <v>Thi công mặt đường láng nhũ tương 03 lớp - Tiêu chuẩn nhựa 4,5kg/m2</v>
      </c>
      <c r="F402" s="122" t="str">
        <f>'5.Tiên lượng'!E115</f>
        <v>100m2</v>
      </c>
      <c r="G402" s="124"/>
      <c r="H402" s="125"/>
      <c r="I402" s="141"/>
      <c r="J402" s="142">
        <f>J403+J408+J410</f>
        <v>9539178.1444140896</v>
      </c>
    </row>
    <row r="403" spans="1:10">
      <c r="A403" s="126"/>
      <c r="B403" s="127"/>
      <c r="C403" s="128" t="s">
        <v>590</v>
      </c>
      <c r="D403" s="128" t="s">
        <v>590</v>
      </c>
      <c r="E403" s="129" t="s">
        <v>262</v>
      </c>
      <c r="F403" s="127" t="s">
        <v>263</v>
      </c>
      <c r="G403" s="130"/>
      <c r="H403" s="131"/>
      <c r="I403" s="143"/>
      <c r="J403" s="131">
        <f>SUM(J404:J407)</f>
        <v>7572500.995428551</v>
      </c>
    </row>
    <row r="404" spans="1:10">
      <c r="A404" s="67"/>
      <c r="B404" s="66"/>
      <c r="C404" s="132" t="s">
        <v>590</v>
      </c>
      <c r="D404" s="133" t="s">
        <v>648</v>
      </c>
      <c r="E404" s="102" t="str">
        <f>" - "&amp;'Giá VL'!E46</f>
        <v xml:space="preserve"> - Đá 4,75÷9,5 (mm)</v>
      </c>
      <c r="F404" s="66" t="str">
        <f>'Giá VL'!F46</f>
        <v>m3</v>
      </c>
      <c r="G404" s="134">
        <f>PTVT!G404</f>
        <v>0.67</v>
      </c>
      <c r="H404" s="135">
        <f>'Giá VL'!V46</f>
        <v>280458.0547558713</v>
      </c>
      <c r="I404" s="144">
        <f>'5.Tiên lượng'!V115</f>
        <v>1</v>
      </c>
      <c r="J404" s="135">
        <f t="shared" ref="J404:J407" si="53">PRODUCT(G404,H404,I404)</f>
        <v>187906.89668643379</v>
      </c>
    </row>
    <row r="405" spans="1:10">
      <c r="A405" s="67"/>
      <c r="B405" s="66"/>
      <c r="C405" s="132" t="s">
        <v>590</v>
      </c>
      <c r="D405" s="133" t="s">
        <v>649</v>
      </c>
      <c r="E405" s="102" t="str">
        <f>" - "&amp;'Giá VL'!E47</f>
        <v xml:space="preserve"> - Đá 9,5÷12,5 (mm)</v>
      </c>
      <c r="F405" s="66" t="str">
        <f>'Giá VL'!F47</f>
        <v>m3</v>
      </c>
      <c r="G405" s="134">
        <f>PTVT!G405</f>
        <v>1.21</v>
      </c>
      <c r="H405" s="135">
        <f>'Giá VL'!V47</f>
        <v>280458.0547558713</v>
      </c>
      <c r="I405" s="144">
        <f>'5.Tiên lượng'!V115</f>
        <v>1</v>
      </c>
      <c r="J405" s="135">
        <f t="shared" si="53"/>
        <v>339354.24625460425</v>
      </c>
    </row>
    <row r="406" spans="1:10">
      <c r="A406" s="67"/>
      <c r="B406" s="66"/>
      <c r="C406" s="132" t="s">
        <v>590</v>
      </c>
      <c r="D406" s="133" t="s">
        <v>650</v>
      </c>
      <c r="E406" s="102" t="str">
        <f>" - "&amp;'Giá VL'!E48</f>
        <v xml:space="preserve"> - Đá 12,5÷19 (mm)</v>
      </c>
      <c r="F406" s="66" t="str">
        <f>'Giá VL'!F48</f>
        <v>m3</v>
      </c>
      <c r="G406" s="134">
        <f>PTVT!G406</f>
        <v>2.0099999999999998</v>
      </c>
      <c r="H406" s="135">
        <f>'Giá VL'!V48</f>
        <v>280458.0547558713</v>
      </c>
      <c r="I406" s="144">
        <f>'5.Tiên lượng'!V115</f>
        <v>1</v>
      </c>
      <c r="J406" s="135">
        <f t="shared" si="53"/>
        <v>563720.69005930121</v>
      </c>
    </row>
    <row r="407" spans="1:10">
      <c r="A407" s="67"/>
      <c r="B407" s="66"/>
      <c r="C407" s="132" t="s">
        <v>590</v>
      </c>
      <c r="D407" s="133" t="s">
        <v>646</v>
      </c>
      <c r="E407" s="102" t="str">
        <f>" - "&amp;'Giá VL'!E32</f>
        <v xml:space="preserve"> - Nhựa nhũ tương gốc axít 60%</v>
      </c>
      <c r="F407" s="66" t="str">
        <f>'Giá VL'!F32</f>
        <v>kg</v>
      </c>
      <c r="G407" s="134">
        <f>PTVT!G407</f>
        <v>472.5</v>
      </c>
      <c r="H407" s="135">
        <f>'Giá VL'!V32</f>
        <v>13717.500872863939</v>
      </c>
      <c r="I407" s="144">
        <f>'5.Tiên lượng'!V115</f>
        <v>1</v>
      </c>
      <c r="J407" s="135">
        <f t="shared" si="53"/>
        <v>6481519.1624282114</v>
      </c>
    </row>
    <row r="408" spans="1:10">
      <c r="A408" s="126"/>
      <c r="B408" s="127"/>
      <c r="C408" s="128" t="s">
        <v>590</v>
      </c>
      <c r="D408" s="128" t="s">
        <v>590</v>
      </c>
      <c r="E408" s="129" t="s">
        <v>265</v>
      </c>
      <c r="F408" s="127" t="s">
        <v>266</v>
      </c>
      <c r="G408" s="130"/>
      <c r="H408" s="131"/>
      <c r="I408" s="143"/>
      <c r="J408" s="131">
        <f>SUM(J409:J409)</f>
        <v>1166400</v>
      </c>
    </row>
    <row r="409" spans="1:10">
      <c r="A409" s="67"/>
      <c r="B409" s="66"/>
      <c r="C409" s="132" t="s">
        <v>590</v>
      </c>
      <c r="D409" s="133" t="s">
        <v>622</v>
      </c>
      <c r="E409" s="102" t="str">
        <f>" - "&amp;'Giá NC'!E9</f>
        <v xml:space="preserve"> - Nhân công bậc 3,5/7 - Nhóm 2</v>
      </c>
      <c r="F409" s="66" t="str">
        <f>'Giá NC'!F9</f>
        <v>công</v>
      </c>
      <c r="G409" s="134">
        <f>PTVT!G409</f>
        <v>4.32</v>
      </c>
      <c r="H409" s="135">
        <f>'Giá NC'!K9</f>
        <v>270000</v>
      </c>
      <c r="I409" s="144">
        <f>'5.Tiên lượng'!W115</f>
        <v>1</v>
      </c>
      <c r="J409" s="135">
        <f>PRODUCT(G409,H409,I409)</f>
        <v>1166400</v>
      </c>
    </row>
    <row r="410" spans="1:10">
      <c r="A410" s="126"/>
      <c r="B410" s="127"/>
      <c r="C410" s="128" t="s">
        <v>590</v>
      </c>
      <c r="D410" s="128" t="s">
        <v>590</v>
      </c>
      <c r="E410" s="129" t="s">
        <v>267</v>
      </c>
      <c r="F410" s="127" t="s">
        <v>268</v>
      </c>
      <c r="G410" s="130"/>
      <c r="H410" s="131"/>
      <c r="I410" s="143"/>
      <c r="J410" s="131">
        <v>800277.14898553898</v>
      </c>
    </row>
    <row r="411" spans="1:10">
      <c r="A411" s="67"/>
      <c r="B411" s="66"/>
      <c r="C411" s="132" t="s">
        <v>590</v>
      </c>
      <c r="D411" s="133" t="s">
        <v>651</v>
      </c>
      <c r="E411" s="102" t="str">
        <f>" - "&amp;'Giá Máy'!E39</f>
        <v xml:space="preserve"> - Máy lu bánh thép tự hành 8,5T</v>
      </c>
      <c r="F411" s="66" t="str">
        <f>'Giá Máy'!F39</f>
        <v>ca</v>
      </c>
      <c r="G411" s="134">
        <f>PTVT!G411</f>
        <v>0.25800000000000001</v>
      </c>
      <c r="H411" s="135">
        <f>'Giá Máy'!O39</f>
        <v>1009475.96</v>
      </c>
      <c r="I411" s="144">
        <f>'5.Tiên lượng'!X115</f>
        <v>1</v>
      </c>
      <c r="J411" s="135">
        <f t="shared" ref="J411:J413" si="54">PRODUCT(G411,H411,I411)</f>
        <v>260444.79767999999</v>
      </c>
    </row>
    <row r="412" spans="1:10">
      <c r="A412" s="67"/>
      <c r="B412" s="66"/>
      <c r="C412" s="132" t="s">
        <v>590</v>
      </c>
      <c r="D412" s="133" t="s">
        <v>647</v>
      </c>
      <c r="E412" s="102" t="str">
        <f>" - "&amp;'Giá Máy'!E23</f>
        <v xml:space="preserve"> - Máy phun nhựa đường 190CV</v>
      </c>
      <c r="F412" s="66" t="str">
        <f>'Giá Máy'!F23</f>
        <v>ca</v>
      </c>
      <c r="G412" s="134">
        <f>PTVT!G412</f>
        <v>0.126</v>
      </c>
      <c r="H412" s="135">
        <f>'Giá Máy'!O23</f>
        <v>2958321.8666666662</v>
      </c>
      <c r="I412" s="144">
        <f>'5.Tiên lượng'!X115</f>
        <v>1</v>
      </c>
      <c r="J412" s="135">
        <f t="shared" si="54"/>
        <v>372748.55519999994</v>
      </c>
    </row>
    <row r="413" spans="1:10">
      <c r="A413" s="104"/>
      <c r="B413" s="105"/>
      <c r="C413" s="136" t="s">
        <v>590</v>
      </c>
      <c r="D413" s="137" t="s">
        <v>652</v>
      </c>
      <c r="E413" s="106" t="str">
        <f>" - "&amp;'Giá Máy'!E32</f>
        <v xml:space="preserve"> - Ô tô tự đổ 5T</v>
      </c>
      <c r="F413" s="105" t="str">
        <f>'Giá Máy'!F32</f>
        <v>ca</v>
      </c>
      <c r="G413" s="138">
        <f>PTVT!G413</f>
        <v>0.129</v>
      </c>
      <c r="H413" s="139">
        <f>'Giá Máy'!O32</f>
        <v>1457573.8784615383</v>
      </c>
      <c r="I413" s="145">
        <f>'5.Tiên lượng'!X115</f>
        <v>1</v>
      </c>
      <c r="J413" s="139">
        <f t="shared" si="54"/>
        <v>188027.03032153845</v>
      </c>
    </row>
    <row r="414" spans="1:10">
      <c r="A414" s="114"/>
      <c r="B414" s="115"/>
      <c r="C414" s="116" t="s">
        <v>339</v>
      </c>
      <c r="D414" s="117" t="s">
        <v>339</v>
      </c>
      <c r="E414" s="118" t="s">
        <v>454</v>
      </c>
      <c r="F414" s="115"/>
      <c r="G414" s="119"/>
      <c r="H414" s="120"/>
      <c r="I414" s="140"/>
      <c r="J414" s="120" t="s">
        <v>597</v>
      </c>
    </row>
    <row r="415" spans="1:10" ht="27.6">
      <c r="A415" s="121"/>
      <c r="B415" s="122">
        <v>48</v>
      </c>
      <c r="C415" s="121" t="str">
        <f>'5.Tiên lượng'!C118</f>
        <v>LS.11110(ĐM.1322)</v>
      </c>
      <c r="D415" s="121" t="str">
        <f>'5.Tiên lượng'!C118</f>
        <v>LS.11110(ĐM.1322)</v>
      </c>
      <c r="E415" s="123" t="str">
        <f>'5.Tiên lượng'!D118</f>
        <v>Cào bóc tái sinh nguội tại chỗ bằng máy cào bóc tái sinh WR2400 trên mặt đường láng nhựa, chiều dày 18cm (4% xi măng rải thủ công)</v>
      </c>
      <c r="F415" s="122" t="str">
        <f>'5.Tiên lượng'!E118</f>
        <v>100m3</v>
      </c>
      <c r="G415" s="124"/>
      <c r="H415" s="125"/>
      <c r="I415" s="141"/>
      <c r="J415" s="142">
        <f>J416+J421+J424</f>
        <v>37106679.534435421</v>
      </c>
    </row>
    <row r="416" spans="1:10">
      <c r="A416" s="126"/>
      <c r="B416" s="127"/>
      <c r="C416" s="128" t="s">
        <v>590</v>
      </c>
      <c r="D416" s="128" t="s">
        <v>590</v>
      </c>
      <c r="E416" s="129" t="s">
        <v>262</v>
      </c>
      <c r="F416" s="127" t="s">
        <v>263</v>
      </c>
      <c r="G416" s="130"/>
      <c r="H416" s="131"/>
      <c r="I416" s="143"/>
      <c r="J416" s="131">
        <f>SUM(J417:J420)</f>
        <v>19188881.861584913</v>
      </c>
    </row>
    <row r="417" spans="1:10">
      <c r="A417" s="67"/>
      <c r="B417" s="66"/>
      <c r="C417" s="132" t="s">
        <v>590</v>
      </c>
      <c r="D417" s="133" t="s">
        <v>614</v>
      </c>
      <c r="E417" s="102" t="str">
        <f>" - "&amp;'Giá VL'!E45</f>
        <v xml:space="preserve"> - Xi măng PCB40</v>
      </c>
      <c r="F417" s="66" t="str">
        <f>'Giá VL'!F45</f>
        <v>kg</v>
      </c>
      <c r="G417" s="134">
        <f>PTVT!G417</f>
        <v>8247</v>
      </c>
      <c r="H417" s="135">
        <f>'Giá VL'!V45</f>
        <v>1730</v>
      </c>
      <c r="I417" s="144">
        <f>'5.Tiên lượng'!V118</f>
        <v>0.9</v>
      </c>
      <c r="J417" s="135">
        <f t="shared" ref="J417:J420" si="55">PRODUCT(G417,H417,I417)</f>
        <v>12840579</v>
      </c>
    </row>
    <row r="418" spans="1:10">
      <c r="A418" s="67"/>
      <c r="B418" s="66"/>
      <c r="C418" s="132" t="s">
        <v>590</v>
      </c>
      <c r="D418" s="133" t="s">
        <v>617</v>
      </c>
      <c r="E418" s="102" t="str">
        <f>" - "&amp;'Giá VL'!E33</f>
        <v xml:space="preserve"> - Nước</v>
      </c>
      <c r="F418" s="66" t="str">
        <f>'Giá VL'!F33</f>
        <v>lít</v>
      </c>
      <c r="G418" s="134">
        <f>PTVT!G418</f>
        <v>12918</v>
      </c>
      <c r="H418" s="135">
        <f>'Giá VL'!V33</f>
        <v>15</v>
      </c>
      <c r="I418" s="144">
        <f>'5.Tiên lượng'!V118</f>
        <v>0.9</v>
      </c>
      <c r="J418" s="135">
        <f t="shared" si="55"/>
        <v>174393</v>
      </c>
    </row>
    <row r="419" spans="1:10">
      <c r="A419" s="67"/>
      <c r="B419" s="66"/>
      <c r="C419" s="132" t="s">
        <v>590</v>
      </c>
      <c r="D419" s="133" t="s">
        <v>639</v>
      </c>
      <c r="E419" s="102" t="str">
        <f>" - "&amp;'Giá VL'!E36</f>
        <v xml:space="preserve"> - Phụ gia chống trương nở đất TS</v>
      </c>
      <c r="F419" s="66" t="str">
        <f>'Giá VL'!F36</f>
        <v>kg</v>
      </c>
      <c r="G419" s="134">
        <f>PTVT!G419</f>
        <v>280</v>
      </c>
      <c r="H419" s="135">
        <f>'Giá VL'!V36</f>
        <v>23745.717985167823</v>
      </c>
      <c r="I419" s="144">
        <f>'5.Tiên lượng'!V118</f>
        <v>0.9</v>
      </c>
      <c r="J419" s="135">
        <f t="shared" si="55"/>
        <v>5983920.9322622912</v>
      </c>
    </row>
    <row r="420" spans="1:10">
      <c r="A420" s="67"/>
      <c r="B420" s="66"/>
      <c r="C420" s="132" t="s">
        <v>590</v>
      </c>
      <c r="D420" s="133" t="s">
        <v>620</v>
      </c>
      <c r="E420" s="102" t="s">
        <v>621</v>
      </c>
      <c r="F420" s="66" t="s">
        <v>37</v>
      </c>
      <c r="G420" s="134">
        <f>PTVT!G420</f>
        <v>1</v>
      </c>
      <c r="H420" s="135">
        <f>(G417*H417+G418*H418+G419*H419)/100</f>
        <v>211098.8103584699</v>
      </c>
      <c r="I420" s="144">
        <f>'5.Tiên lượng'!V118</f>
        <v>0.9</v>
      </c>
      <c r="J420" s="135">
        <f t="shared" si="55"/>
        <v>189988.92932262292</v>
      </c>
    </row>
    <row r="421" spans="1:10">
      <c r="A421" s="126"/>
      <c r="B421" s="127"/>
      <c r="C421" s="128" t="s">
        <v>590</v>
      </c>
      <c r="D421" s="128" t="s">
        <v>590</v>
      </c>
      <c r="E421" s="129" t="s">
        <v>265</v>
      </c>
      <c r="F421" s="127" t="s">
        <v>266</v>
      </c>
      <c r="G421" s="130"/>
      <c r="H421" s="131"/>
      <c r="I421" s="143"/>
      <c r="J421" s="131">
        <f>SUM(J422:J423)</f>
        <v>2466402.8760000002</v>
      </c>
    </row>
    <row r="422" spans="1:10">
      <c r="A422" s="67"/>
      <c r="B422" s="66"/>
      <c r="C422" s="132" t="s">
        <v>590</v>
      </c>
      <c r="D422" s="133" t="s">
        <v>629</v>
      </c>
      <c r="E422" s="102" t="str">
        <f>" - "&amp;'Giá NC'!E10</f>
        <v xml:space="preserve"> - Nhân công bậc 4,0/7 - Nhóm 2</v>
      </c>
      <c r="F422" s="66" t="str">
        <f>'Giá NC'!F10</f>
        <v>công</v>
      </c>
      <c r="G422" s="134">
        <f>PTVT!G422</f>
        <v>4.67</v>
      </c>
      <c r="H422" s="135">
        <f>'Giá NC'!K10</f>
        <v>293092</v>
      </c>
      <c r="I422" s="144">
        <f>'5.Tiên lượng'!W118</f>
        <v>0.9</v>
      </c>
      <c r="J422" s="135">
        <f t="shared" ref="J422:J423" si="56">PRODUCT(G422,H422,I422)</f>
        <v>1231865.676</v>
      </c>
    </row>
    <row r="423" spans="1:10">
      <c r="A423" s="67"/>
      <c r="B423" s="66"/>
      <c r="C423" s="132" t="s">
        <v>590</v>
      </c>
      <c r="D423" s="133" t="s">
        <v>598</v>
      </c>
      <c r="E423" s="102" t="str">
        <f>" - "&amp;'Giá NC'!E5</f>
        <v xml:space="preserve"> - Nhân công bậc 3,0/7 - Nhóm 1</v>
      </c>
      <c r="F423" s="66" t="str">
        <f>'Giá NC'!F5</f>
        <v>công</v>
      </c>
      <c r="G423" s="134">
        <f>PTVT!G423</f>
        <v>6</v>
      </c>
      <c r="H423" s="135">
        <f>'Giá NC'!K5</f>
        <v>228618</v>
      </c>
      <c r="I423" s="144">
        <f>'5.Tiên lượng'!W118</f>
        <v>0.9</v>
      </c>
      <c r="J423" s="135">
        <f t="shared" si="56"/>
        <v>1234537.2</v>
      </c>
    </row>
    <row r="424" spans="1:10">
      <c r="A424" s="126"/>
      <c r="B424" s="127"/>
      <c r="C424" s="128" t="s">
        <v>590</v>
      </c>
      <c r="D424" s="128" t="s">
        <v>590</v>
      </c>
      <c r="E424" s="129" t="s">
        <v>267</v>
      </c>
      <c r="F424" s="127" t="s">
        <v>268</v>
      </c>
      <c r="G424" s="130"/>
      <c r="H424" s="131"/>
      <c r="I424" s="143"/>
      <c r="J424" s="131">
        <f>SUM(J425:J433)</f>
        <v>15451394.796850514</v>
      </c>
    </row>
    <row r="425" spans="1:10">
      <c r="A425" s="67"/>
      <c r="B425" s="66"/>
      <c r="C425" s="132" t="s">
        <v>590</v>
      </c>
      <c r="D425" s="133" t="s">
        <v>640</v>
      </c>
      <c r="E425" s="102" t="str">
        <f>" - "&amp;'Giá Máy'!E35</f>
        <v xml:space="preserve"> - Máy cào bóc tái sinh Wirtgen 2400</v>
      </c>
      <c r="F425" s="66" t="str">
        <f>'Giá Máy'!F35</f>
        <v>ca</v>
      </c>
      <c r="G425" s="134">
        <f>PTVT!G425</f>
        <v>0.32400000000000001</v>
      </c>
      <c r="H425" s="135">
        <f>'Giá Máy'!O35</f>
        <v>40942317.600000001</v>
      </c>
      <c r="I425" s="144">
        <f>'5.Tiên lượng'!X118</f>
        <v>0.9</v>
      </c>
      <c r="J425" s="135">
        <f t="shared" ref="J425:J433" si="57">PRODUCT(G425,H425,I425)</f>
        <v>11938779.81216</v>
      </c>
    </row>
    <row r="426" spans="1:10">
      <c r="A426" s="67"/>
      <c r="B426" s="66"/>
      <c r="C426" s="132" t="s">
        <v>590</v>
      </c>
      <c r="D426" s="133" t="s">
        <v>641</v>
      </c>
      <c r="E426" s="102" t="str">
        <f>" - "&amp;'Giá Máy'!E43</f>
        <v xml:space="preserve"> - Máy rải xi măng SW16TC (16m3)</v>
      </c>
      <c r="F426" s="66" t="str">
        <f>'Giá Máy'!F43</f>
        <v>ca</v>
      </c>
      <c r="G426" s="134">
        <f>PTVT!G426</f>
        <v>0</v>
      </c>
      <c r="H426" s="135">
        <f>'Giá Máy'!O43</f>
        <v>10312616.668888887</v>
      </c>
      <c r="I426" s="144">
        <f>'5.Tiên lượng'!X118</f>
        <v>0.9</v>
      </c>
      <c r="J426" s="135">
        <f t="shared" si="57"/>
        <v>0</v>
      </c>
    </row>
    <row r="427" spans="1:10">
      <c r="A427" s="67"/>
      <c r="B427" s="66"/>
      <c r="C427" s="132" t="s">
        <v>590</v>
      </c>
      <c r="D427" s="133" t="s">
        <v>642</v>
      </c>
      <c r="E427" s="102" t="str">
        <f>" - "&amp;'Giá Máy'!E40</f>
        <v xml:space="preserve"> - Ô tô tưới nước 10m3</v>
      </c>
      <c r="F427" s="66" t="str">
        <f>'Giá Máy'!F40</f>
        <v>ca</v>
      </c>
      <c r="G427" s="134">
        <f>PTVT!G427</f>
        <v>0.63200000000000001</v>
      </c>
      <c r="H427" s="135">
        <f>'Giá Máy'!O40</f>
        <v>1491813.8923076922</v>
      </c>
      <c r="I427" s="144">
        <f>'5.Tiên lượng'!X118</f>
        <v>0.9</v>
      </c>
      <c r="J427" s="135">
        <f t="shared" si="57"/>
        <v>848543.74194461538</v>
      </c>
    </row>
    <row r="428" spans="1:10">
      <c r="A428" s="67"/>
      <c r="B428" s="66"/>
      <c r="C428" s="132" t="s">
        <v>590</v>
      </c>
      <c r="D428" s="133" t="s">
        <v>643</v>
      </c>
      <c r="E428" s="102" t="str">
        <f>" - "&amp;'Giá Máy'!E36</f>
        <v xml:space="preserve"> - Máy lu rung chân cừu 12T</v>
      </c>
      <c r="F428" s="66" t="str">
        <f>'Giá Máy'!F36</f>
        <v>ca</v>
      </c>
      <c r="G428" s="134">
        <f>PTVT!G428</f>
        <v>0.46600000000000003</v>
      </c>
      <c r="H428" s="135">
        <f>'Giá Máy'!O36</f>
        <v>1686285.1748148147</v>
      </c>
      <c r="I428" s="144">
        <f>'5.Tiên lượng'!X118</f>
        <v>0.9</v>
      </c>
      <c r="J428" s="135">
        <f t="shared" si="57"/>
        <v>707228.00231733336</v>
      </c>
    </row>
    <row r="429" spans="1:10">
      <c r="A429" s="67"/>
      <c r="B429" s="66"/>
      <c r="C429" s="132" t="s">
        <v>590</v>
      </c>
      <c r="D429" s="133" t="s">
        <v>644</v>
      </c>
      <c r="E429" s="102" t="str">
        <f>" - "&amp;'Giá Máy'!E44</f>
        <v xml:space="preserve"> - Máy lu bánh thép tự hành 12T</v>
      </c>
      <c r="F429" s="66" t="str">
        <f>'Giá Máy'!F44</f>
        <v>ca</v>
      </c>
      <c r="G429" s="134">
        <f>PTVT!G429</f>
        <v>0.46100000000000002</v>
      </c>
      <c r="H429" s="135">
        <f>'Giá Máy'!O44</f>
        <v>1270296.9466666668</v>
      </c>
      <c r="I429" s="144">
        <f>'5.Tiên lượng'!X118</f>
        <v>0.9</v>
      </c>
      <c r="J429" s="135">
        <f t="shared" si="57"/>
        <v>527046.20317200013</v>
      </c>
    </row>
    <row r="430" spans="1:10">
      <c r="A430" s="67"/>
      <c r="B430" s="66"/>
      <c r="C430" s="132" t="s">
        <v>590</v>
      </c>
      <c r="D430" s="133" t="s">
        <v>609</v>
      </c>
      <c r="E430" s="102" t="str">
        <f>" - "&amp;'Giá Máy'!E17</f>
        <v xml:space="preserve"> - Máy lu bánh thép 10T</v>
      </c>
      <c r="F430" s="66" t="str">
        <f>'Giá Máy'!F17</f>
        <v>ca</v>
      </c>
      <c r="G430" s="134">
        <f>PTVT!G430</f>
        <v>0.35699999999999998</v>
      </c>
      <c r="H430" s="135">
        <f>'Giá Máy'!O17</f>
        <v>1132157.2474074075</v>
      </c>
      <c r="I430" s="144">
        <f>'5.Tiên lượng'!X118</f>
        <v>0.9</v>
      </c>
      <c r="J430" s="135">
        <f t="shared" si="57"/>
        <v>363762.12359200005</v>
      </c>
    </row>
    <row r="431" spans="1:10">
      <c r="A431" s="67"/>
      <c r="B431" s="66"/>
      <c r="C431" s="132" t="s">
        <v>590</v>
      </c>
      <c r="D431" s="133" t="s">
        <v>608</v>
      </c>
      <c r="E431" s="102" t="str">
        <f>" - "&amp;'Giá Máy'!E38</f>
        <v xml:space="preserve"> - Máy lu bánh hơi tự hành 16T</v>
      </c>
      <c r="F431" s="66" t="str">
        <f>'Giá Máy'!F38</f>
        <v>ca</v>
      </c>
      <c r="G431" s="134">
        <f>PTVT!G431</f>
        <v>0.47399999999999998</v>
      </c>
      <c r="H431" s="135">
        <f>'Giá Máy'!O38</f>
        <v>1553246.5422222223</v>
      </c>
      <c r="I431" s="144">
        <f>'5.Tiên lượng'!X118</f>
        <v>0.9</v>
      </c>
      <c r="J431" s="135">
        <f t="shared" si="57"/>
        <v>662614.97491200001</v>
      </c>
    </row>
    <row r="432" spans="1:10">
      <c r="A432" s="67"/>
      <c r="B432" s="66"/>
      <c r="C432" s="132" t="s">
        <v>590</v>
      </c>
      <c r="D432" s="133" t="s">
        <v>645</v>
      </c>
      <c r="E432" s="102" t="str">
        <f>" - "&amp;'Giá Máy'!E26</f>
        <v xml:space="preserve"> - Máy san 110CV</v>
      </c>
      <c r="F432" s="66" t="str">
        <f>'Giá Máy'!F26</f>
        <v>ca</v>
      </c>
      <c r="G432" s="134">
        <f>PTVT!G432</f>
        <v>0.16300000000000001</v>
      </c>
      <c r="H432" s="135">
        <f>'Giá Máy'!O26</f>
        <v>1989485.4904347826</v>
      </c>
      <c r="I432" s="144">
        <f>'5.Tiên lượng'!X118</f>
        <v>0.9</v>
      </c>
      <c r="J432" s="135">
        <f t="shared" si="57"/>
        <v>291857.52144678263</v>
      </c>
    </row>
    <row r="433" spans="1:10">
      <c r="A433" s="104"/>
      <c r="B433" s="105"/>
      <c r="C433" s="136" t="s">
        <v>590</v>
      </c>
      <c r="D433" s="137" t="s">
        <v>611</v>
      </c>
      <c r="E433" s="106" t="s">
        <v>612</v>
      </c>
      <c r="F433" s="105" t="s">
        <v>37</v>
      </c>
      <c r="G433" s="138">
        <f>PTVT!G433</f>
        <v>0.72727272727272685</v>
      </c>
      <c r="H433" s="139">
        <f>(G425*H425+G426*H426+G427*H427+G428*H428+G429*H429+G430*H430+G431*H431+G432*H432)/100</f>
        <v>170442.58199494146</v>
      </c>
      <c r="I433" s="145">
        <f>'5.Tiên lượng'!X118</f>
        <v>0.9</v>
      </c>
      <c r="J433" s="139">
        <f t="shared" si="57"/>
        <v>111562.41730577979</v>
      </c>
    </row>
    <row r="434" spans="1:10">
      <c r="A434" s="121"/>
      <c r="B434" s="122">
        <v>49</v>
      </c>
      <c r="C434" s="121" t="str">
        <f>'5.Tiên lượng'!C120</f>
        <v>AD.24223</v>
      </c>
      <c r="D434" s="121" t="str">
        <f>'5.Tiên lượng'!C120</f>
        <v>AD.24223</v>
      </c>
      <c r="E434" s="123" t="str">
        <f>'5.Tiên lượng'!D120</f>
        <v>Tưới lớp dính bám mặt đường, nhũ tương CSS1, lượng nhũ tương 1kg/m2</v>
      </c>
      <c r="F434" s="122" t="str">
        <f>'5.Tiên lượng'!E120</f>
        <v>100m2</v>
      </c>
      <c r="G434" s="124"/>
      <c r="H434" s="125"/>
      <c r="I434" s="141"/>
      <c r="J434" s="142">
        <f>J435+J437+J439</f>
        <v>1727386.8948189537</v>
      </c>
    </row>
    <row r="435" spans="1:10">
      <c r="A435" s="126"/>
      <c r="B435" s="127"/>
      <c r="C435" s="128" t="s">
        <v>590</v>
      </c>
      <c r="D435" s="128" t="s">
        <v>590</v>
      </c>
      <c r="E435" s="129" t="s">
        <v>262</v>
      </c>
      <c r="F435" s="127" t="s">
        <v>263</v>
      </c>
      <c r="G435" s="130"/>
      <c r="H435" s="131"/>
      <c r="I435" s="143"/>
      <c r="J435" s="131">
        <f>SUM(J436:J436)</f>
        <v>1406043.8394685537</v>
      </c>
    </row>
    <row r="436" spans="1:10">
      <c r="A436" s="67"/>
      <c r="B436" s="66"/>
      <c r="C436" s="132" t="s">
        <v>590</v>
      </c>
      <c r="D436" s="133" t="s">
        <v>646</v>
      </c>
      <c r="E436" s="102" t="str">
        <f>" - "&amp;'Giá VL'!E32</f>
        <v xml:space="preserve"> - Nhựa nhũ tương gốc axít 60%</v>
      </c>
      <c r="F436" s="66" t="str">
        <f>'Giá VL'!F32</f>
        <v>kg</v>
      </c>
      <c r="G436" s="134">
        <f>PTVT!G436</f>
        <v>102.5</v>
      </c>
      <c r="H436" s="135">
        <f>'Giá VL'!V32</f>
        <v>13717.500872863939</v>
      </c>
      <c r="I436" s="144">
        <f>'5.Tiên lượng'!V120</f>
        <v>1</v>
      </c>
      <c r="J436" s="135">
        <f>PRODUCT(G436,H436,I436)</f>
        <v>1406043.8394685537</v>
      </c>
    </row>
    <row r="437" spans="1:10">
      <c r="A437" s="126"/>
      <c r="B437" s="127"/>
      <c r="C437" s="128" t="s">
        <v>590</v>
      </c>
      <c r="D437" s="128" t="s">
        <v>590</v>
      </c>
      <c r="E437" s="129" t="s">
        <v>265</v>
      </c>
      <c r="F437" s="127" t="s">
        <v>266</v>
      </c>
      <c r="G437" s="130"/>
      <c r="H437" s="131"/>
      <c r="I437" s="143"/>
      <c r="J437" s="131">
        <f>SUM(J438:J438)</f>
        <v>62100</v>
      </c>
    </row>
    <row r="438" spans="1:10">
      <c r="A438" s="67"/>
      <c r="B438" s="66"/>
      <c r="C438" s="132" t="s">
        <v>590</v>
      </c>
      <c r="D438" s="133" t="s">
        <v>622</v>
      </c>
      <c r="E438" s="102" t="str">
        <f>" - "&amp;'Giá NC'!E9</f>
        <v xml:space="preserve"> - Nhân công bậc 3,5/7 - Nhóm 2</v>
      </c>
      <c r="F438" s="66" t="str">
        <f>'Giá NC'!F9</f>
        <v>công</v>
      </c>
      <c r="G438" s="134">
        <f>PTVT!G438</f>
        <v>0.23</v>
      </c>
      <c r="H438" s="135">
        <f>'Giá NC'!K9</f>
        <v>270000</v>
      </c>
      <c r="I438" s="144">
        <f>'5.Tiên lượng'!W120</f>
        <v>1</v>
      </c>
      <c r="J438" s="135">
        <f>PRODUCT(G438,H438,I438)</f>
        <v>62100</v>
      </c>
    </row>
    <row r="439" spans="1:10">
      <c r="A439" s="126"/>
      <c r="B439" s="127"/>
      <c r="C439" s="128" t="s">
        <v>590</v>
      </c>
      <c r="D439" s="128" t="s">
        <v>590</v>
      </c>
      <c r="E439" s="129" t="s">
        <v>267</v>
      </c>
      <c r="F439" s="127" t="s">
        <v>268</v>
      </c>
      <c r="G439" s="130"/>
      <c r="H439" s="131"/>
      <c r="I439" s="143"/>
      <c r="J439" s="131">
        <f>SUM(J440:J442)</f>
        <v>259243.05535040001</v>
      </c>
    </row>
    <row r="440" spans="1:10">
      <c r="A440" s="67"/>
      <c r="B440" s="66"/>
      <c r="C440" s="132" t="s">
        <v>590</v>
      </c>
      <c r="D440" s="133" t="s">
        <v>647</v>
      </c>
      <c r="E440" s="102" t="str">
        <f>" - "&amp;'Giá Máy'!E23</f>
        <v xml:space="preserve"> - Máy phun nhựa đường 190CV</v>
      </c>
      <c r="F440" s="66" t="str">
        <f>'Giá Máy'!F23</f>
        <v>ca</v>
      </c>
      <c r="G440" s="134">
        <f>PTVT!G440</f>
        <v>6.8000000000000005E-2</v>
      </c>
      <c r="H440" s="135">
        <f>'Giá Máy'!O23</f>
        <v>2958321.8666666662</v>
      </c>
      <c r="I440" s="144">
        <f>'5.Tiên lượng'!X120</f>
        <v>1</v>
      </c>
      <c r="J440" s="135">
        <f t="shared" ref="J440:J442" si="58">PRODUCT(G440,H440,I440)</f>
        <v>201165.88693333333</v>
      </c>
    </row>
    <row r="441" spans="1:10">
      <c r="A441" s="67"/>
      <c r="B441" s="66"/>
      <c r="C441" s="132" t="s">
        <v>590</v>
      </c>
      <c r="D441" s="133" t="s">
        <v>634</v>
      </c>
      <c r="E441" s="102" t="str">
        <f>" - "&amp;'Giá Máy'!E22</f>
        <v xml:space="preserve"> - Máy nén khí diezel 600m3/h</v>
      </c>
      <c r="F441" s="66" t="str">
        <f>'Giá Máy'!F22</f>
        <v>ca</v>
      </c>
      <c r="G441" s="134">
        <f>PTVT!G441</f>
        <v>3.4000000000000002E-2</v>
      </c>
      <c r="H441" s="135">
        <f>'Giá Máy'!O22</f>
        <v>1558646.2133333334</v>
      </c>
      <c r="I441" s="144">
        <f>'5.Tiên lượng'!X120</f>
        <v>1</v>
      </c>
      <c r="J441" s="135">
        <f t="shared" si="58"/>
        <v>52993.971253333337</v>
      </c>
    </row>
    <row r="442" spans="1:10">
      <c r="A442" s="104"/>
      <c r="B442" s="105"/>
      <c r="C442" s="136" t="s">
        <v>590</v>
      </c>
      <c r="D442" s="137" t="s">
        <v>611</v>
      </c>
      <c r="E442" s="106" t="s">
        <v>612</v>
      </c>
      <c r="F442" s="105" t="s">
        <v>37</v>
      </c>
      <c r="G442" s="138">
        <f>PTVT!G442</f>
        <v>2</v>
      </c>
      <c r="H442" s="139">
        <f>(G440*H440+G441*H441)/100</f>
        <v>2541.5985818666668</v>
      </c>
      <c r="I442" s="145">
        <f>'5.Tiên lượng'!X120</f>
        <v>1</v>
      </c>
      <c r="J442" s="139">
        <f t="shared" si="58"/>
        <v>5083.1971637333336</v>
      </c>
    </row>
    <row r="443" spans="1:10">
      <c r="A443" s="121"/>
      <c r="B443" s="122">
        <v>50</v>
      </c>
      <c r="C443" s="121" t="str">
        <f>'5.Tiên lượng'!C122</f>
        <v>AD.24132</v>
      </c>
      <c r="D443" s="121" t="str">
        <f>'5.Tiên lượng'!C122</f>
        <v>AD.24132</v>
      </c>
      <c r="E443" s="123" t="str">
        <f>'5.Tiên lượng'!D122</f>
        <v>Thi công mặt đường láng nhũ tương 03 lớp - Tiêu chuẩn nhựa 4,5kg/m2</v>
      </c>
      <c r="F443" s="122" t="str">
        <f>'5.Tiên lượng'!E122</f>
        <v>100m2</v>
      </c>
      <c r="G443" s="124"/>
      <c r="H443" s="125"/>
      <c r="I443" s="141"/>
      <c r="J443" s="142">
        <f>J444+J449+J451</f>
        <v>9539178.1444140896</v>
      </c>
    </row>
    <row r="444" spans="1:10">
      <c r="A444" s="126"/>
      <c r="B444" s="127"/>
      <c r="C444" s="128" t="s">
        <v>590</v>
      </c>
      <c r="D444" s="128" t="s">
        <v>590</v>
      </c>
      <c r="E444" s="129" t="s">
        <v>262</v>
      </c>
      <c r="F444" s="127" t="s">
        <v>263</v>
      </c>
      <c r="G444" s="130"/>
      <c r="H444" s="131"/>
      <c r="I444" s="143"/>
      <c r="J444" s="131">
        <f>SUM(J445:J448)</f>
        <v>7572500.995428551</v>
      </c>
    </row>
    <row r="445" spans="1:10">
      <c r="A445" s="67"/>
      <c r="B445" s="66"/>
      <c r="C445" s="132" t="s">
        <v>590</v>
      </c>
      <c r="D445" s="133" t="s">
        <v>648</v>
      </c>
      <c r="E445" s="102" t="str">
        <f>" - "&amp;'Giá VL'!E46</f>
        <v xml:space="preserve"> - Đá 4,75÷9,5 (mm)</v>
      </c>
      <c r="F445" s="66" t="str">
        <f>'Giá VL'!F46</f>
        <v>m3</v>
      </c>
      <c r="G445" s="134">
        <f>PTVT!G445</f>
        <v>0.67</v>
      </c>
      <c r="H445" s="135">
        <f>'Giá VL'!V46</f>
        <v>280458.0547558713</v>
      </c>
      <c r="I445" s="144">
        <f>'5.Tiên lượng'!V122</f>
        <v>1</v>
      </c>
      <c r="J445" s="135">
        <f t="shared" ref="J445:J448" si="59">PRODUCT(G445,H445,I445)</f>
        <v>187906.89668643379</v>
      </c>
    </row>
    <row r="446" spans="1:10">
      <c r="A446" s="67"/>
      <c r="B446" s="66"/>
      <c r="C446" s="132" t="s">
        <v>590</v>
      </c>
      <c r="D446" s="133" t="s">
        <v>649</v>
      </c>
      <c r="E446" s="102" t="str">
        <f>" - "&amp;'Giá VL'!E47</f>
        <v xml:space="preserve"> - Đá 9,5÷12,5 (mm)</v>
      </c>
      <c r="F446" s="66" t="str">
        <f>'Giá VL'!F47</f>
        <v>m3</v>
      </c>
      <c r="G446" s="134">
        <f>PTVT!G446</f>
        <v>1.21</v>
      </c>
      <c r="H446" s="135">
        <f>'Giá VL'!V47</f>
        <v>280458.0547558713</v>
      </c>
      <c r="I446" s="144">
        <f>'5.Tiên lượng'!V122</f>
        <v>1</v>
      </c>
      <c r="J446" s="135">
        <f t="shared" si="59"/>
        <v>339354.24625460425</v>
      </c>
    </row>
    <row r="447" spans="1:10">
      <c r="A447" s="67"/>
      <c r="B447" s="66"/>
      <c r="C447" s="132" t="s">
        <v>590</v>
      </c>
      <c r="D447" s="133" t="s">
        <v>650</v>
      </c>
      <c r="E447" s="102" t="str">
        <f>" - "&amp;'Giá VL'!E48</f>
        <v xml:space="preserve"> - Đá 12,5÷19 (mm)</v>
      </c>
      <c r="F447" s="66" t="str">
        <f>'Giá VL'!F48</f>
        <v>m3</v>
      </c>
      <c r="G447" s="134">
        <f>PTVT!G447</f>
        <v>2.0099999999999998</v>
      </c>
      <c r="H447" s="135">
        <f>'Giá VL'!V48</f>
        <v>280458.0547558713</v>
      </c>
      <c r="I447" s="144">
        <f>'5.Tiên lượng'!V122</f>
        <v>1</v>
      </c>
      <c r="J447" s="135">
        <f t="shared" si="59"/>
        <v>563720.69005930121</v>
      </c>
    </row>
    <row r="448" spans="1:10">
      <c r="A448" s="67"/>
      <c r="B448" s="66"/>
      <c r="C448" s="132" t="s">
        <v>590</v>
      </c>
      <c r="D448" s="133" t="s">
        <v>646</v>
      </c>
      <c r="E448" s="102" t="str">
        <f>" - "&amp;'Giá VL'!E32</f>
        <v xml:space="preserve"> - Nhựa nhũ tương gốc axít 60%</v>
      </c>
      <c r="F448" s="66" t="str">
        <f>'Giá VL'!F32</f>
        <v>kg</v>
      </c>
      <c r="G448" s="134">
        <f>PTVT!G448</f>
        <v>472.5</v>
      </c>
      <c r="H448" s="135">
        <f>'Giá VL'!V32</f>
        <v>13717.500872863939</v>
      </c>
      <c r="I448" s="144">
        <f>'5.Tiên lượng'!V122</f>
        <v>1</v>
      </c>
      <c r="J448" s="135">
        <f t="shared" si="59"/>
        <v>6481519.1624282114</v>
      </c>
    </row>
    <row r="449" spans="1:10">
      <c r="A449" s="126"/>
      <c r="B449" s="127"/>
      <c r="C449" s="128" t="s">
        <v>590</v>
      </c>
      <c r="D449" s="128" t="s">
        <v>590</v>
      </c>
      <c r="E449" s="129" t="s">
        <v>265</v>
      </c>
      <c r="F449" s="127" t="s">
        <v>266</v>
      </c>
      <c r="G449" s="130"/>
      <c r="H449" s="131"/>
      <c r="I449" s="143"/>
      <c r="J449" s="131">
        <f>SUM(J450:J450)</f>
        <v>1166400</v>
      </c>
    </row>
    <row r="450" spans="1:10">
      <c r="A450" s="67"/>
      <c r="B450" s="66"/>
      <c r="C450" s="132" t="s">
        <v>590</v>
      </c>
      <c r="D450" s="133" t="s">
        <v>622</v>
      </c>
      <c r="E450" s="102" t="str">
        <f>" - "&amp;'Giá NC'!E9</f>
        <v xml:space="preserve"> - Nhân công bậc 3,5/7 - Nhóm 2</v>
      </c>
      <c r="F450" s="66" t="str">
        <f>'Giá NC'!F9</f>
        <v>công</v>
      </c>
      <c r="G450" s="134">
        <f>PTVT!G450</f>
        <v>4.32</v>
      </c>
      <c r="H450" s="135">
        <f>'Giá NC'!K9</f>
        <v>270000</v>
      </c>
      <c r="I450" s="144">
        <f>'5.Tiên lượng'!W122</f>
        <v>1</v>
      </c>
      <c r="J450" s="135">
        <f>PRODUCT(G450,H450,I450)</f>
        <v>1166400</v>
      </c>
    </row>
    <row r="451" spans="1:10">
      <c r="A451" s="126"/>
      <c r="B451" s="127"/>
      <c r="C451" s="128" t="s">
        <v>590</v>
      </c>
      <c r="D451" s="128" t="s">
        <v>590</v>
      </c>
      <c r="E451" s="129" t="s">
        <v>267</v>
      </c>
      <c r="F451" s="127" t="s">
        <v>268</v>
      </c>
      <c r="G451" s="130"/>
      <c r="H451" s="131"/>
      <c r="I451" s="143"/>
      <c r="J451" s="131">
        <v>800277.14898553898</v>
      </c>
    </row>
    <row r="452" spans="1:10">
      <c r="A452" s="67"/>
      <c r="B452" s="66"/>
      <c r="C452" s="132" t="s">
        <v>590</v>
      </c>
      <c r="D452" s="133" t="s">
        <v>651</v>
      </c>
      <c r="E452" s="102" t="str">
        <f>" - "&amp;'Giá Máy'!E39</f>
        <v xml:space="preserve"> - Máy lu bánh thép tự hành 8,5T</v>
      </c>
      <c r="F452" s="66" t="str">
        <f>'Giá Máy'!F39</f>
        <v>ca</v>
      </c>
      <c r="G452" s="134">
        <f>PTVT!G452</f>
        <v>0.25800000000000001</v>
      </c>
      <c r="H452" s="135">
        <f>'Giá Máy'!O39</f>
        <v>1009475.96</v>
      </c>
      <c r="I452" s="144">
        <f>'5.Tiên lượng'!X122</f>
        <v>1</v>
      </c>
      <c r="J452" s="135">
        <f t="shared" ref="J452:J454" si="60">PRODUCT(G452,H452,I452)</f>
        <v>260444.79767999999</v>
      </c>
    </row>
    <row r="453" spans="1:10">
      <c r="A453" s="67"/>
      <c r="B453" s="66"/>
      <c r="C453" s="132" t="s">
        <v>590</v>
      </c>
      <c r="D453" s="133" t="s">
        <v>647</v>
      </c>
      <c r="E453" s="102" t="str">
        <f>" - "&amp;'Giá Máy'!E23</f>
        <v xml:space="preserve"> - Máy phun nhựa đường 190CV</v>
      </c>
      <c r="F453" s="66" t="str">
        <f>'Giá Máy'!F23</f>
        <v>ca</v>
      </c>
      <c r="G453" s="134">
        <f>PTVT!G453</f>
        <v>0.126</v>
      </c>
      <c r="H453" s="135">
        <f>'Giá Máy'!O23</f>
        <v>2958321.8666666662</v>
      </c>
      <c r="I453" s="144">
        <f>'5.Tiên lượng'!X122</f>
        <v>1</v>
      </c>
      <c r="J453" s="135">
        <f t="shared" si="60"/>
        <v>372748.55519999994</v>
      </c>
    </row>
    <row r="454" spans="1:10">
      <c r="A454" s="104"/>
      <c r="B454" s="105"/>
      <c r="C454" s="136" t="s">
        <v>590</v>
      </c>
      <c r="D454" s="137" t="s">
        <v>652</v>
      </c>
      <c r="E454" s="106" t="str">
        <f>" - "&amp;'Giá Máy'!E32</f>
        <v xml:space="preserve"> - Ô tô tự đổ 5T</v>
      </c>
      <c r="F454" s="105" t="str">
        <f>'Giá Máy'!F32</f>
        <v>ca</v>
      </c>
      <c r="G454" s="138">
        <f>PTVT!G454</f>
        <v>0.129</v>
      </c>
      <c r="H454" s="139">
        <f>'Giá Máy'!O32</f>
        <v>1457573.8784615383</v>
      </c>
      <c r="I454" s="145">
        <f>'5.Tiên lượng'!X122</f>
        <v>1</v>
      </c>
      <c r="J454" s="139">
        <f t="shared" si="60"/>
        <v>188027.03032153845</v>
      </c>
    </row>
    <row r="455" spans="1:10">
      <c r="A455" s="114"/>
      <c r="B455" s="115"/>
      <c r="C455" s="116" t="s">
        <v>339</v>
      </c>
      <c r="D455" s="117" t="s">
        <v>339</v>
      </c>
      <c r="E455" s="118" t="s">
        <v>457</v>
      </c>
      <c r="F455" s="115"/>
      <c r="G455" s="119"/>
      <c r="H455" s="120"/>
      <c r="I455" s="140"/>
      <c r="J455" s="120" t="s">
        <v>597</v>
      </c>
    </row>
    <row r="456" spans="1:10">
      <c r="A456" s="114"/>
      <c r="B456" s="115"/>
      <c r="C456" s="116" t="s">
        <v>339</v>
      </c>
      <c r="D456" s="117" t="s">
        <v>339</v>
      </c>
      <c r="E456" s="118" t="s">
        <v>458</v>
      </c>
      <c r="F456" s="115"/>
      <c r="G456" s="119"/>
      <c r="H456" s="120"/>
      <c r="I456" s="140"/>
      <c r="J456" s="120" t="s">
        <v>597</v>
      </c>
    </row>
    <row r="457" spans="1:10">
      <c r="A457" s="121"/>
      <c r="B457" s="122">
        <v>51</v>
      </c>
      <c r="C457" s="121" t="str">
        <f>'5.Tiên lượng'!C127</f>
        <v>AK.98110(VD)</v>
      </c>
      <c r="D457" s="121" t="str">
        <f>'5.Tiên lượng'!C127</f>
        <v>AK.98110(VD)</v>
      </c>
      <c r="E457" s="123" t="str">
        <f>'5.Tiên lượng'!D127</f>
        <v>Đá dăm đệm rãnh, đá (1x2)cm, dày 10cm</v>
      </c>
      <c r="F457" s="122" t="str">
        <f>'5.Tiên lượng'!E127</f>
        <v>m3</v>
      </c>
      <c r="G457" s="124"/>
      <c r="H457" s="125"/>
      <c r="I457" s="141"/>
      <c r="J457" s="142">
        <f>J458+J461</f>
        <v>842278.54228759557</v>
      </c>
    </row>
    <row r="458" spans="1:10">
      <c r="A458" s="126"/>
      <c r="B458" s="127"/>
      <c r="C458" s="128" t="s">
        <v>590</v>
      </c>
      <c r="D458" s="128" t="s">
        <v>590</v>
      </c>
      <c r="E458" s="129" t="s">
        <v>262</v>
      </c>
      <c r="F458" s="127" t="s">
        <v>263</v>
      </c>
      <c r="G458" s="130"/>
      <c r="H458" s="131"/>
      <c r="I458" s="143"/>
      <c r="J458" s="131">
        <f>SUM(J459:J460)</f>
        <v>495257.6142875955</v>
      </c>
    </row>
    <row r="459" spans="1:10">
      <c r="A459" s="67"/>
      <c r="B459" s="66"/>
      <c r="C459" s="132" t="s">
        <v>590</v>
      </c>
      <c r="D459" s="133" t="s">
        <v>653</v>
      </c>
      <c r="E459" s="102" t="str">
        <f>" - "&amp;'Giá VL'!E20</f>
        <v xml:space="preserve"> - Đá cấp phối dmax ≤ 4</v>
      </c>
      <c r="F459" s="66" t="str">
        <f>'Giá VL'!F20</f>
        <v>m3</v>
      </c>
      <c r="G459" s="134">
        <f>PTVT!G459</f>
        <v>1.2</v>
      </c>
      <c r="H459" s="135">
        <f>'Giá VL'!V20</f>
        <v>330458.0547558713</v>
      </c>
      <c r="I459" s="144">
        <f>'5.Tiên lượng'!V127</f>
        <v>1</v>
      </c>
      <c r="J459" s="135">
        <f t="shared" ref="J459:J460" si="61">PRODUCT(G459,H459,I459)</f>
        <v>396549.66570704553</v>
      </c>
    </row>
    <row r="460" spans="1:10">
      <c r="A460" s="67"/>
      <c r="B460" s="66"/>
      <c r="C460" s="132" t="s">
        <v>590</v>
      </c>
      <c r="D460" s="133" t="s">
        <v>654</v>
      </c>
      <c r="E460" s="102" t="str">
        <f>" - "&amp;'Giá VL'!E14</f>
        <v xml:space="preserve"> - Cát</v>
      </c>
      <c r="F460" s="66" t="str">
        <f>'Giá VL'!F14</f>
        <v>m3</v>
      </c>
      <c r="G460" s="134">
        <f>PTVT!G460</f>
        <v>0.3</v>
      </c>
      <c r="H460" s="135">
        <f>'Giá VL'!V14</f>
        <v>329026.49526849983</v>
      </c>
      <c r="I460" s="144">
        <f>'5.Tiên lượng'!V127</f>
        <v>1</v>
      </c>
      <c r="J460" s="135">
        <f t="shared" si="61"/>
        <v>98707.948580549943</v>
      </c>
    </row>
    <row r="461" spans="1:10">
      <c r="A461" s="126"/>
      <c r="B461" s="127"/>
      <c r="C461" s="128" t="s">
        <v>590</v>
      </c>
      <c r="D461" s="128" t="s">
        <v>590</v>
      </c>
      <c r="E461" s="129" t="s">
        <v>265</v>
      </c>
      <c r="F461" s="127" t="s">
        <v>266</v>
      </c>
      <c r="G461" s="130"/>
      <c r="H461" s="131"/>
      <c r="I461" s="143"/>
      <c r="J461" s="131">
        <f>SUM(J462:J462)</f>
        <v>347020.92800000001</v>
      </c>
    </row>
    <row r="462" spans="1:10">
      <c r="A462" s="104"/>
      <c r="B462" s="105"/>
      <c r="C462" s="136" t="s">
        <v>590</v>
      </c>
      <c r="D462" s="137" t="s">
        <v>629</v>
      </c>
      <c r="E462" s="106" t="str">
        <f>" - "&amp;'Giá NC'!E10</f>
        <v xml:space="preserve"> - Nhân công bậc 4,0/7 - Nhóm 2</v>
      </c>
      <c r="F462" s="105" t="str">
        <f>'Giá NC'!F10</f>
        <v>công</v>
      </c>
      <c r="G462" s="138">
        <f>PTVT!G462</f>
        <v>1.48</v>
      </c>
      <c r="H462" s="139">
        <f>'Giá NC'!K10</f>
        <v>293092</v>
      </c>
      <c r="I462" s="145">
        <f>'5.Tiên lượng'!W127</f>
        <v>0.8</v>
      </c>
      <c r="J462" s="139">
        <f>PRODUCT(G462,H462,I462)</f>
        <v>347020.92800000001</v>
      </c>
    </row>
    <row r="463" spans="1:10">
      <c r="A463" s="121"/>
      <c r="B463" s="122">
        <v>52</v>
      </c>
      <c r="C463" s="121" t="str">
        <f>'5.Tiên lượng'!C128</f>
        <v>AF.11231</v>
      </c>
      <c r="D463" s="121" t="str">
        <f>'5.Tiên lượng'!C128</f>
        <v>AF.11231</v>
      </c>
      <c r="E463" s="123" t="str">
        <f>'5.Tiên lượng'!D128</f>
        <v>BTXM móng rãnh, M150, đá 2x4, PCB40</v>
      </c>
      <c r="F463" s="122" t="str">
        <f>'5.Tiên lượng'!E128</f>
        <v>m3</v>
      </c>
      <c r="G463" s="124"/>
      <c r="H463" s="125"/>
      <c r="I463" s="141"/>
      <c r="J463" s="142">
        <f>J464+J470+J472</f>
        <v>1390158.8297382803</v>
      </c>
    </row>
    <row r="464" spans="1:10">
      <c r="A464" s="126"/>
      <c r="B464" s="127"/>
      <c r="C464" s="128" t="s">
        <v>590</v>
      </c>
      <c r="D464" s="128" t="s">
        <v>590</v>
      </c>
      <c r="E464" s="129" t="s">
        <v>262</v>
      </c>
      <c r="F464" s="127" t="s">
        <v>263</v>
      </c>
      <c r="G464" s="130"/>
      <c r="H464" s="131"/>
      <c r="I464" s="143"/>
      <c r="J464" s="131">
        <f>SUM(J465:J469)</f>
        <v>1030429.0629510203</v>
      </c>
    </row>
    <row r="465" spans="1:10">
      <c r="A465" s="67"/>
      <c r="B465" s="66"/>
      <c r="C465" s="132" t="s">
        <v>590</v>
      </c>
      <c r="D465" s="133" t="s">
        <v>614</v>
      </c>
      <c r="E465" s="102" t="str">
        <f>" - "&amp;'Giá VL'!E45</f>
        <v xml:space="preserve"> - Xi măng PCB40</v>
      </c>
      <c r="F465" s="66" t="str">
        <f>'Giá VL'!F45</f>
        <v>kg</v>
      </c>
      <c r="G465" s="134">
        <f>PTVT!G465</f>
        <v>210.125</v>
      </c>
      <c r="H465" s="135">
        <f>'Giá VL'!V45</f>
        <v>1730</v>
      </c>
      <c r="I465" s="144">
        <f>'5.Tiên lượng'!V128</f>
        <v>1</v>
      </c>
      <c r="J465" s="135">
        <f t="shared" ref="J465:J469" si="62">PRODUCT(G465,H465,I465)</f>
        <v>363516.25</v>
      </c>
    </row>
    <row r="466" spans="1:10">
      <c r="A466" s="67"/>
      <c r="B466" s="66"/>
      <c r="C466" s="132" t="s">
        <v>590</v>
      </c>
      <c r="D466" s="133" t="s">
        <v>615</v>
      </c>
      <c r="E466" s="102" t="str">
        <f>" - "&amp;'Giá VL'!E17</f>
        <v xml:space="preserve"> - Cát vàng</v>
      </c>
      <c r="F466" s="66" t="str">
        <f>'Giá VL'!F17</f>
        <v>m3</v>
      </c>
      <c r="G466" s="134">
        <f>PTVT!G466</f>
        <v>0.56272500000000003</v>
      </c>
      <c r="H466" s="135">
        <f>'Giá VL'!V17</f>
        <v>659026.49526849983</v>
      </c>
      <c r="I466" s="144">
        <f>'5.Tiên lượng'!V128</f>
        <v>1</v>
      </c>
      <c r="J466" s="135">
        <f t="shared" si="62"/>
        <v>370850.68454996659</v>
      </c>
    </row>
    <row r="467" spans="1:10">
      <c r="A467" s="67"/>
      <c r="B467" s="66"/>
      <c r="C467" s="132" t="s">
        <v>590</v>
      </c>
      <c r="D467" s="133" t="s">
        <v>616</v>
      </c>
      <c r="E467" s="102" t="str">
        <f>" - "&amp;'Giá VL'!E19</f>
        <v xml:space="preserve"> - Đá 2x4</v>
      </c>
      <c r="F467" s="66" t="str">
        <f>'Giá VL'!F19</f>
        <v>m3</v>
      </c>
      <c r="G467" s="134">
        <f>PTVT!G467</f>
        <v>0.91225000000000001</v>
      </c>
      <c r="H467" s="135">
        <f>'Giá VL'!V19</f>
        <v>310458.0547558713</v>
      </c>
      <c r="I467" s="144">
        <f>'5.Tiên lượng'!V128</f>
        <v>1</v>
      </c>
      <c r="J467" s="135">
        <f t="shared" si="62"/>
        <v>283215.36045104358</v>
      </c>
    </row>
    <row r="468" spans="1:10">
      <c r="A468" s="67"/>
      <c r="B468" s="66"/>
      <c r="C468" s="132" t="s">
        <v>590</v>
      </c>
      <c r="D468" s="133" t="s">
        <v>617</v>
      </c>
      <c r="E468" s="102" t="str">
        <f>" - "&amp;'Giá VL'!E33</f>
        <v xml:space="preserve"> - Nước</v>
      </c>
      <c r="F468" s="66" t="str">
        <f>'Giá VL'!F33</f>
        <v>lít</v>
      </c>
      <c r="G468" s="134">
        <f>PTVT!G468</f>
        <v>176.3</v>
      </c>
      <c r="H468" s="135">
        <f>'Giá VL'!V33</f>
        <v>15</v>
      </c>
      <c r="I468" s="144">
        <f>'5.Tiên lượng'!V128</f>
        <v>1</v>
      </c>
      <c r="J468" s="135">
        <f t="shared" si="62"/>
        <v>2644.5</v>
      </c>
    </row>
    <row r="469" spans="1:10">
      <c r="A469" s="67"/>
      <c r="B469" s="66"/>
      <c r="C469" s="132" t="s">
        <v>590</v>
      </c>
      <c r="D469" s="133" t="s">
        <v>620</v>
      </c>
      <c r="E469" s="102" t="s">
        <v>621</v>
      </c>
      <c r="F469" s="66" t="s">
        <v>37</v>
      </c>
      <c r="G469" s="134">
        <f>PTVT!G469</f>
        <v>1</v>
      </c>
      <c r="H469" s="135">
        <f>(G465*H465+G466*H466+G467*H467+G468*H468)/100</f>
        <v>10202.267950010102</v>
      </c>
      <c r="I469" s="144">
        <f>'5.Tiên lượng'!V128</f>
        <v>1</v>
      </c>
      <c r="J469" s="135">
        <f t="shared" si="62"/>
        <v>10202.267950010102</v>
      </c>
    </row>
    <row r="470" spans="1:10">
      <c r="A470" s="126"/>
      <c r="B470" s="127"/>
      <c r="C470" s="128" t="s">
        <v>590</v>
      </c>
      <c r="D470" s="128" t="s">
        <v>590</v>
      </c>
      <c r="E470" s="129" t="s">
        <v>265</v>
      </c>
      <c r="F470" s="127" t="s">
        <v>266</v>
      </c>
      <c r="G470" s="130"/>
      <c r="H470" s="131"/>
      <c r="I470" s="143"/>
      <c r="J470" s="131">
        <f>SUM(J471:J471)</f>
        <v>303696.83999999997</v>
      </c>
    </row>
    <row r="471" spans="1:10">
      <c r="A471" s="67"/>
      <c r="B471" s="66"/>
      <c r="C471" s="132" t="s">
        <v>590</v>
      </c>
      <c r="D471" s="133" t="s">
        <v>605</v>
      </c>
      <c r="E471" s="102" t="str">
        <f>" - "&amp;'Giá NC'!E8</f>
        <v xml:space="preserve"> - Nhân công bậc 3,0/7 - Nhóm 2</v>
      </c>
      <c r="F471" s="66" t="str">
        <f>'Giá NC'!F8</f>
        <v>công</v>
      </c>
      <c r="G471" s="134">
        <f>PTVT!G471</f>
        <v>1.23</v>
      </c>
      <c r="H471" s="135">
        <f>'Giá NC'!K8</f>
        <v>246908</v>
      </c>
      <c r="I471" s="144">
        <f>'5.Tiên lượng'!W128</f>
        <v>1</v>
      </c>
      <c r="J471" s="135">
        <f>PRODUCT(G471,H471,I471)</f>
        <v>303696.83999999997</v>
      </c>
    </row>
    <row r="472" spans="1:10">
      <c r="A472" s="126"/>
      <c r="B472" s="127"/>
      <c r="C472" s="128" t="s">
        <v>590</v>
      </c>
      <c r="D472" s="128" t="s">
        <v>590</v>
      </c>
      <c r="E472" s="129" t="s">
        <v>267</v>
      </c>
      <c r="F472" s="127" t="s">
        <v>268</v>
      </c>
      <c r="G472" s="130"/>
      <c r="H472" s="131"/>
      <c r="I472" s="143"/>
      <c r="J472" s="131">
        <f>SUM(J473:J474)</f>
        <v>56032.926787260003</v>
      </c>
    </row>
    <row r="473" spans="1:10">
      <c r="A473" s="67"/>
      <c r="B473" s="66"/>
      <c r="C473" s="132" t="s">
        <v>590</v>
      </c>
      <c r="D473" s="133" t="s">
        <v>623</v>
      </c>
      <c r="E473" s="102" t="str">
        <f>" - "&amp;'Giá Máy'!E27</f>
        <v xml:space="preserve"> - Máy trộn bê tông 250 lít</v>
      </c>
      <c r="F473" s="66" t="str">
        <f>'Giá Máy'!F27</f>
        <v>ca</v>
      </c>
      <c r="G473" s="134">
        <f>PTVT!G473</f>
        <v>9.5000000000000001E-2</v>
      </c>
      <c r="H473" s="135">
        <f>'Giá Máy'!O27</f>
        <v>326305.98864499998</v>
      </c>
      <c r="I473" s="144">
        <f>'5.Tiên lượng'!X128</f>
        <v>1</v>
      </c>
      <c r="J473" s="135">
        <f t="shared" ref="J473:J474" si="63">PRODUCT(G473,H473,I473)</f>
        <v>30999.068921274997</v>
      </c>
    </row>
    <row r="474" spans="1:10">
      <c r="A474" s="104"/>
      <c r="B474" s="105"/>
      <c r="C474" s="136" t="s">
        <v>590</v>
      </c>
      <c r="D474" s="137" t="s">
        <v>625</v>
      </c>
      <c r="E474" s="106" t="str">
        <f>" - "&amp;'Giá Máy'!E12</f>
        <v xml:space="preserve"> - Máy đầm dùi 1,5kW</v>
      </c>
      <c r="F474" s="105" t="str">
        <f>'Giá Máy'!F12</f>
        <v>ca</v>
      </c>
      <c r="G474" s="138">
        <f>PTVT!G474</f>
        <v>8.8999999999999996E-2</v>
      </c>
      <c r="H474" s="139">
        <f>'Giá Máy'!O12</f>
        <v>281279.30186500004</v>
      </c>
      <c r="I474" s="145">
        <f>'5.Tiên lượng'!X128</f>
        <v>1</v>
      </c>
      <c r="J474" s="139">
        <f t="shared" si="63"/>
        <v>25033.857865985003</v>
      </c>
    </row>
    <row r="475" spans="1:10">
      <c r="A475" s="121"/>
      <c r="B475" s="122">
        <v>53</v>
      </c>
      <c r="C475" s="121" t="str">
        <f>'5.Tiên lượng'!C129</f>
        <v>AE.26313</v>
      </c>
      <c r="D475" s="121" t="str">
        <f>'5.Tiên lượng'!C129</f>
        <v>AE.26313</v>
      </c>
      <c r="E475" s="123" t="str">
        <f>'5.Tiên lượng'!D129</f>
        <v>Xây rãnh thoát nước bằng gạch KN 6,5x10,5x22cm, vữa XM M75, PCB40</v>
      </c>
      <c r="F475" s="122" t="str">
        <f>'5.Tiên lượng'!E129</f>
        <v>m3</v>
      </c>
      <c r="G475" s="124"/>
      <c r="H475" s="125"/>
      <c r="I475" s="141"/>
      <c r="J475" s="142">
        <f>J476+J482+J484</f>
        <v>2421236.0153953577</v>
      </c>
    </row>
    <row r="476" spans="1:10">
      <c r="A476" s="126"/>
      <c r="B476" s="127"/>
      <c r="C476" s="128" t="s">
        <v>590</v>
      </c>
      <c r="D476" s="128" t="s">
        <v>590</v>
      </c>
      <c r="E476" s="129" t="s">
        <v>262</v>
      </c>
      <c r="F476" s="127" t="s">
        <v>263</v>
      </c>
      <c r="G476" s="130"/>
      <c r="H476" s="131"/>
      <c r="I476" s="143"/>
      <c r="J476" s="131">
        <f>SUM(J477:J481)</f>
        <v>1194550.9401206358</v>
      </c>
    </row>
    <row r="477" spans="1:10">
      <c r="A477" s="67"/>
      <c r="B477" s="66"/>
      <c r="C477" s="132" t="s">
        <v>590</v>
      </c>
      <c r="D477" s="133" t="s">
        <v>655</v>
      </c>
      <c r="E477" s="102" t="str">
        <f>" - "&amp;'Giá VL'!E49</f>
        <v xml:space="preserve"> - Gạch đất sét nung 6,5 x 10,5 x 22cm</v>
      </c>
      <c r="F477" s="66" t="str">
        <f>'Giá VL'!F49</f>
        <v>viên</v>
      </c>
      <c r="G477" s="134">
        <f>PTVT!G477</f>
        <v>550</v>
      </c>
      <c r="H477" s="135">
        <f>'Giá VL'!V49</f>
        <v>1506.5773788111758</v>
      </c>
      <c r="I477" s="144">
        <f>'5.Tiên lượng'!V129</f>
        <v>1</v>
      </c>
      <c r="J477" s="135">
        <f t="shared" ref="J477:J481" si="64">PRODUCT(G477,H477,I477)</f>
        <v>828617.55834614672</v>
      </c>
    </row>
    <row r="478" spans="1:10">
      <c r="A478" s="67"/>
      <c r="B478" s="66"/>
      <c r="C478" s="132" t="s">
        <v>590</v>
      </c>
      <c r="D478" s="133" t="s">
        <v>614</v>
      </c>
      <c r="E478" s="102" t="str">
        <f>" - "&amp;'Giá VL'!E45</f>
        <v xml:space="preserve"> - Xi măng PCB40</v>
      </c>
      <c r="F478" s="66" t="str">
        <f>'Giá VL'!F45</f>
        <v>kg</v>
      </c>
      <c r="G478" s="134">
        <f>PTVT!G478</f>
        <v>87.912000000000006</v>
      </c>
      <c r="H478" s="135">
        <f>'Giá VL'!V45</f>
        <v>1730</v>
      </c>
      <c r="I478" s="144">
        <f>'5.Tiên lượng'!V129</f>
        <v>1</v>
      </c>
      <c r="J478" s="135">
        <f t="shared" si="64"/>
        <v>152087.76</v>
      </c>
    </row>
    <row r="479" spans="1:10">
      <c r="A479" s="67"/>
      <c r="B479" s="66"/>
      <c r="C479" s="132" t="s">
        <v>590</v>
      </c>
      <c r="D479" s="133" t="s">
        <v>656</v>
      </c>
      <c r="E479" s="102" t="str">
        <f>" - "&amp;'Giá VL'!E16</f>
        <v xml:space="preserve"> - Cát mịn ML=1,5÷2,0</v>
      </c>
      <c r="F479" s="66" t="str">
        <f>'Giá VL'!F16</f>
        <v>m3</v>
      </c>
      <c r="G479" s="134">
        <f>PTVT!G479</f>
        <v>0.39627000000000001</v>
      </c>
      <c r="H479" s="135">
        <f>'Giá VL'!V16</f>
        <v>379026.49526849983</v>
      </c>
      <c r="I479" s="144">
        <f>'5.Tiên lượng'!V129</f>
        <v>1</v>
      </c>
      <c r="J479" s="135">
        <f t="shared" si="64"/>
        <v>150196.82928004843</v>
      </c>
    </row>
    <row r="480" spans="1:10">
      <c r="A480" s="67"/>
      <c r="B480" s="66"/>
      <c r="C480" s="132" t="s">
        <v>590</v>
      </c>
      <c r="D480" s="133" t="s">
        <v>617</v>
      </c>
      <c r="E480" s="102" t="str">
        <f>" - "&amp;'Giá VL'!E33</f>
        <v xml:space="preserve"> - Nước</v>
      </c>
      <c r="F480" s="66" t="str">
        <f>'Giá VL'!F33</f>
        <v>lít</v>
      </c>
      <c r="G480" s="134">
        <f>PTVT!G480</f>
        <v>91.575000000000003</v>
      </c>
      <c r="H480" s="135">
        <f>'Giá VL'!V33</f>
        <v>15</v>
      </c>
      <c r="I480" s="144">
        <f>'5.Tiên lượng'!V129</f>
        <v>1</v>
      </c>
      <c r="J480" s="135">
        <f t="shared" si="64"/>
        <v>1373.625</v>
      </c>
    </row>
    <row r="481" spans="1:10">
      <c r="A481" s="67"/>
      <c r="B481" s="66"/>
      <c r="C481" s="132" t="s">
        <v>590</v>
      </c>
      <c r="D481" s="133" t="s">
        <v>620</v>
      </c>
      <c r="E481" s="102" t="s">
        <v>621</v>
      </c>
      <c r="F481" s="66" t="s">
        <v>37</v>
      </c>
      <c r="G481" s="134">
        <f>PTVT!G481</f>
        <v>5.5</v>
      </c>
      <c r="H481" s="135">
        <f>(G477*H477+G478*H478+G479*H479+G480*H480)/100</f>
        <v>11322.757726261951</v>
      </c>
      <c r="I481" s="144">
        <f>'5.Tiên lượng'!V129</f>
        <v>1</v>
      </c>
      <c r="J481" s="135">
        <f t="shared" si="64"/>
        <v>62275.167494440728</v>
      </c>
    </row>
    <row r="482" spans="1:10">
      <c r="A482" s="126"/>
      <c r="B482" s="127"/>
      <c r="C482" s="128" t="s">
        <v>590</v>
      </c>
      <c r="D482" s="128" t="s">
        <v>590</v>
      </c>
      <c r="E482" s="129" t="s">
        <v>265</v>
      </c>
      <c r="F482" s="127" t="s">
        <v>266</v>
      </c>
      <c r="G482" s="130"/>
      <c r="H482" s="131"/>
      <c r="I482" s="143"/>
      <c r="J482" s="131">
        <f>SUM(J483:J483)</f>
        <v>1215000</v>
      </c>
    </row>
    <row r="483" spans="1:10">
      <c r="A483" s="67"/>
      <c r="B483" s="66"/>
      <c r="C483" s="132" t="s">
        <v>590</v>
      </c>
      <c r="D483" s="133" t="s">
        <v>622</v>
      </c>
      <c r="E483" s="102" t="str">
        <f>" - "&amp;'Giá NC'!E9</f>
        <v xml:space="preserve"> - Nhân công bậc 3,5/7 - Nhóm 2</v>
      </c>
      <c r="F483" s="66" t="str">
        <f>'Giá NC'!F9</f>
        <v>công</v>
      </c>
      <c r="G483" s="134">
        <f>PTVT!G483</f>
        <v>4.5</v>
      </c>
      <c r="H483" s="135">
        <f>'Giá NC'!K9</f>
        <v>270000</v>
      </c>
      <c r="I483" s="144">
        <f>'5.Tiên lượng'!W129</f>
        <v>1</v>
      </c>
      <c r="J483" s="135">
        <f>PRODUCT(G483,H483,I483)</f>
        <v>1215000</v>
      </c>
    </row>
    <row r="484" spans="1:10">
      <c r="A484" s="126"/>
      <c r="B484" s="127"/>
      <c r="C484" s="128" t="s">
        <v>590</v>
      </c>
      <c r="D484" s="128" t="s">
        <v>590</v>
      </c>
      <c r="E484" s="129" t="s">
        <v>267</v>
      </c>
      <c r="F484" s="127" t="s">
        <v>268</v>
      </c>
      <c r="G484" s="130"/>
      <c r="H484" s="131"/>
      <c r="I484" s="143"/>
      <c r="J484" s="131">
        <f>SUM(J485:J485)</f>
        <v>11685.075274722354</v>
      </c>
    </row>
    <row r="485" spans="1:10">
      <c r="A485" s="104"/>
      <c r="B485" s="105"/>
      <c r="C485" s="136" t="s">
        <v>590</v>
      </c>
      <c r="D485" s="137" t="s">
        <v>657</v>
      </c>
      <c r="E485" s="106" t="str">
        <f>" - "&amp;'Giá Máy'!E28</f>
        <v xml:space="preserve"> - Máy trộn vữa 150l</v>
      </c>
      <c r="F485" s="105" t="str">
        <f>'Giá Máy'!F28</f>
        <v>ca</v>
      </c>
      <c r="G485" s="138">
        <f>PTVT!G485</f>
        <v>3.9E-2</v>
      </c>
      <c r="H485" s="139">
        <f>'Giá Máy'!O28</f>
        <v>299617.31473647064</v>
      </c>
      <c r="I485" s="145">
        <f>'5.Tiên lượng'!X129</f>
        <v>1</v>
      </c>
      <c r="J485" s="139">
        <f>PRODUCT(G485,H485,I485)</f>
        <v>11685.075274722354</v>
      </c>
    </row>
    <row r="486" spans="1:10">
      <c r="A486" s="121"/>
      <c r="B486" s="122">
        <v>54</v>
      </c>
      <c r="C486" s="121" t="str">
        <f>'5.Tiên lượng'!C130</f>
        <v>AK.21113</v>
      </c>
      <c r="D486" s="121" t="str">
        <f>'5.Tiên lượng'!C130</f>
        <v>AK.21113</v>
      </c>
      <c r="E486" s="123" t="str">
        <f>'5.Tiên lượng'!D130</f>
        <v>Trát tường ngoài dày 1cm, vữa XM M75, PCB40</v>
      </c>
      <c r="F486" s="122" t="str">
        <f>'5.Tiên lượng'!E130</f>
        <v>m2</v>
      </c>
      <c r="G486" s="124"/>
      <c r="H486" s="125"/>
      <c r="I486" s="141"/>
      <c r="J486" s="142">
        <f>J487+J492+J494</f>
        <v>71627.386628148204</v>
      </c>
    </row>
    <row r="487" spans="1:10">
      <c r="A487" s="126"/>
      <c r="B487" s="127"/>
      <c r="C487" s="128" t="s">
        <v>590</v>
      </c>
      <c r="D487" s="128" t="s">
        <v>590</v>
      </c>
      <c r="E487" s="129" t="s">
        <v>262</v>
      </c>
      <c r="F487" s="127" t="s">
        <v>263</v>
      </c>
      <c r="G487" s="130"/>
      <c r="H487" s="131"/>
      <c r="I487" s="143"/>
      <c r="J487" s="131">
        <f>SUM(J488:J491)</f>
        <v>11628.151998675268</v>
      </c>
    </row>
    <row r="488" spans="1:10">
      <c r="A488" s="67"/>
      <c r="B488" s="66"/>
      <c r="C488" s="132" t="s">
        <v>590</v>
      </c>
      <c r="D488" s="133" t="s">
        <v>614</v>
      </c>
      <c r="E488" s="102" t="str">
        <f>" - "&amp;'Giá VL'!E45</f>
        <v xml:space="preserve"> - Xi măng PCB40</v>
      </c>
      <c r="F488" s="66" t="str">
        <f>'Giá VL'!F45</f>
        <v>kg</v>
      </c>
      <c r="G488" s="134">
        <f>PTVT!G488</f>
        <v>3.6120000000000001</v>
      </c>
      <c r="H488" s="135">
        <f>'Giá VL'!V45</f>
        <v>1730</v>
      </c>
      <c r="I488" s="144">
        <f>'5.Tiên lượng'!V130</f>
        <v>1</v>
      </c>
      <c r="J488" s="135">
        <f t="shared" ref="J488:J491" si="65">PRODUCT(G488,H488,I488)</f>
        <v>6248.76</v>
      </c>
    </row>
    <row r="489" spans="1:10">
      <c r="A489" s="67"/>
      <c r="B489" s="66"/>
      <c r="C489" s="132" t="s">
        <v>590</v>
      </c>
      <c r="D489" s="133" t="s">
        <v>658</v>
      </c>
      <c r="E489" s="102" t="str">
        <f>" - "&amp;'Giá VL'!E15</f>
        <v xml:space="preserve"> - Cát mịn ML=0,7÷1,4</v>
      </c>
      <c r="F489" s="66" t="str">
        <f>'Giá VL'!F15</f>
        <v>m3</v>
      </c>
      <c r="G489" s="134">
        <f>PTVT!G489</f>
        <v>1.3908E-2</v>
      </c>
      <c r="H489" s="135">
        <f>'Giá VL'!V15</f>
        <v>379026.49526849983</v>
      </c>
      <c r="I489" s="144">
        <f>'5.Tiên lượng'!V130</f>
        <v>1</v>
      </c>
      <c r="J489" s="135">
        <f t="shared" si="65"/>
        <v>5271.5004961942959</v>
      </c>
    </row>
    <row r="490" spans="1:10">
      <c r="A490" s="67"/>
      <c r="B490" s="66"/>
      <c r="C490" s="132" t="s">
        <v>590</v>
      </c>
      <c r="D490" s="133" t="s">
        <v>617</v>
      </c>
      <c r="E490" s="102" t="str">
        <f>" - "&amp;'Giá VL'!E33</f>
        <v xml:space="preserve"> - Nước</v>
      </c>
      <c r="F490" s="66" t="str">
        <f>'Giá VL'!F33</f>
        <v>lít</v>
      </c>
      <c r="G490" s="134">
        <f>PTVT!G490</f>
        <v>3.3359999999999999</v>
      </c>
      <c r="H490" s="135">
        <f>'Giá VL'!V33</f>
        <v>15</v>
      </c>
      <c r="I490" s="144">
        <f>'5.Tiên lượng'!V130</f>
        <v>1</v>
      </c>
      <c r="J490" s="135">
        <f t="shared" si="65"/>
        <v>50.04</v>
      </c>
    </row>
    <row r="491" spans="1:10">
      <c r="A491" s="67"/>
      <c r="B491" s="66"/>
      <c r="C491" s="132" t="s">
        <v>590</v>
      </c>
      <c r="D491" s="133" t="s">
        <v>620</v>
      </c>
      <c r="E491" s="102" t="s">
        <v>621</v>
      </c>
      <c r="F491" s="66" t="s">
        <v>37</v>
      </c>
      <c r="G491" s="134">
        <f>PTVT!G491</f>
        <v>0.5</v>
      </c>
      <c r="H491" s="135">
        <f>(G488*H488+G489*H489+G490*H490)/100</f>
        <v>115.70300496194297</v>
      </c>
      <c r="I491" s="144">
        <f>'5.Tiên lượng'!V130</f>
        <v>1</v>
      </c>
      <c r="J491" s="135">
        <f t="shared" si="65"/>
        <v>57.851502480971483</v>
      </c>
    </row>
    <row r="492" spans="1:10">
      <c r="A492" s="126"/>
      <c r="B492" s="127"/>
      <c r="C492" s="128" t="s">
        <v>590</v>
      </c>
      <c r="D492" s="128" t="s">
        <v>590</v>
      </c>
      <c r="E492" s="129" t="s">
        <v>265</v>
      </c>
      <c r="F492" s="127" t="s">
        <v>266</v>
      </c>
      <c r="G492" s="130"/>
      <c r="H492" s="131"/>
      <c r="I492" s="143"/>
      <c r="J492" s="131">
        <f>SUM(J493:J493)</f>
        <v>59400</v>
      </c>
    </row>
    <row r="493" spans="1:10">
      <c r="A493" s="67"/>
      <c r="B493" s="66"/>
      <c r="C493" s="132" t="s">
        <v>590</v>
      </c>
      <c r="D493" s="133" t="s">
        <v>622</v>
      </c>
      <c r="E493" s="102" t="str">
        <f>" - "&amp;'Giá NC'!E9</f>
        <v xml:space="preserve"> - Nhân công bậc 3,5/7 - Nhóm 2</v>
      </c>
      <c r="F493" s="66" t="str">
        <f>'Giá NC'!F9</f>
        <v>công</v>
      </c>
      <c r="G493" s="134">
        <f>PTVT!G493</f>
        <v>0.22</v>
      </c>
      <c r="H493" s="135">
        <f>'Giá NC'!K9</f>
        <v>270000</v>
      </c>
      <c r="I493" s="144">
        <f>'5.Tiên lượng'!W130</f>
        <v>1</v>
      </c>
      <c r="J493" s="135">
        <f>PRODUCT(G493,H493,I493)</f>
        <v>59400</v>
      </c>
    </row>
    <row r="494" spans="1:10">
      <c r="A494" s="126"/>
      <c r="B494" s="127"/>
      <c r="C494" s="128" t="s">
        <v>590</v>
      </c>
      <c r="D494" s="128" t="s">
        <v>590</v>
      </c>
      <c r="E494" s="129" t="s">
        <v>267</v>
      </c>
      <c r="F494" s="127" t="s">
        <v>268</v>
      </c>
      <c r="G494" s="130"/>
      <c r="H494" s="131"/>
      <c r="I494" s="143"/>
      <c r="J494" s="131">
        <f>SUM(J495:J495)</f>
        <v>599.23462947294126</v>
      </c>
    </row>
    <row r="495" spans="1:10">
      <c r="A495" s="104"/>
      <c r="B495" s="105"/>
      <c r="C495" s="136" t="s">
        <v>590</v>
      </c>
      <c r="D495" s="137" t="s">
        <v>657</v>
      </c>
      <c r="E495" s="106" t="str">
        <f>" - "&amp;'Giá Máy'!E28</f>
        <v xml:space="preserve"> - Máy trộn vữa 150l</v>
      </c>
      <c r="F495" s="105" t="str">
        <f>'Giá Máy'!F28</f>
        <v>ca</v>
      </c>
      <c r="G495" s="138">
        <f>PTVT!G495</f>
        <v>2E-3</v>
      </c>
      <c r="H495" s="139">
        <f>'Giá Máy'!O28</f>
        <v>299617.31473647064</v>
      </c>
      <c r="I495" s="145">
        <f>'5.Tiên lượng'!X130</f>
        <v>1</v>
      </c>
      <c r="J495" s="139">
        <f>PRODUCT(G495,H495,I495)</f>
        <v>599.23462947294126</v>
      </c>
    </row>
    <row r="496" spans="1:10">
      <c r="A496" s="121"/>
      <c r="B496" s="122">
        <v>55</v>
      </c>
      <c r="C496" s="121" t="str">
        <f>'5.Tiên lượng'!C132</f>
        <v>AF.14212</v>
      </c>
      <c r="D496" s="121" t="str">
        <f>'5.Tiên lượng'!C132</f>
        <v>AF.14212</v>
      </c>
      <c r="E496" s="123" t="str">
        <f>'5.Tiên lượng'!D132</f>
        <v>Bê tông mũ mố, mũ trụ trên cạn SX bằng máy trộn, đổ bằng thủ công, bê tông M200, đá 1x2, PCB40</v>
      </c>
      <c r="F496" s="122" t="str">
        <f>'5.Tiên lượng'!E132</f>
        <v>m3</v>
      </c>
      <c r="G496" s="124"/>
      <c r="H496" s="125"/>
      <c r="I496" s="141"/>
      <c r="J496" s="142">
        <f>J497+J503+J505</f>
        <v>1982347.4144495975</v>
      </c>
    </row>
    <row r="497" spans="1:10">
      <c r="A497" s="126"/>
      <c r="B497" s="127"/>
      <c r="C497" s="128" t="s">
        <v>590</v>
      </c>
      <c r="D497" s="128" t="s">
        <v>590</v>
      </c>
      <c r="E497" s="129" t="s">
        <v>262</v>
      </c>
      <c r="F497" s="127" t="s">
        <v>263</v>
      </c>
      <c r="G497" s="130"/>
      <c r="H497" s="131"/>
      <c r="I497" s="143"/>
      <c r="J497" s="131">
        <f>SUM(J498:J502)</f>
        <v>1136050.7081554648</v>
      </c>
    </row>
    <row r="498" spans="1:10">
      <c r="A498" s="67"/>
      <c r="B498" s="66"/>
      <c r="C498" s="132" t="s">
        <v>590</v>
      </c>
      <c r="D498" s="133" t="s">
        <v>614</v>
      </c>
      <c r="E498" s="102" t="str">
        <f>" - "&amp;'Giá VL'!E45</f>
        <v xml:space="preserve"> - Xi măng PCB40</v>
      </c>
      <c r="F498" s="66" t="str">
        <f>'Giá VL'!F45</f>
        <v>kg</v>
      </c>
      <c r="G498" s="134">
        <f>PTVT!G498</f>
        <v>265.47500000000002</v>
      </c>
      <c r="H498" s="135">
        <f>'Giá VL'!V45</f>
        <v>1730</v>
      </c>
      <c r="I498" s="144">
        <f>'5.Tiên lượng'!V132</f>
        <v>1</v>
      </c>
      <c r="J498" s="135">
        <f t="shared" ref="J498:J502" si="66">PRODUCT(G498,H498,I498)</f>
        <v>459271.75000000006</v>
      </c>
    </row>
    <row r="499" spans="1:10">
      <c r="A499" s="67"/>
      <c r="B499" s="66"/>
      <c r="C499" s="132" t="s">
        <v>590</v>
      </c>
      <c r="D499" s="133" t="s">
        <v>615</v>
      </c>
      <c r="E499" s="102" t="str">
        <f>" - "&amp;'Giá VL'!E17</f>
        <v xml:space="preserve"> - Cát vàng</v>
      </c>
      <c r="F499" s="66" t="str">
        <f>'Giá VL'!F17</f>
        <v>m3</v>
      </c>
      <c r="G499" s="134">
        <f>PTVT!G499</f>
        <v>0.54120000000000001</v>
      </c>
      <c r="H499" s="135">
        <f>'Giá VL'!V17</f>
        <v>659026.49526849983</v>
      </c>
      <c r="I499" s="144">
        <f>'5.Tiên lượng'!V132</f>
        <v>1</v>
      </c>
      <c r="J499" s="135">
        <f t="shared" si="66"/>
        <v>356665.13923931209</v>
      </c>
    </row>
    <row r="500" spans="1:10">
      <c r="A500" s="67"/>
      <c r="B500" s="66"/>
      <c r="C500" s="132" t="s">
        <v>590</v>
      </c>
      <c r="D500" s="133" t="s">
        <v>659</v>
      </c>
      <c r="E500" s="102" t="str">
        <f>" - "&amp;'Giá VL'!E18</f>
        <v xml:space="preserve"> - Đá 1x2</v>
      </c>
      <c r="F500" s="66" t="str">
        <f>'Giá VL'!F18</f>
        <v>m3</v>
      </c>
      <c r="G500" s="134">
        <f>PTVT!G500</f>
        <v>0.89277499999999999</v>
      </c>
      <c r="H500" s="135">
        <f>'Giá VL'!V18</f>
        <v>330458.0547558713</v>
      </c>
      <c r="I500" s="144">
        <f>'5.Tiên lượng'!V132</f>
        <v>1</v>
      </c>
      <c r="J500" s="135">
        <f t="shared" si="66"/>
        <v>295024.68983467302</v>
      </c>
    </row>
    <row r="501" spans="1:10">
      <c r="A501" s="67"/>
      <c r="B501" s="66"/>
      <c r="C501" s="132" t="s">
        <v>590</v>
      </c>
      <c r="D501" s="133" t="s">
        <v>617</v>
      </c>
      <c r="E501" s="102" t="str">
        <f>" - "&amp;'Giá VL'!E33</f>
        <v xml:space="preserve"> - Nước</v>
      </c>
      <c r="F501" s="66" t="str">
        <f>'Giá VL'!F33</f>
        <v>lít</v>
      </c>
      <c r="G501" s="134">
        <f>PTVT!G501</f>
        <v>187.57499999999999</v>
      </c>
      <c r="H501" s="135">
        <f>'Giá VL'!V33</f>
        <v>15</v>
      </c>
      <c r="I501" s="144">
        <f>'5.Tiên lượng'!V132</f>
        <v>1</v>
      </c>
      <c r="J501" s="135">
        <f t="shared" si="66"/>
        <v>2813.625</v>
      </c>
    </row>
    <row r="502" spans="1:10">
      <c r="A502" s="67"/>
      <c r="B502" s="66"/>
      <c r="C502" s="132" t="s">
        <v>590</v>
      </c>
      <c r="D502" s="133" t="s">
        <v>620</v>
      </c>
      <c r="E502" s="102" t="s">
        <v>621</v>
      </c>
      <c r="F502" s="66" t="s">
        <v>37</v>
      </c>
      <c r="G502" s="134">
        <f>PTVT!G502</f>
        <v>2</v>
      </c>
      <c r="H502" s="135">
        <f>(G498*H498+G499*H499+G500*H500+G501*H501)/100</f>
        <v>11137.752040739852</v>
      </c>
      <c r="I502" s="144">
        <f>'5.Tiên lượng'!V132</f>
        <v>1</v>
      </c>
      <c r="J502" s="135">
        <f t="shared" si="66"/>
        <v>22275.504081479703</v>
      </c>
    </row>
    <row r="503" spans="1:10">
      <c r="A503" s="126"/>
      <c r="B503" s="127"/>
      <c r="C503" s="128" t="s">
        <v>590</v>
      </c>
      <c r="D503" s="128" t="s">
        <v>590</v>
      </c>
      <c r="E503" s="129" t="s">
        <v>265</v>
      </c>
      <c r="F503" s="127" t="s">
        <v>266</v>
      </c>
      <c r="G503" s="130"/>
      <c r="H503" s="131"/>
      <c r="I503" s="143"/>
      <c r="J503" s="131">
        <f>SUM(J504:J504)</f>
        <v>696600</v>
      </c>
    </row>
    <row r="504" spans="1:10">
      <c r="A504" s="67"/>
      <c r="B504" s="66"/>
      <c r="C504" s="132" t="s">
        <v>590</v>
      </c>
      <c r="D504" s="133" t="s">
        <v>622</v>
      </c>
      <c r="E504" s="102" t="str">
        <f>" - "&amp;'Giá NC'!E9</f>
        <v xml:space="preserve"> - Nhân công bậc 3,5/7 - Nhóm 2</v>
      </c>
      <c r="F504" s="66" t="str">
        <f>'Giá NC'!F9</f>
        <v>công</v>
      </c>
      <c r="G504" s="134">
        <f>PTVT!G504</f>
        <v>2.58</v>
      </c>
      <c r="H504" s="135">
        <f>'Giá NC'!K9</f>
        <v>270000</v>
      </c>
      <c r="I504" s="144">
        <f>'5.Tiên lượng'!W132</f>
        <v>1</v>
      </c>
      <c r="J504" s="135">
        <f>PRODUCT(G504,H504,I504)</f>
        <v>696600</v>
      </c>
    </row>
    <row r="505" spans="1:10">
      <c r="A505" s="126"/>
      <c r="B505" s="127"/>
      <c r="C505" s="128" t="s">
        <v>590</v>
      </c>
      <c r="D505" s="128" t="s">
        <v>590</v>
      </c>
      <c r="E505" s="129" t="s">
        <v>267</v>
      </c>
      <c r="F505" s="127" t="s">
        <v>268</v>
      </c>
      <c r="G505" s="130"/>
      <c r="H505" s="131"/>
      <c r="I505" s="143"/>
      <c r="J505" s="131">
        <f>SUM(J506:J509)</f>
        <v>149696.7062941326</v>
      </c>
    </row>
    <row r="506" spans="1:10">
      <c r="A506" s="67"/>
      <c r="B506" s="66"/>
      <c r="C506" s="132" t="s">
        <v>590</v>
      </c>
      <c r="D506" s="133" t="s">
        <v>623</v>
      </c>
      <c r="E506" s="102" t="str">
        <f>" - "&amp;'Giá Máy'!E27</f>
        <v xml:space="preserve"> - Máy trộn bê tông 250 lít</v>
      </c>
      <c r="F506" s="66" t="str">
        <f>'Giá Máy'!F27</f>
        <v>ca</v>
      </c>
      <c r="G506" s="134">
        <f>PTVT!G506</f>
        <v>9.5000000000000001E-2</v>
      </c>
      <c r="H506" s="135">
        <f>'Giá Máy'!O27</f>
        <v>326305.98864499998</v>
      </c>
      <c r="I506" s="144">
        <f>'5.Tiên lượng'!X132</f>
        <v>1</v>
      </c>
      <c r="J506" s="135">
        <f t="shared" ref="J506:J509" si="67">PRODUCT(G506,H506,I506)</f>
        <v>30999.068921274997</v>
      </c>
    </row>
    <row r="507" spans="1:10">
      <c r="A507" s="67"/>
      <c r="B507" s="66"/>
      <c r="C507" s="132" t="s">
        <v>590</v>
      </c>
      <c r="D507" s="133" t="s">
        <v>625</v>
      </c>
      <c r="E507" s="102" t="str">
        <f>" - "&amp;'Giá Máy'!E12</f>
        <v xml:space="preserve"> - Máy đầm dùi 1,5kW</v>
      </c>
      <c r="F507" s="66" t="str">
        <f>'Giá Máy'!F12</f>
        <v>ca</v>
      </c>
      <c r="G507" s="134">
        <f>PTVT!G507</f>
        <v>8.8999999999999996E-2</v>
      </c>
      <c r="H507" s="135">
        <f>'Giá Máy'!O12</f>
        <v>281279.30186500004</v>
      </c>
      <c r="I507" s="144">
        <f>'5.Tiên lượng'!X132</f>
        <v>1</v>
      </c>
      <c r="J507" s="135">
        <f t="shared" si="67"/>
        <v>25033.857865985003</v>
      </c>
    </row>
    <row r="508" spans="1:10">
      <c r="A508" s="67"/>
      <c r="B508" s="66"/>
      <c r="C508" s="132" t="s">
        <v>590</v>
      </c>
      <c r="D508" s="133" t="s">
        <v>660</v>
      </c>
      <c r="E508" s="102" t="str">
        <f>" - "&amp;'Giá Máy'!E7</f>
        <v xml:space="preserve"> - Cần cẩu bánh hơi 16T</v>
      </c>
      <c r="F508" s="66" t="str">
        <f>'Giá Máy'!F7</f>
        <v>ca</v>
      </c>
      <c r="G508" s="134">
        <f>PTVT!G508</f>
        <v>4.4999999999999998E-2</v>
      </c>
      <c r="H508" s="135">
        <f>'Giá Máy'!O7</f>
        <v>2048480.7533333334</v>
      </c>
      <c r="I508" s="144">
        <f>'5.Tiên lượng'!X132</f>
        <v>1</v>
      </c>
      <c r="J508" s="135">
        <f t="shared" si="67"/>
        <v>92181.633900000001</v>
      </c>
    </row>
    <row r="509" spans="1:10">
      <c r="A509" s="104"/>
      <c r="B509" s="105"/>
      <c r="C509" s="136" t="s">
        <v>590</v>
      </c>
      <c r="D509" s="137" t="s">
        <v>611</v>
      </c>
      <c r="E509" s="106" t="s">
        <v>612</v>
      </c>
      <c r="F509" s="105" t="s">
        <v>37</v>
      </c>
      <c r="G509" s="138">
        <f>PTVT!G509</f>
        <v>1</v>
      </c>
      <c r="H509" s="139">
        <f>(G506*H506+G507*H507+G508*H508)/100</f>
        <v>1482.1456068726</v>
      </c>
      <c r="I509" s="145">
        <f>'5.Tiên lượng'!X132</f>
        <v>1</v>
      </c>
      <c r="J509" s="139">
        <f t="shared" si="67"/>
        <v>1482.1456068726</v>
      </c>
    </row>
    <row r="510" spans="1:10">
      <c r="A510" s="121"/>
      <c r="B510" s="122">
        <v>56</v>
      </c>
      <c r="C510" s="121" t="str">
        <f>'5.Tiên lượng'!C133</f>
        <v>AF.61110</v>
      </c>
      <c r="D510" s="121" t="str">
        <f>'5.Tiên lượng'!C133</f>
        <v>AF.61110</v>
      </c>
      <c r="E510" s="123" t="str">
        <f>'5.Tiên lượng'!D133</f>
        <v>Lắp dựng cốt thép móng, ĐK ≤10mm</v>
      </c>
      <c r="F510" s="122" t="str">
        <f>'5.Tiên lượng'!E133</f>
        <v>tấn</v>
      </c>
      <c r="G510" s="124"/>
      <c r="H510" s="125"/>
      <c r="I510" s="141"/>
      <c r="J510" s="142">
        <f>J511+J514+J516</f>
        <v>21014046.696615551</v>
      </c>
    </row>
    <row r="511" spans="1:10">
      <c r="A511" s="126"/>
      <c r="B511" s="127"/>
      <c r="C511" s="128" t="s">
        <v>590</v>
      </c>
      <c r="D511" s="128" t="s">
        <v>590</v>
      </c>
      <c r="E511" s="129" t="s">
        <v>262</v>
      </c>
      <c r="F511" s="127" t="s">
        <v>263</v>
      </c>
      <c r="G511" s="130"/>
      <c r="H511" s="131"/>
      <c r="I511" s="143"/>
      <c r="J511" s="131">
        <f>SUM(J512:J513)</f>
        <v>17997032.851846885</v>
      </c>
    </row>
    <row r="512" spans="1:10">
      <c r="A512" s="67"/>
      <c r="B512" s="66"/>
      <c r="C512" s="132" t="s">
        <v>590</v>
      </c>
      <c r="D512" s="133" t="s">
        <v>661</v>
      </c>
      <c r="E512" s="102" t="str">
        <f>" - "&amp;'Giá VL'!E43</f>
        <v xml:space="preserve"> - Thép tròn Fi ≤10mm</v>
      </c>
      <c r="F512" s="66" t="str">
        <f>'Giá VL'!F43</f>
        <v>kg</v>
      </c>
      <c r="G512" s="134">
        <f>PTVT!G512</f>
        <v>1005</v>
      </c>
      <c r="H512" s="135">
        <f>'Giá VL'!V43</f>
        <v>17587.694379947148</v>
      </c>
      <c r="I512" s="144">
        <f>'5.Tiên lượng'!V133</f>
        <v>1</v>
      </c>
      <c r="J512" s="135">
        <f t="shared" ref="J512:J513" si="68">PRODUCT(G512,H512,I512)</f>
        <v>17675632.851846885</v>
      </c>
    </row>
    <row r="513" spans="1:10">
      <c r="A513" s="67"/>
      <c r="B513" s="66"/>
      <c r="C513" s="132" t="s">
        <v>590</v>
      </c>
      <c r="D513" s="133" t="s">
        <v>662</v>
      </c>
      <c r="E513" s="102" t="str">
        <f>" - "&amp;'Giá VL'!E23</f>
        <v xml:space="preserve"> - Dây thép</v>
      </c>
      <c r="F513" s="66" t="str">
        <f>'Giá VL'!F23</f>
        <v>kg</v>
      </c>
      <c r="G513" s="134">
        <f>PTVT!G513</f>
        <v>16.07</v>
      </c>
      <c r="H513" s="135">
        <f>'Giá VL'!V23</f>
        <v>20000</v>
      </c>
      <c r="I513" s="144">
        <f>'5.Tiên lượng'!V133</f>
        <v>1</v>
      </c>
      <c r="J513" s="135">
        <f t="shared" si="68"/>
        <v>321400</v>
      </c>
    </row>
    <row r="514" spans="1:10">
      <c r="A514" s="126"/>
      <c r="B514" s="127"/>
      <c r="C514" s="128" t="s">
        <v>590</v>
      </c>
      <c r="D514" s="128" t="s">
        <v>590</v>
      </c>
      <c r="E514" s="129" t="s">
        <v>265</v>
      </c>
      <c r="F514" s="127" t="s">
        <v>266</v>
      </c>
      <c r="G514" s="130"/>
      <c r="H514" s="131"/>
      <c r="I514" s="143"/>
      <c r="J514" s="131">
        <f>SUM(J515:J515)</f>
        <v>2902500</v>
      </c>
    </row>
    <row r="515" spans="1:10">
      <c r="A515" s="67"/>
      <c r="B515" s="66"/>
      <c r="C515" s="132" t="s">
        <v>590</v>
      </c>
      <c r="D515" s="133" t="s">
        <v>622</v>
      </c>
      <c r="E515" s="102" t="str">
        <f>" - "&amp;'Giá NC'!E9</f>
        <v xml:space="preserve"> - Nhân công bậc 3,5/7 - Nhóm 2</v>
      </c>
      <c r="F515" s="66" t="str">
        <f>'Giá NC'!F9</f>
        <v>công</v>
      </c>
      <c r="G515" s="134">
        <f>PTVT!G515</f>
        <v>10.75</v>
      </c>
      <c r="H515" s="135">
        <f>'Giá NC'!K9</f>
        <v>270000</v>
      </c>
      <c r="I515" s="144">
        <f>'5.Tiên lượng'!W133</f>
        <v>1</v>
      </c>
      <c r="J515" s="135">
        <f>PRODUCT(G515,H515,I515)</f>
        <v>2902500</v>
      </c>
    </row>
    <row r="516" spans="1:10">
      <c r="A516" s="126"/>
      <c r="B516" s="127"/>
      <c r="C516" s="128" t="s">
        <v>590</v>
      </c>
      <c r="D516" s="128" t="s">
        <v>590</v>
      </c>
      <c r="E516" s="129" t="s">
        <v>267</v>
      </c>
      <c r="F516" s="127" t="s">
        <v>268</v>
      </c>
      <c r="G516" s="130"/>
      <c r="H516" s="131"/>
      <c r="I516" s="143"/>
      <c r="J516" s="131">
        <f>SUM(J517:J517)</f>
        <v>114513.84476866666</v>
      </c>
    </row>
    <row r="517" spans="1:10">
      <c r="A517" s="104"/>
      <c r="B517" s="105"/>
      <c r="C517" s="136" t="s">
        <v>590</v>
      </c>
      <c r="D517" s="137" t="s">
        <v>633</v>
      </c>
      <c r="E517" s="106" t="str">
        <f>" - "&amp;'Giá Máy'!E9</f>
        <v xml:space="preserve"> - Máy cắt uốn cốt thép 5kW</v>
      </c>
      <c r="F517" s="105" t="str">
        <f>'Giá Máy'!F9</f>
        <v>ca</v>
      </c>
      <c r="G517" s="138">
        <f>PTVT!G517</f>
        <v>0.4</v>
      </c>
      <c r="H517" s="139">
        <f>'Giá Máy'!O9</f>
        <v>286284.61192166666</v>
      </c>
      <c r="I517" s="145">
        <f>'5.Tiên lượng'!X133</f>
        <v>1</v>
      </c>
      <c r="J517" s="139">
        <f>PRODUCT(G517,H517,I517)</f>
        <v>114513.84476866666</v>
      </c>
    </row>
    <row r="518" spans="1:10">
      <c r="A518" s="121"/>
      <c r="B518" s="122">
        <v>57</v>
      </c>
      <c r="C518" s="121" t="str">
        <f>'5.Tiên lượng'!C135</f>
        <v>AF.82511</v>
      </c>
      <c r="D518" s="121" t="str">
        <f>'5.Tiên lượng'!C135</f>
        <v>AF.82511</v>
      </c>
      <c r="E518" s="123" t="str">
        <f>'5.Tiên lượng'!D135</f>
        <v>Ván khuôn thép mũ  mố</v>
      </c>
      <c r="F518" s="122" t="str">
        <f>'5.Tiên lượng'!E135</f>
        <v>100m2</v>
      </c>
      <c r="G518" s="124"/>
      <c r="H518" s="125"/>
      <c r="I518" s="141"/>
      <c r="J518" s="142">
        <f>J519+J524+J526</f>
        <v>5570909.3658580221</v>
      </c>
    </row>
    <row r="519" spans="1:10">
      <c r="A519" s="126"/>
      <c r="B519" s="127"/>
      <c r="C519" s="128" t="s">
        <v>590</v>
      </c>
      <c r="D519" s="128" t="s">
        <v>590</v>
      </c>
      <c r="E519" s="129" t="s">
        <v>262</v>
      </c>
      <c r="F519" s="127" t="s">
        <v>263</v>
      </c>
      <c r="G519" s="130"/>
      <c r="H519" s="131"/>
      <c r="I519" s="143"/>
      <c r="J519" s="131">
        <f>SUM(J520:J523)</f>
        <v>1623401.2408645179</v>
      </c>
    </row>
    <row r="520" spans="1:10">
      <c r="A520" s="67"/>
      <c r="B520" s="66"/>
      <c r="C520" s="132" t="s">
        <v>590</v>
      </c>
      <c r="D520" s="133" t="s">
        <v>663</v>
      </c>
      <c r="E520" s="102" t="str">
        <f>" - "&amp;'Giá VL'!E41</f>
        <v xml:space="preserve"> - Thép tấm</v>
      </c>
      <c r="F520" s="66" t="str">
        <f>'Giá VL'!F41</f>
        <v>kg</v>
      </c>
      <c r="G520" s="134">
        <f>PTVT!G520</f>
        <v>51.81</v>
      </c>
      <c r="H520" s="135">
        <f>'Giá VL'!V41</f>
        <v>17587.694379947148</v>
      </c>
      <c r="I520" s="144">
        <f>'5.Tiên lượng'!V135</f>
        <v>1</v>
      </c>
      <c r="J520" s="135">
        <f t="shared" ref="J520:J523" si="69">PRODUCT(G520,H520,I520)</f>
        <v>911218.44582506176</v>
      </c>
    </row>
    <row r="521" spans="1:10">
      <c r="A521" s="67"/>
      <c r="B521" s="66"/>
      <c r="C521" s="132" t="s">
        <v>590</v>
      </c>
      <c r="D521" s="133" t="s">
        <v>664</v>
      </c>
      <c r="E521" s="102" t="str">
        <f>" - "&amp;'Giá VL'!E39</f>
        <v xml:space="preserve"> - Thép hình</v>
      </c>
      <c r="F521" s="66" t="str">
        <f>'Giá VL'!F39</f>
        <v>kg</v>
      </c>
      <c r="G521" s="134">
        <f>PTVT!G521</f>
        <v>32.020000000000003</v>
      </c>
      <c r="H521" s="135">
        <f>'Giá VL'!V39</f>
        <v>17587.694379947148</v>
      </c>
      <c r="I521" s="144">
        <f>'5.Tiên lượng'!V135</f>
        <v>1</v>
      </c>
      <c r="J521" s="135">
        <f t="shared" si="69"/>
        <v>563157.97404590773</v>
      </c>
    </row>
    <row r="522" spans="1:10">
      <c r="A522" s="67"/>
      <c r="B522" s="66"/>
      <c r="C522" s="132" t="s">
        <v>590</v>
      </c>
      <c r="D522" s="133" t="s">
        <v>628</v>
      </c>
      <c r="E522" s="102" t="str">
        <f>" - "&amp;'Giá VL'!E37</f>
        <v xml:space="preserve"> - Que hàn</v>
      </c>
      <c r="F522" s="66" t="str">
        <f>'Giá VL'!F37</f>
        <v>kg</v>
      </c>
      <c r="G522" s="134">
        <f>PTVT!G522</f>
        <v>3.26</v>
      </c>
      <c r="H522" s="135">
        <f>'Giá VL'!V37</f>
        <v>22000</v>
      </c>
      <c r="I522" s="144">
        <f>'5.Tiên lượng'!V135</f>
        <v>1</v>
      </c>
      <c r="J522" s="135">
        <f t="shared" si="69"/>
        <v>71720</v>
      </c>
    </row>
    <row r="523" spans="1:10">
      <c r="A523" s="67"/>
      <c r="B523" s="66"/>
      <c r="C523" s="132" t="s">
        <v>590</v>
      </c>
      <c r="D523" s="133" t="s">
        <v>620</v>
      </c>
      <c r="E523" s="102" t="s">
        <v>621</v>
      </c>
      <c r="F523" s="66" t="s">
        <v>37</v>
      </c>
      <c r="G523" s="134">
        <f>PTVT!G523</f>
        <v>5</v>
      </c>
      <c r="H523" s="135">
        <f>(G520*H520+G521*H521+G522*H522)/100</f>
        <v>15460.964198709693</v>
      </c>
      <c r="I523" s="144">
        <f>'5.Tiên lượng'!V135</f>
        <v>1</v>
      </c>
      <c r="J523" s="135">
        <f t="shared" si="69"/>
        <v>77304.820993548463</v>
      </c>
    </row>
    <row r="524" spans="1:10">
      <c r="A524" s="126"/>
      <c r="B524" s="127"/>
      <c r="C524" s="128" t="s">
        <v>590</v>
      </c>
      <c r="D524" s="128" t="s">
        <v>590</v>
      </c>
      <c r="E524" s="129" t="s">
        <v>265</v>
      </c>
      <c r="F524" s="127" t="s">
        <v>266</v>
      </c>
      <c r="G524" s="130"/>
      <c r="H524" s="131"/>
      <c r="I524" s="143"/>
      <c r="J524" s="131">
        <f>SUM(J525:J525)</f>
        <v>3590377</v>
      </c>
    </row>
    <row r="525" spans="1:10">
      <c r="A525" s="67"/>
      <c r="B525" s="66"/>
      <c r="C525" s="132" t="s">
        <v>590</v>
      </c>
      <c r="D525" s="133" t="s">
        <v>629</v>
      </c>
      <c r="E525" s="102" t="str">
        <f>" - "&amp;'Giá NC'!E10</f>
        <v xml:space="preserve"> - Nhân công bậc 4,0/7 - Nhóm 2</v>
      </c>
      <c r="F525" s="66" t="str">
        <f>'Giá NC'!F10</f>
        <v>công</v>
      </c>
      <c r="G525" s="134">
        <f>PTVT!G525</f>
        <v>12.25</v>
      </c>
      <c r="H525" s="135">
        <f>'Giá NC'!K10</f>
        <v>293092</v>
      </c>
      <c r="I525" s="144">
        <f>'5.Tiên lượng'!W135</f>
        <v>1</v>
      </c>
      <c r="J525" s="135">
        <f>PRODUCT(G525,H525,I525)</f>
        <v>3590377</v>
      </c>
    </row>
    <row r="526" spans="1:10">
      <c r="A526" s="126"/>
      <c r="B526" s="127"/>
      <c r="C526" s="128" t="s">
        <v>590</v>
      </c>
      <c r="D526" s="128" t="s">
        <v>590</v>
      </c>
      <c r="E526" s="129" t="s">
        <v>267</v>
      </c>
      <c r="F526" s="127" t="s">
        <v>268</v>
      </c>
      <c r="G526" s="130"/>
      <c r="H526" s="131"/>
      <c r="I526" s="143"/>
      <c r="J526" s="131">
        <f>SUM(J527:J528)</f>
        <v>357131.12499350397</v>
      </c>
    </row>
    <row r="527" spans="1:10">
      <c r="A527" s="67"/>
      <c r="B527" s="66"/>
      <c r="C527" s="132" t="s">
        <v>590</v>
      </c>
      <c r="D527" s="133" t="s">
        <v>630</v>
      </c>
      <c r="E527" s="102" t="str">
        <f>" - "&amp;'Giá Máy'!E16</f>
        <v xml:space="preserve"> - Máy hàn điện 23kW</v>
      </c>
      <c r="F527" s="66" t="str">
        <f>'Giá Máy'!F16</f>
        <v>ca</v>
      </c>
      <c r="G527" s="134">
        <f>PTVT!G527</f>
        <v>0.82</v>
      </c>
      <c r="H527" s="135">
        <f>'Giá Máy'!O16</f>
        <v>426986.04135999997</v>
      </c>
      <c r="I527" s="144">
        <f>'5.Tiên lượng'!X135</f>
        <v>1</v>
      </c>
      <c r="J527" s="135">
        <f t="shared" ref="J527:J528" si="70">PRODUCT(G527,H527,I527)</f>
        <v>350128.55391519994</v>
      </c>
    </row>
    <row r="528" spans="1:10">
      <c r="A528" s="104"/>
      <c r="B528" s="105"/>
      <c r="C528" s="136" t="s">
        <v>590</v>
      </c>
      <c r="D528" s="137" t="s">
        <v>611</v>
      </c>
      <c r="E528" s="106" t="s">
        <v>612</v>
      </c>
      <c r="F528" s="105" t="s">
        <v>37</v>
      </c>
      <c r="G528" s="138">
        <f>PTVT!G528</f>
        <v>2</v>
      </c>
      <c r="H528" s="139">
        <f>(G527*H527)/100</f>
        <v>3501.2855391519993</v>
      </c>
      <c r="I528" s="145">
        <f>'5.Tiên lượng'!X135</f>
        <v>1</v>
      </c>
      <c r="J528" s="139">
        <f t="shared" si="70"/>
        <v>7002.5710783039985</v>
      </c>
    </row>
    <row r="529" spans="1:10" ht="27.6">
      <c r="A529" s="121"/>
      <c r="B529" s="122">
        <v>58</v>
      </c>
      <c r="C529" s="121" t="str">
        <f>'5.Tiên lượng'!C138</f>
        <v>AG.11413</v>
      </c>
      <c r="D529" s="121" t="str">
        <f>'5.Tiên lượng'!C138</f>
        <v>AG.11413</v>
      </c>
      <c r="E529" s="123" t="str">
        <f>'5.Tiên lượng'!D138</f>
        <v>Bê tông tấm đan, mái hắt, lanh tô, bê tông M250, đá 1x2, PCB40 - Đổ bê tông đúc sẵn bằng thủ công (vữa bê tông sản xuất bằng máy trộn)</v>
      </c>
      <c r="F529" s="122" t="str">
        <f>'5.Tiên lượng'!E138</f>
        <v>m3</v>
      </c>
      <c r="G529" s="124"/>
      <c r="H529" s="125"/>
      <c r="I529" s="141"/>
      <c r="J529" s="142">
        <f>J530+J536+J538</f>
        <v>1678630.0283931983</v>
      </c>
    </row>
    <row r="530" spans="1:10">
      <c r="A530" s="126"/>
      <c r="B530" s="127"/>
      <c r="C530" s="128" t="s">
        <v>590</v>
      </c>
      <c r="D530" s="128" t="s">
        <v>590</v>
      </c>
      <c r="E530" s="129" t="s">
        <v>262</v>
      </c>
      <c r="F530" s="127" t="s">
        <v>263</v>
      </c>
      <c r="G530" s="130"/>
      <c r="H530" s="131"/>
      <c r="I530" s="143"/>
      <c r="J530" s="131">
        <f>SUM(J531:J535)</f>
        <v>1171098.5194719234</v>
      </c>
    </row>
    <row r="531" spans="1:10">
      <c r="A531" s="67"/>
      <c r="B531" s="66"/>
      <c r="C531" s="132" t="s">
        <v>590</v>
      </c>
      <c r="D531" s="133" t="s">
        <v>614</v>
      </c>
      <c r="E531" s="102" t="str">
        <f>" - "&amp;'Giá VL'!E45</f>
        <v xml:space="preserve"> - Xi măng PCB40</v>
      </c>
      <c r="F531" s="66" t="str">
        <f>'Giá VL'!F45</f>
        <v>kg</v>
      </c>
      <c r="G531" s="134">
        <f>PTVT!G531</f>
        <v>305.51499999999999</v>
      </c>
      <c r="H531" s="135">
        <f>'Giá VL'!V45</f>
        <v>1730</v>
      </c>
      <c r="I531" s="144">
        <f>'5.Tiên lượng'!V138</f>
        <v>1</v>
      </c>
      <c r="J531" s="135">
        <f t="shared" ref="J531:J535" si="71">PRODUCT(G531,H531,I531)</f>
        <v>528540.94999999995</v>
      </c>
    </row>
    <row r="532" spans="1:10">
      <c r="A532" s="67"/>
      <c r="B532" s="66"/>
      <c r="C532" s="132" t="s">
        <v>590</v>
      </c>
      <c r="D532" s="133" t="s">
        <v>615</v>
      </c>
      <c r="E532" s="102" t="str">
        <f>" - "&amp;'Giá VL'!E17</f>
        <v xml:space="preserve"> - Cát vàng</v>
      </c>
      <c r="F532" s="66" t="str">
        <f>'Giá VL'!F17</f>
        <v>m3</v>
      </c>
      <c r="G532" s="134">
        <f>PTVT!G532</f>
        <v>0.52678499999999995</v>
      </c>
      <c r="H532" s="135">
        <f>'Giá VL'!V17</f>
        <v>659026.49526849983</v>
      </c>
      <c r="I532" s="144">
        <f>'5.Tiên lượng'!V138</f>
        <v>1</v>
      </c>
      <c r="J532" s="135">
        <f t="shared" si="71"/>
        <v>347165.27231001662</v>
      </c>
    </row>
    <row r="533" spans="1:10">
      <c r="A533" s="67"/>
      <c r="B533" s="66"/>
      <c r="C533" s="132" t="s">
        <v>590</v>
      </c>
      <c r="D533" s="133" t="s">
        <v>659</v>
      </c>
      <c r="E533" s="102" t="str">
        <f>" - "&amp;'Giá VL'!E18</f>
        <v xml:space="preserve"> - Đá 1x2</v>
      </c>
      <c r="F533" s="66" t="str">
        <f>'Giá VL'!F18</f>
        <v>m3</v>
      </c>
      <c r="G533" s="134">
        <f>PTVT!G533</f>
        <v>0.86782499999999996</v>
      </c>
      <c r="H533" s="135">
        <f>'Giá VL'!V18</f>
        <v>330458.0547558713</v>
      </c>
      <c r="I533" s="144">
        <f>'5.Tiên lượng'!V138</f>
        <v>1</v>
      </c>
      <c r="J533" s="135">
        <f t="shared" si="71"/>
        <v>286779.76136851398</v>
      </c>
    </row>
    <row r="534" spans="1:10">
      <c r="A534" s="67"/>
      <c r="B534" s="66"/>
      <c r="C534" s="132" t="s">
        <v>590</v>
      </c>
      <c r="D534" s="133" t="s">
        <v>617</v>
      </c>
      <c r="E534" s="102" t="str">
        <f>" - "&amp;'Giá VL'!E33</f>
        <v xml:space="preserve"> - Nước</v>
      </c>
      <c r="F534" s="66" t="str">
        <f>'Giá VL'!F33</f>
        <v>lít</v>
      </c>
      <c r="G534" s="134">
        <f>PTVT!G534</f>
        <v>185.745</v>
      </c>
      <c r="H534" s="135">
        <f>'Giá VL'!V33</f>
        <v>15</v>
      </c>
      <c r="I534" s="144">
        <f>'5.Tiên lượng'!V138</f>
        <v>1</v>
      </c>
      <c r="J534" s="135">
        <f t="shared" si="71"/>
        <v>2786.1750000000002</v>
      </c>
    </row>
    <row r="535" spans="1:10">
      <c r="A535" s="67"/>
      <c r="B535" s="66"/>
      <c r="C535" s="132" t="s">
        <v>590</v>
      </c>
      <c r="D535" s="133" t="s">
        <v>620</v>
      </c>
      <c r="E535" s="102" t="s">
        <v>621</v>
      </c>
      <c r="F535" s="66" t="s">
        <v>37</v>
      </c>
      <c r="G535" s="134">
        <f>PTVT!G535</f>
        <v>0.5</v>
      </c>
      <c r="H535" s="135">
        <f>(G531*H531+G532*H532+G533*H533+G534*H534)/100</f>
        <v>11652.721586785306</v>
      </c>
      <c r="I535" s="144">
        <f>'5.Tiên lượng'!V138</f>
        <v>1</v>
      </c>
      <c r="J535" s="135">
        <f t="shared" si="71"/>
        <v>5826.3607933926532</v>
      </c>
    </row>
    <row r="536" spans="1:10">
      <c r="A536" s="126"/>
      <c r="B536" s="127"/>
      <c r="C536" s="128" t="s">
        <v>590</v>
      </c>
      <c r="D536" s="128" t="s">
        <v>590</v>
      </c>
      <c r="E536" s="129" t="s">
        <v>265</v>
      </c>
      <c r="F536" s="127" t="s">
        <v>266</v>
      </c>
      <c r="G536" s="130"/>
      <c r="H536" s="131"/>
      <c r="I536" s="143"/>
      <c r="J536" s="131">
        <f>SUM(J537:J537)</f>
        <v>476532.44</v>
      </c>
    </row>
    <row r="537" spans="1:10">
      <c r="A537" s="67"/>
      <c r="B537" s="66"/>
      <c r="C537" s="132" t="s">
        <v>590</v>
      </c>
      <c r="D537" s="133" t="s">
        <v>605</v>
      </c>
      <c r="E537" s="102" t="str">
        <f>" - "&amp;'Giá NC'!E8</f>
        <v xml:space="preserve"> - Nhân công bậc 3,0/7 - Nhóm 2</v>
      </c>
      <c r="F537" s="66" t="str">
        <f>'Giá NC'!F8</f>
        <v>công</v>
      </c>
      <c r="G537" s="134">
        <f>PTVT!G537</f>
        <v>1.93</v>
      </c>
      <c r="H537" s="135">
        <f>'Giá NC'!K8</f>
        <v>246908</v>
      </c>
      <c r="I537" s="144">
        <f>'5.Tiên lượng'!W138</f>
        <v>1</v>
      </c>
      <c r="J537" s="135">
        <f>PRODUCT(G537,H537,I537)</f>
        <v>476532.44</v>
      </c>
    </row>
    <row r="538" spans="1:10">
      <c r="A538" s="126"/>
      <c r="B538" s="127"/>
      <c r="C538" s="128" t="s">
        <v>590</v>
      </c>
      <c r="D538" s="128" t="s">
        <v>590</v>
      </c>
      <c r="E538" s="129" t="s">
        <v>267</v>
      </c>
      <c r="F538" s="127" t="s">
        <v>268</v>
      </c>
      <c r="G538" s="130"/>
      <c r="H538" s="131"/>
      <c r="I538" s="143"/>
      <c r="J538" s="131">
        <f>SUM(J539:J539)</f>
        <v>30999.068921274997</v>
      </c>
    </row>
    <row r="539" spans="1:10">
      <c r="A539" s="104"/>
      <c r="B539" s="105"/>
      <c r="C539" s="136" t="s">
        <v>590</v>
      </c>
      <c r="D539" s="137" t="s">
        <v>623</v>
      </c>
      <c r="E539" s="106" t="str">
        <f>" - "&amp;'Giá Máy'!E27</f>
        <v xml:space="preserve"> - Máy trộn bê tông 250 lít</v>
      </c>
      <c r="F539" s="105" t="str">
        <f>'Giá Máy'!F27</f>
        <v>ca</v>
      </c>
      <c r="G539" s="138">
        <f>PTVT!G539</f>
        <v>9.5000000000000001E-2</v>
      </c>
      <c r="H539" s="139">
        <f>'Giá Máy'!O27</f>
        <v>326305.98864499998</v>
      </c>
      <c r="I539" s="145">
        <f>'5.Tiên lượng'!X138</f>
        <v>1</v>
      </c>
      <c r="J539" s="139">
        <f>PRODUCT(G539,H539,I539)</f>
        <v>30999.068921274997</v>
      </c>
    </row>
    <row r="540" spans="1:10">
      <c r="A540" s="121"/>
      <c r="B540" s="122">
        <v>59</v>
      </c>
      <c r="C540" s="121" t="str">
        <f>'5.Tiên lượng'!C139</f>
        <v>AG.41610</v>
      </c>
      <c r="D540" s="121" t="str">
        <f>'5.Tiên lượng'!C139</f>
        <v>AG.41610</v>
      </c>
      <c r="E540" s="123" t="str">
        <f>'5.Tiên lượng'!D139</f>
        <v>Lắp đặt cấu kiện bê tông đúc sẵn trọng lượng từ 50kg đến 200kg bằng cần cẩu</v>
      </c>
      <c r="F540" s="122" t="str">
        <f>'5.Tiên lượng'!E139</f>
        <v>1cấu kiện</v>
      </c>
      <c r="G540" s="124"/>
      <c r="H540" s="125"/>
      <c r="I540" s="141"/>
      <c r="J540" s="142">
        <f>J541+J543</f>
        <v>31584.390499999994</v>
      </c>
    </row>
    <row r="541" spans="1:10">
      <c r="A541" s="126"/>
      <c r="B541" s="127"/>
      <c r="C541" s="128" t="s">
        <v>590</v>
      </c>
      <c r="D541" s="128" t="s">
        <v>590</v>
      </c>
      <c r="E541" s="129" t="s">
        <v>265</v>
      </c>
      <c r="F541" s="127" t="s">
        <v>266</v>
      </c>
      <c r="G541" s="130"/>
      <c r="H541" s="131"/>
      <c r="I541" s="143"/>
      <c r="J541" s="131">
        <f>SUM(J542:J542)</f>
        <v>7407.24</v>
      </c>
    </row>
    <row r="542" spans="1:10">
      <c r="A542" s="67"/>
      <c r="B542" s="66"/>
      <c r="C542" s="132" t="s">
        <v>590</v>
      </c>
      <c r="D542" s="133" t="s">
        <v>605</v>
      </c>
      <c r="E542" s="102" t="str">
        <f>" - "&amp;'Giá NC'!E8</f>
        <v xml:space="preserve"> - Nhân công bậc 3,0/7 - Nhóm 2</v>
      </c>
      <c r="F542" s="66" t="str">
        <f>'Giá NC'!F8</f>
        <v>công</v>
      </c>
      <c r="G542" s="134">
        <f>PTVT!G542</f>
        <v>0.03</v>
      </c>
      <c r="H542" s="135">
        <f>'Giá NC'!K8</f>
        <v>246908</v>
      </c>
      <c r="I542" s="144">
        <f>'5.Tiên lượng'!W139</f>
        <v>1</v>
      </c>
      <c r="J542" s="135">
        <f>PRODUCT(G542,H542,I542)</f>
        <v>7407.24</v>
      </c>
    </row>
    <row r="543" spans="1:10">
      <c r="A543" s="126"/>
      <c r="B543" s="127"/>
      <c r="C543" s="128" t="s">
        <v>590</v>
      </c>
      <c r="D543" s="128" t="s">
        <v>590</v>
      </c>
      <c r="E543" s="129" t="s">
        <v>267</v>
      </c>
      <c r="F543" s="127" t="s">
        <v>268</v>
      </c>
      <c r="G543" s="130"/>
      <c r="H543" s="131"/>
      <c r="I543" s="143"/>
      <c r="J543" s="131">
        <f>SUM(J544:J544)</f>
        <v>24177.150499999996</v>
      </c>
    </row>
    <row r="544" spans="1:10">
      <c r="A544" s="104"/>
      <c r="B544" s="105"/>
      <c r="C544" s="136" t="s">
        <v>590</v>
      </c>
      <c r="D544" s="137" t="s">
        <v>665</v>
      </c>
      <c r="E544" s="106" t="str">
        <f>" - "&amp;'Giá Máy'!E6</f>
        <v xml:space="preserve"> - Cần cẩu bánh hơi 6T</v>
      </c>
      <c r="F544" s="105" t="str">
        <f>'Giá Máy'!F6</f>
        <v>ca</v>
      </c>
      <c r="G544" s="138">
        <f>PTVT!G544</f>
        <v>1.4999999999999999E-2</v>
      </c>
      <c r="H544" s="139">
        <f>'Giá Máy'!O6</f>
        <v>1611810.0333333332</v>
      </c>
      <c r="I544" s="145">
        <f>'5.Tiên lượng'!X139</f>
        <v>1</v>
      </c>
      <c r="J544" s="139">
        <f>PRODUCT(G544,H544,I544)</f>
        <v>24177.150499999996</v>
      </c>
    </row>
    <row r="545" spans="1:10">
      <c r="A545" s="121"/>
      <c r="B545" s="122">
        <v>60</v>
      </c>
      <c r="C545" s="121" t="str">
        <f>'5.Tiên lượng'!C141</f>
        <v>AG.13231</v>
      </c>
      <c r="D545" s="121" t="str">
        <f>'5.Tiên lượng'!C141</f>
        <v>AG.13231</v>
      </c>
      <c r="E545" s="123" t="str">
        <f>'5.Tiên lượng'!D141</f>
        <v>Cốt thép tấm đậy</v>
      </c>
      <c r="F545" s="122" t="str">
        <f>'5.Tiên lượng'!E141</f>
        <v>tấn</v>
      </c>
      <c r="G545" s="124"/>
      <c r="H545" s="125"/>
      <c r="I545" s="141"/>
      <c r="J545" s="142">
        <f>J546+J549+J551</f>
        <v>22762862.112314757</v>
      </c>
    </row>
    <row r="546" spans="1:10">
      <c r="A546" s="126"/>
      <c r="B546" s="127"/>
      <c r="C546" s="128" t="s">
        <v>590</v>
      </c>
      <c r="D546" s="128" t="s">
        <v>590</v>
      </c>
      <c r="E546" s="129" t="s">
        <v>262</v>
      </c>
      <c r="F546" s="127" t="s">
        <v>263</v>
      </c>
      <c r="G546" s="130"/>
      <c r="H546" s="131"/>
      <c r="I546" s="143"/>
      <c r="J546" s="131">
        <f>SUM(J547:J548)</f>
        <v>18260848.267546091</v>
      </c>
    </row>
    <row r="547" spans="1:10">
      <c r="A547" s="67"/>
      <c r="B547" s="66"/>
      <c r="C547" s="132" t="s">
        <v>590</v>
      </c>
      <c r="D547" s="133" t="s">
        <v>666</v>
      </c>
      <c r="E547" s="102" t="str">
        <f>" - "&amp;'Giá VL'!E42</f>
        <v xml:space="preserve"> - Thép tròn</v>
      </c>
      <c r="F547" s="66" t="str">
        <f>'Giá VL'!F42</f>
        <v>kg</v>
      </c>
      <c r="G547" s="134">
        <f>PTVT!G547</f>
        <v>1020</v>
      </c>
      <c r="H547" s="135">
        <f>'Giá VL'!V42</f>
        <v>17587.694379947148</v>
      </c>
      <c r="I547" s="144">
        <f>'5.Tiên lượng'!V141</f>
        <v>1</v>
      </c>
      <c r="J547" s="135">
        <f t="shared" ref="J547:J548" si="72">PRODUCT(G547,H547,I547)</f>
        <v>17939448.267546091</v>
      </c>
    </row>
    <row r="548" spans="1:10">
      <c r="A548" s="67"/>
      <c r="B548" s="66"/>
      <c r="C548" s="132" t="s">
        <v>590</v>
      </c>
      <c r="D548" s="133" t="s">
        <v>662</v>
      </c>
      <c r="E548" s="102" t="str">
        <f>" - "&amp;'Giá VL'!E23</f>
        <v xml:space="preserve"> - Dây thép</v>
      </c>
      <c r="F548" s="66" t="str">
        <f>'Giá VL'!F23</f>
        <v>kg</v>
      </c>
      <c r="G548" s="134">
        <f>PTVT!G548</f>
        <v>16.07</v>
      </c>
      <c r="H548" s="135">
        <f>'Giá VL'!V23</f>
        <v>20000</v>
      </c>
      <c r="I548" s="144">
        <f>'5.Tiên lượng'!V141</f>
        <v>1</v>
      </c>
      <c r="J548" s="135">
        <f t="shared" si="72"/>
        <v>321400</v>
      </c>
    </row>
    <row r="549" spans="1:10">
      <c r="A549" s="126"/>
      <c r="B549" s="127"/>
      <c r="C549" s="128" t="s">
        <v>590</v>
      </c>
      <c r="D549" s="128" t="s">
        <v>590</v>
      </c>
      <c r="E549" s="129" t="s">
        <v>265</v>
      </c>
      <c r="F549" s="127" t="s">
        <v>266</v>
      </c>
      <c r="G549" s="130"/>
      <c r="H549" s="131"/>
      <c r="I549" s="143"/>
      <c r="J549" s="131">
        <f>SUM(J550:J550)</f>
        <v>4387500</v>
      </c>
    </row>
    <row r="550" spans="1:10">
      <c r="A550" s="67"/>
      <c r="B550" s="66"/>
      <c r="C550" s="132" t="s">
        <v>590</v>
      </c>
      <c r="D550" s="133" t="s">
        <v>622</v>
      </c>
      <c r="E550" s="102" t="str">
        <f>" - "&amp;'Giá NC'!E9</f>
        <v xml:space="preserve"> - Nhân công bậc 3,5/7 - Nhóm 2</v>
      </c>
      <c r="F550" s="66" t="str">
        <f>'Giá NC'!F9</f>
        <v>công</v>
      </c>
      <c r="G550" s="134">
        <f>PTVT!G550</f>
        <v>16.25</v>
      </c>
      <c r="H550" s="135">
        <f>'Giá NC'!K9</f>
        <v>270000</v>
      </c>
      <c r="I550" s="144">
        <f>'5.Tiên lượng'!W141</f>
        <v>1</v>
      </c>
      <c r="J550" s="135">
        <f>PRODUCT(G550,H550,I550)</f>
        <v>4387500</v>
      </c>
    </row>
    <row r="551" spans="1:10">
      <c r="A551" s="126"/>
      <c r="B551" s="127"/>
      <c r="C551" s="128" t="s">
        <v>590</v>
      </c>
      <c r="D551" s="128" t="s">
        <v>590</v>
      </c>
      <c r="E551" s="129" t="s">
        <v>267</v>
      </c>
      <c r="F551" s="127" t="s">
        <v>268</v>
      </c>
      <c r="G551" s="130"/>
      <c r="H551" s="131"/>
      <c r="I551" s="143"/>
      <c r="J551" s="131">
        <f>SUM(J552:J552)</f>
        <v>114513.84476866666</v>
      </c>
    </row>
    <row r="552" spans="1:10">
      <c r="A552" s="104"/>
      <c r="B552" s="105"/>
      <c r="C552" s="136" t="s">
        <v>590</v>
      </c>
      <c r="D552" s="137" t="s">
        <v>633</v>
      </c>
      <c r="E552" s="106" t="str">
        <f>" - "&amp;'Giá Máy'!E9</f>
        <v xml:space="preserve"> - Máy cắt uốn cốt thép 5kW</v>
      </c>
      <c r="F552" s="105" t="str">
        <f>'Giá Máy'!F9</f>
        <v>ca</v>
      </c>
      <c r="G552" s="138">
        <f>PTVT!G552</f>
        <v>0.4</v>
      </c>
      <c r="H552" s="139">
        <f>'Giá Máy'!O9</f>
        <v>286284.61192166666</v>
      </c>
      <c r="I552" s="145">
        <f>'5.Tiên lượng'!X141</f>
        <v>1</v>
      </c>
      <c r="J552" s="139">
        <f>PRODUCT(G552,H552,I552)</f>
        <v>114513.84476866666</v>
      </c>
    </row>
    <row r="553" spans="1:10">
      <c r="A553" s="121"/>
      <c r="B553" s="122">
        <v>61</v>
      </c>
      <c r="C553" s="121" t="str">
        <f>'5.Tiên lượng'!C143</f>
        <v>AG.32511</v>
      </c>
      <c r="D553" s="121" t="str">
        <f>'5.Tiên lượng'!C143</f>
        <v>AG.32511</v>
      </c>
      <c r="E553" s="123" t="str">
        <f>'5.Tiên lượng'!D143</f>
        <v>Ván khuôn thép tấm đậy</v>
      </c>
      <c r="F553" s="122" t="str">
        <f>'5.Tiên lượng'!E143</f>
        <v>100m2</v>
      </c>
      <c r="G553" s="124"/>
      <c r="H553" s="125"/>
      <c r="I553" s="141"/>
      <c r="J553" s="142">
        <f>J554+J559+J561</f>
        <v>7600456.2461377727</v>
      </c>
    </row>
    <row r="554" spans="1:10">
      <c r="A554" s="126"/>
      <c r="B554" s="127"/>
      <c r="C554" s="128" t="s">
        <v>590</v>
      </c>
      <c r="D554" s="128" t="s">
        <v>590</v>
      </c>
      <c r="E554" s="129" t="s">
        <v>262</v>
      </c>
      <c r="F554" s="127" t="s">
        <v>263</v>
      </c>
      <c r="G554" s="130"/>
      <c r="H554" s="131"/>
      <c r="I554" s="143"/>
      <c r="J554" s="131">
        <f>SUM(J555:J558)</f>
        <v>705646.47372225288</v>
      </c>
    </row>
    <row r="555" spans="1:10">
      <c r="A555" s="67"/>
      <c r="B555" s="66"/>
      <c r="C555" s="132" t="s">
        <v>590</v>
      </c>
      <c r="D555" s="133" t="s">
        <v>663</v>
      </c>
      <c r="E555" s="102" t="str">
        <f>" - "&amp;'Giá VL'!E41</f>
        <v xml:space="preserve"> - Thép tấm</v>
      </c>
      <c r="F555" s="66" t="str">
        <f>'Giá VL'!F41</f>
        <v>kg</v>
      </c>
      <c r="G555" s="134">
        <f>PTVT!G555</f>
        <v>23.03</v>
      </c>
      <c r="H555" s="135">
        <f>'Giá VL'!V41</f>
        <v>17587.694379947148</v>
      </c>
      <c r="I555" s="144">
        <f>'5.Tiên lượng'!V143</f>
        <v>1</v>
      </c>
      <c r="J555" s="135">
        <f t="shared" ref="J555:J558" si="73">PRODUCT(G555,H555,I555)</f>
        <v>405044.60157018283</v>
      </c>
    </row>
    <row r="556" spans="1:10">
      <c r="A556" s="67"/>
      <c r="B556" s="66"/>
      <c r="C556" s="132" t="s">
        <v>590</v>
      </c>
      <c r="D556" s="133" t="s">
        <v>664</v>
      </c>
      <c r="E556" s="102" t="str">
        <f>" - "&amp;'Giá VL'!E39</f>
        <v xml:space="preserve"> - Thép hình</v>
      </c>
      <c r="F556" s="66" t="str">
        <f>'Giá VL'!F39</f>
        <v>kg</v>
      </c>
      <c r="G556" s="134">
        <f>PTVT!G556</f>
        <v>13.68</v>
      </c>
      <c r="H556" s="135">
        <f>'Giá VL'!V39</f>
        <v>17587.694379947148</v>
      </c>
      <c r="I556" s="144">
        <f>'5.Tiên lượng'!V143</f>
        <v>1</v>
      </c>
      <c r="J556" s="135">
        <f t="shared" si="73"/>
        <v>240599.65911767699</v>
      </c>
    </row>
    <row r="557" spans="1:10">
      <c r="A557" s="67"/>
      <c r="B557" s="66"/>
      <c r="C557" s="132" t="s">
        <v>590</v>
      </c>
      <c r="D557" s="133" t="s">
        <v>628</v>
      </c>
      <c r="E557" s="102" t="str">
        <f>" - "&amp;'Giá VL'!E37</f>
        <v xml:space="preserve"> - Que hàn</v>
      </c>
      <c r="F557" s="66" t="str">
        <f>'Giá VL'!F37</f>
        <v>kg</v>
      </c>
      <c r="G557" s="134">
        <f>PTVT!G557</f>
        <v>1.2</v>
      </c>
      <c r="H557" s="135">
        <f>'Giá VL'!V37</f>
        <v>22000</v>
      </c>
      <c r="I557" s="144">
        <f>'5.Tiên lượng'!V143</f>
        <v>1</v>
      </c>
      <c r="J557" s="135">
        <f t="shared" si="73"/>
        <v>26400</v>
      </c>
    </row>
    <row r="558" spans="1:10">
      <c r="A558" s="67"/>
      <c r="B558" s="66"/>
      <c r="C558" s="132" t="s">
        <v>590</v>
      </c>
      <c r="D558" s="133" t="s">
        <v>620</v>
      </c>
      <c r="E558" s="102" t="s">
        <v>621</v>
      </c>
      <c r="F558" s="66" t="s">
        <v>37</v>
      </c>
      <c r="G558" s="134">
        <f>PTVT!G558</f>
        <v>5</v>
      </c>
      <c r="H558" s="135">
        <f>(G555*H555+G556*H556+G557*H557)/100</f>
        <v>6720.4426068785988</v>
      </c>
      <c r="I558" s="144">
        <f>'5.Tiên lượng'!V143</f>
        <v>1</v>
      </c>
      <c r="J558" s="135">
        <f t="shared" si="73"/>
        <v>33602.213034392997</v>
      </c>
    </row>
    <row r="559" spans="1:10">
      <c r="A559" s="126"/>
      <c r="B559" s="127"/>
      <c r="C559" s="128" t="s">
        <v>590</v>
      </c>
      <c r="D559" s="128" t="s">
        <v>590</v>
      </c>
      <c r="E559" s="129" t="s">
        <v>265</v>
      </c>
      <c r="F559" s="127" t="s">
        <v>266</v>
      </c>
      <c r="G559" s="130"/>
      <c r="H559" s="131"/>
      <c r="I559" s="143"/>
      <c r="J559" s="131">
        <f>SUM(J560:J560)</f>
        <v>6758701.5199999996</v>
      </c>
    </row>
    <row r="560" spans="1:10">
      <c r="A560" s="67"/>
      <c r="B560" s="66"/>
      <c r="C560" s="132" t="s">
        <v>590</v>
      </c>
      <c r="D560" s="133" t="s">
        <v>629</v>
      </c>
      <c r="E560" s="102" t="str">
        <f>" - "&amp;'Giá NC'!E10</f>
        <v xml:space="preserve"> - Nhân công bậc 4,0/7 - Nhóm 2</v>
      </c>
      <c r="F560" s="66" t="str">
        <f>'Giá NC'!F10</f>
        <v>công</v>
      </c>
      <c r="G560" s="134">
        <f>PTVT!G560</f>
        <v>23.06</v>
      </c>
      <c r="H560" s="135">
        <f>'Giá NC'!K10</f>
        <v>293092</v>
      </c>
      <c r="I560" s="144">
        <f>'5.Tiên lượng'!W143</f>
        <v>1</v>
      </c>
      <c r="J560" s="135">
        <f>PRODUCT(G560,H560,I560)</f>
        <v>6758701.5199999996</v>
      </c>
    </row>
    <row r="561" spans="1:10">
      <c r="A561" s="126"/>
      <c r="B561" s="127"/>
      <c r="C561" s="128" t="s">
        <v>590</v>
      </c>
      <c r="D561" s="128" t="s">
        <v>590</v>
      </c>
      <c r="E561" s="129" t="s">
        <v>267</v>
      </c>
      <c r="F561" s="127" t="s">
        <v>268</v>
      </c>
      <c r="G561" s="130"/>
      <c r="H561" s="131"/>
      <c r="I561" s="143"/>
      <c r="J561" s="131">
        <v>136108.25241551999</v>
      </c>
    </row>
    <row r="562" spans="1:10">
      <c r="A562" s="67"/>
      <c r="B562" s="66"/>
      <c r="C562" s="132" t="s">
        <v>590</v>
      </c>
      <c r="D562" s="133" t="s">
        <v>630</v>
      </c>
      <c r="E562" s="102" t="str">
        <f>" - "&amp;'Giá Máy'!E16</f>
        <v xml:space="preserve"> - Máy hàn điện 23kW</v>
      </c>
      <c r="F562" s="66" t="str">
        <f>'Giá Máy'!F16</f>
        <v>ca</v>
      </c>
      <c r="G562" s="134">
        <f>PTVT!G562</f>
        <v>0.33</v>
      </c>
      <c r="H562" s="135">
        <f>'Giá Máy'!O16</f>
        <v>426986.04135999997</v>
      </c>
      <c r="I562" s="144">
        <f>'5.Tiên lượng'!X143</f>
        <v>1</v>
      </c>
      <c r="J562" s="135">
        <f t="shared" ref="J562:J563" si="74">PRODUCT(G562,H562,I562)</f>
        <v>140905.3936488</v>
      </c>
    </row>
    <row r="563" spans="1:10">
      <c r="A563" s="104"/>
      <c r="B563" s="105"/>
      <c r="C563" s="136" t="s">
        <v>590</v>
      </c>
      <c r="D563" s="137" t="s">
        <v>611</v>
      </c>
      <c r="E563" s="106" t="s">
        <v>612</v>
      </c>
      <c r="F563" s="105" t="s">
        <v>37</v>
      </c>
      <c r="G563" s="138">
        <f>PTVT!G563</f>
        <v>5</v>
      </c>
      <c r="H563" s="139">
        <f>(G562*H562)/100</f>
        <v>1409.0539364880001</v>
      </c>
      <c r="I563" s="145">
        <f>'5.Tiên lượng'!X143</f>
        <v>1</v>
      </c>
      <c r="J563" s="139">
        <f t="shared" si="74"/>
        <v>7045.2696824400009</v>
      </c>
    </row>
    <row r="564" spans="1:10">
      <c r="A564" s="114"/>
      <c r="B564" s="115"/>
      <c r="C564" s="116" t="s">
        <v>339</v>
      </c>
      <c r="D564" s="117" t="s">
        <v>339</v>
      </c>
      <c r="E564" s="118" t="s">
        <v>492</v>
      </c>
      <c r="F564" s="115"/>
      <c r="G564" s="119"/>
      <c r="H564" s="120"/>
      <c r="I564" s="140"/>
      <c r="J564" s="120" t="s">
        <v>597</v>
      </c>
    </row>
    <row r="565" spans="1:10">
      <c r="A565" s="121"/>
      <c r="B565" s="122">
        <v>62</v>
      </c>
      <c r="C565" s="121" t="str">
        <f>'5.Tiên lượng'!C146</f>
        <v>BB.11112</v>
      </c>
      <c r="D565" s="121" t="str">
        <f>'5.Tiên lượng'!C146</f>
        <v>BB.11112</v>
      </c>
      <c r="E565" s="123" t="str">
        <f>'5.Tiên lượng'!D146</f>
        <v xml:space="preserve">Lắp đặt ống bê tông bằng thủ công, đoạn ống dài 1m - Đường kính 300mm </v>
      </c>
      <c r="F565" s="122" t="str">
        <f>'5.Tiên lượng'!E146</f>
        <v>1 đoạn ống</v>
      </c>
      <c r="G565" s="124"/>
      <c r="H565" s="125"/>
      <c r="I565" s="141"/>
      <c r="J565" s="142">
        <f>J566+J569</f>
        <v>411994.36583022942</v>
      </c>
    </row>
    <row r="566" spans="1:10">
      <c r="A566" s="126"/>
      <c r="B566" s="127"/>
      <c r="C566" s="128" t="s">
        <v>590</v>
      </c>
      <c r="D566" s="128" t="s">
        <v>590</v>
      </c>
      <c r="E566" s="129" t="s">
        <v>262</v>
      </c>
      <c r="F566" s="127" t="s">
        <v>263</v>
      </c>
      <c r="G566" s="130"/>
      <c r="H566" s="131"/>
      <c r="I566" s="143"/>
      <c r="J566" s="131">
        <f>SUM(J567:J568)</f>
        <v>341794.36583022942</v>
      </c>
    </row>
    <row r="567" spans="1:10">
      <c r="A567" s="67"/>
      <c r="B567" s="66"/>
      <c r="C567" s="132" t="s">
        <v>590</v>
      </c>
      <c r="D567" s="133" t="s">
        <v>667</v>
      </c>
      <c r="E567" s="102" t="str">
        <f>" - "&amp;'Giá VL'!E5</f>
        <v xml:space="preserve"> - Ống bê tông D300mm, L=1m</v>
      </c>
      <c r="F567" s="66" t="str">
        <f>'Giá VL'!F5</f>
        <v>đoạn</v>
      </c>
      <c r="G567" s="134">
        <f>PTVT!G567</f>
        <v>1</v>
      </c>
      <c r="H567" s="135">
        <f>'Giá VL'!V5</f>
        <v>341623.5540532028</v>
      </c>
      <c r="I567" s="144">
        <f>'5.Tiên lượng'!V146</f>
        <v>1</v>
      </c>
      <c r="J567" s="135">
        <f t="shared" ref="J567:J568" si="75">PRODUCT(G567,H567,I567)</f>
        <v>341623.5540532028</v>
      </c>
    </row>
    <row r="568" spans="1:10">
      <c r="A568" s="67"/>
      <c r="B568" s="66"/>
      <c r="C568" s="132" t="s">
        <v>590</v>
      </c>
      <c r="D568" s="133" t="s">
        <v>620</v>
      </c>
      <c r="E568" s="102" t="s">
        <v>668</v>
      </c>
      <c r="F568" s="66" t="s">
        <v>37</v>
      </c>
      <c r="G568" s="134">
        <f>PTVT!G568</f>
        <v>0.05</v>
      </c>
      <c r="H568" s="135">
        <f>(G567*H567)/100</f>
        <v>3416.2355405320282</v>
      </c>
      <c r="I568" s="144">
        <f>'5.Tiên lượng'!V146</f>
        <v>1</v>
      </c>
      <c r="J568" s="135">
        <f t="shared" si="75"/>
        <v>170.81177702660142</v>
      </c>
    </row>
    <row r="569" spans="1:10">
      <c r="A569" s="126"/>
      <c r="B569" s="127"/>
      <c r="C569" s="128" t="s">
        <v>590</v>
      </c>
      <c r="D569" s="128" t="s">
        <v>590</v>
      </c>
      <c r="E569" s="129" t="s">
        <v>265</v>
      </c>
      <c r="F569" s="127" t="s">
        <v>266</v>
      </c>
      <c r="G569" s="130"/>
      <c r="H569" s="131"/>
      <c r="I569" s="143"/>
      <c r="J569" s="131">
        <f>SUM(J570:J570)</f>
        <v>70200</v>
      </c>
    </row>
    <row r="570" spans="1:10">
      <c r="A570" s="104"/>
      <c r="B570" s="105"/>
      <c r="C570" s="136" t="s">
        <v>590</v>
      </c>
      <c r="D570" s="137" t="s">
        <v>622</v>
      </c>
      <c r="E570" s="106" t="str">
        <f>" - "&amp;'Giá NC'!E9</f>
        <v xml:space="preserve"> - Nhân công bậc 3,5/7 - Nhóm 2</v>
      </c>
      <c r="F570" s="105" t="str">
        <f>'Giá NC'!F9</f>
        <v>công</v>
      </c>
      <c r="G570" s="138">
        <f>PTVT!G570</f>
        <v>0.26</v>
      </c>
      <c r="H570" s="139">
        <f>'Giá NC'!K9</f>
        <v>270000</v>
      </c>
      <c r="I570" s="145">
        <f>'5.Tiên lượng'!W146</f>
        <v>1</v>
      </c>
      <c r="J570" s="139">
        <f>PRODUCT(G570,H570,I570)</f>
        <v>70200</v>
      </c>
    </row>
    <row r="571" spans="1:10">
      <c r="A571" s="121"/>
      <c r="B571" s="122">
        <v>63</v>
      </c>
      <c r="C571" s="121" t="str">
        <f>'5.Tiên lượng'!C147</f>
        <v>BB.11122</v>
      </c>
      <c r="D571" s="121" t="str">
        <f>'5.Tiên lượng'!C147</f>
        <v>BB.11122</v>
      </c>
      <c r="E571" s="123" t="str">
        <f>'5.Tiên lượng'!D147</f>
        <v xml:space="preserve">Lắp đặt ống bê tông bằng thủ công, đoạn ống dài 2m - Đường kính 300mm </v>
      </c>
      <c r="F571" s="122" t="str">
        <f>'5.Tiên lượng'!E147</f>
        <v>1 đoạn ống</v>
      </c>
      <c r="G571" s="124"/>
      <c r="H571" s="125"/>
      <c r="I571" s="141"/>
      <c r="J571" s="142">
        <f>J572+J575</f>
        <v>778088.73166045884</v>
      </c>
    </row>
    <row r="572" spans="1:10">
      <c r="A572" s="126"/>
      <c r="B572" s="127"/>
      <c r="C572" s="128" t="s">
        <v>590</v>
      </c>
      <c r="D572" s="128" t="s">
        <v>590</v>
      </c>
      <c r="E572" s="129" t="s">
        <v>262</v>
      </c>
      <c r="F572" s="127" t="s">
        <v>263</v>
      </c>
      <c r="G572" s="130"/>
      <c r="H572" s="131"/>
      <c r="I572" s="143"/>
      <c r="J572" s="131">
        <f>SUM(J573:J574)</f>
        <v>683588.73166045884</v>
      </c>
    </row>
    <row r="573" spans="1:10">
      <c r="A573" s="67"/>
      <c r="B573" s="66"/>
      <c r="C573" s="132" t="s">
        <v>590</v>
      </c>
      <c r="D573" s="133" t="s">
        <v>669</v>
      </c>
      <c r="E573" s="102" t="str">
        <f>" - "&amp;'Giá VL'!E6</f>
        <v xml:space="preserve"> - Ống bê tông D300mm, L=2m</v>
      </c>
      <c r="F573" s="66" t="str">
        <f>'Giá VL'!F6</f>
        <v>đoạn</v>
      </c>
      <c r="G573" s="134">
        <f>PTVT!G573</f>
        <v>1</v>
      </c>
      <c r="H573" s="135">
        <f>'Giá VL'!V6</f>
        <v>683247.10810640559</v>
      </c>
      <c r="I573" s="144">
        <f>'5.Tiên lượng'!V147</f>
        <v>1</v>
      </c>
      <c r="J573" s="135">
        <f t="shared" ref="J573:J574" si="76">PRODUCT(G573,H573,I573)</f>
        <v>683247.10810640559</v>
      </c>
    </row>
    <row r="574" spans="1:10">
      <c r="A574" s="67"/>
      <c r="B574" s="66"/>
      <c r="C574" s="132" t="s">
        <v>590</v>
      </c>
      <c r="D574" s="133" t="s">
        <v>620</v>
      </c>
      <c r="E574" s="102" t="s">
        <v>668</v>
      </c>
      <c r="F574" s="66" t="s">
        <v>37</v>
      </c>
      <c r="G574" s="134">
        <f>PTVT!G574</f>
        <v>0.05</v>
      </c>
      <c r="H574" s="135">
        <f>(G573*H573)/100</f>
        <v>6832.4710810640563</v>
      </c>
      <c r="I574" s="144">
        <f>'5.Tiên lượng'!V147</f>
        <v>1</v>
      </c>
      <c r="J574" s="135">
        <f t="shared" si="76"/>
        <v>341.62355405320284</v>
      </c>
    </row>
    <row r="575" spans="1:10">
      <c r="A575" s="126"/>
      <c r="B575" s="127"/>
      <c r="C575" s="128" t="s">
        <v>590</v>
      </c>
      <c r="D575" s="128" t="s">
        <v>590</v>
      </c>
      <c r="E575" s="129" t="s">
        <v>265</v>
      </c>
      <c r="F575" s="127" t="s">
        <v>266</v>
      </c>
      <c r="G575" s="130"/>
      <c r="H575" s="131"/>
      <c r="I575" s="143"/>
      <c r="J575" s="131">
        <f>SUM(J576:J576)</f>
        <v>94500</v>
      </c>
    </row>
    <row r="576" spans="1:10">
      <c r="A576" s="104"/>
      <c r="B576" s="105"/>
      <c r="C576" s="136" t="s">
        <v>590</v>
      </c>
      <c r="D576" s="137" t="s">
        <v>622</v>
      </c>
      <c r="E576" s="106" t="str">
        <f>" - "&amp;'Giá NC'!E9</f>
        <v xml:space="preserve"> - Nhân công bậc 3,5/7 - Nhóm 2</v>
      </c>
      <c r="F576" s="105" t="str">
        <f>'Giá NC'!F9</f>
        <v>công</v>
      </c>
      <c r="G576" s="138">
        <f>PTVT!G576</f>
        <v>0.35</v>
      </c>
      <c r="H576" s="139">
        <f>'Giá NC'!K9</f>
        <v>270000</v>
      </c>
      <c r="I576" s="145">
        <f>'5.Tiên lượng'!W147</f>
        <v>1</v>
      </c>
      <c r="J576" s="139">
        <f>PRODUCT(G576,H576,I576)</f>
        <v>94500</v>
      </c>
    </row>
    <row r="577" spans="1:10">
      <c r="A577" s="121"/>
      <c r="B577" s="122">
        <v>64</v>
      </c>
      <c r="C577" s="121" t="str">
        <f>'5.Tiên lượng'!C148</f>
        <v>BB.13502</v>
      </c>
      <c r="D577" s="121" t="str">
        <f>'5.Tiên lượng'!C148</f>
        <v>BB.13502</v>
      </c>
      <c r="E577" s="123" t="str">
        <f>'5.Tiên lượng'!D148</f>
        <v xml:space="preserve">Nối ống bê tông bằng phương pháp xảm - Đường kính 300mm </v>
      </c>
      <c r="F577" s="122" t="str">
        <f>'5.Tiên lượng'!E148</f>
        <v>mối nối</v>
      </c>
      <c r="G577" s="124"/>
      <c r="H577" s="125"/>
      <c r="I577" s="141"/>
      <c r="J577" s="142">
        <f>J578+J582</f>
        <v>26121.970135103416</v>
      </c>
    </row>
    <row r="578" spans="1:10">
      <c r="A578" s="126"/>
      <c r="B578" s="127"/>
      <c r="C578" s="128" t="s">
        <v>590</v>
      </c>
      <c r="D578" s="128" t="s">
        <v>590</v>
      </c>
      <c r="E578" s="129" t="s">
        <v>262</v>
      </c>
      <c r="F578" s="127" t="s">
        <v>263</v>
      </c>
      <c r="G578" s="130"/>
      <c r="H578" s="131"/>
      <c r="I578" s="143"/>
      <c r="J578" s="131">
        <f>SUM(J579:J581)</f>
        <v>7221.9701351034164</v>
      </c>
    </row>
    <row r="579" spans="1:10">
      <c r="A579" s="67"/>
      <c r="B579" s="66"/>
      <c r="C579" s="132" t="s">
        <v>590</v>
      </c>
      <c r="D579" s="133" t="s">
        <v>615</v>
      </c>
      <c r="E579" s="102" t="str">
        <f>" - "&amp;'Giá VL'!E17</f>
        <v xml:space="preserve"> - Cát vàng</v>
      </c>
      <c r="F579" s="66" t="str">
        <f>'Giá VL'!F17</f>
        <v>m3</v>
      </c>
      <c r="G579" s="134">
        <f>PTVT!G579</f>
        <v>5.0927999999999998E-3</v>
      </c>
      <c r="H579" s="135">
        <f>'Giá VL'!V17</f>
        <v>659026.49526849983</v>
      </c>
      <c r="I579" s="144">
        <f>'5.Tiên lượng'!V148</f>
        <v>1</v>
      </c>
      <c r="J579" s="135">
        <f t="shared" ref="J579:J581" si="77">PRODUCT(G579,H579,I579)</f>
        <v>3356.2901351034157</v>
      </c>
    </row>
    <row r="580" spans="1:10">
      <c r="A580" s="67"/>
      <c r="B580" s="66"/>
      <c r="C580" s="132" t="s">
        <v>590</v>
      </c>
      <c r="D580" s="133" t="s">
        <v>617</v>
      </c>
      <c r="E580" s="102" t="str">
        <f>" - "&amp;'Giá VL'!E33</f>
        <v xml:space="preserve"> - Nước</v>
      </c>
      <c r="F580" s="66" t="str">
        <f>'Giá VL'!F33</f>
        <v>lít</v>
      </c>
      <c r="G580" s="134">
        <f>PTVT!G580</f>
        <v>1.2767999999999999</v>
      </c>
      <c r="H580" s="135">
        <f>'Giá VL'!V33</f>
        <v>15</v>
      </c>
      <c r="I580" s="144">
        <f>'5.Tiên lượng'!V148</f>
        <v>1</v>
      </c>
      <c r="J580" s="135">
        <f t="shared" si="77"/>
        <v>19.151999999999997</v>
      </c>
    </row>
    <row r="581" spans="1:10">
      <c r="A581" s="67"/>
      <c r="B581" s="66"/>
      <c r="C581" s="132" t="s">
        <v>590</v>
      </c>
      <c r="D581" s="133" t="s">
        <v>670</v>
      </c>
      <c r="E581" s="102" t="str">
        <f>" - "&amp;'Giá VL'!E44</f>
        <v xml:space="preserve"> - Xi măng PCB30</v>
      </c>
      <c r="F581" s="66" t="str">
        <f>'Giá VL'!F44</f>
        <v>kg</v>
      </c>
      <c r="G581" s="134">
        <f>PTVT!G581</f>
        <v>2.2896000000000001</v>
      </c>
      <c r="H581" s="135">
        <f>'Giá VL'!V44</f>
        <v>1680</v>
      </c>
      <c r="I581" s="144">
        <f>'5.Tiên lượng'!V148</f>
        <v>1</v>
      </c>
      <c r="J581" s="135">
        <f t="shared" si="77"/>
        <v>3846.5280000000002</v>
      </c>
    </row>
    <row r="582" spans="1:10">
      <c r="A582" s="126"/>
      <c r="B582" s="127"/>
      <c r="C582" s="128" t="s">
        <v>590</v>
      </c>
      <c r="D582" s="128" t="s">
        <v>590</v>
      </c>
      <c r="E582" s="129" t="s">
        <v>265</v>
      </c>
      <c r="F582" s="127" t="s">
        <v>266</v>
      </c>
      <c r="G582" s="130"/>
      <c r="H582" s="131"/>
      <c r="I582" s="143"/>
      <c r="J582" s="131">
        <f>SUM(J583:J583)</f>
        <v>18900</v>
      </c>
    </row>
    <row r="583" spans="1:10">
      <c r="A583" s="104"/>
      <c r="B583" s="105"/>
      <c r="C583" s="136" t="s">
        <v>590</v>
      </c>
      <c r="D583" s="137" t="s">
        <v>622</v>
      </c>
      <c r="E583" s="106" t="str">
        <f>" - "&amp;'Giá NC'!E9</f>
        <v xml:space="preserve"> - Nhân công bậc 3,5/7 - Nhóm 2</v>
      </c>
      <c r="F583" s="105" t="str">
        <f>'Giá NC'!F9</f>
        <v>công</v>
      </c>
      <c r="G583" s="138">
        <f>PTVT!G583</f>
        <v>7.0000000000000007E-2</v>
      </c>
      <c r="H583" s="139">
        <f>'Giá NC'!K9</f>
        <v>270000</v>
      </c>
      <c r="I583" s="145">
        <f>'5.Tiên lượng'!W148</f>
        <v>1</v>
      </c>
      <c r="J583" s="139">
        <f>PRODUCT(G583,H583,I583)</f>
        <v>18900</v>
      </c>
    </row>
    <row r="584" spans="1:10">
      <c r="A584" s="121"/>
      <c r="B584" s="122">
        <v>65</v>
      </c>
      <c r="C584" s="121" t="str">
        <f>'5.Tiên lượng'!C149</f>
        <v>AB.64113</v>
      </c>
      <c r="D584" s="121" t="str">
        <f>'5.Tiên lượng'!C149</f>
        <v>AB.64113</v>
      </c>
      <c r="E584" s="123" t="str">
        <f>'5.Tiên lượng'!D149</f>
        <v>Đắp nền đường bằng máy lu bánh thép 9T, máy ủi 110CV, độ chặt Y/C K = 0,95</v>
      </c>
      <c r="F584" s="122" t="str">
        <f>'5.Tiên lượng'!E149</f>
        <v>100m3</v>
      </c>
      <c r="G584" s="124"/>
      <c r="H584" s="125"/>
      <c r="I584" s="141"/>
      <c r="J584" s="142">
        <f>J585+J587</f>
        <v>1163810.7994262991</v>
      </c>
    </row>
    <row r="585" spans="1:10">
      <c r="A585" s="126"/>
      <c r="B585" s="127"/>
      <c r="C585" s="128" t="s">
        <v>590</v>
      </c>
      <c r="D585" s="128" t="s">
        <v>590</v>
      </c>
      <c r="E585" s="129" t="s">
        <v>265</v>
      </c>
      <c r="F585" s="127" t="s">
        <v>266</v>
      </c>
      <c r="G585" s="130"/>
      <c r="H585" s="131"/>
      <c r="I585" s="143"/>
      <c r="J585" s="131">
        <f>SUM(J586:J586)</f>
        <v>377219.69999999995</v>
      </c>
    </row>
    <row r="586" spans="1:10">
      <c r="A586" s="67"/>
      <c r="B586" s="66"/>
      <c r="C586" s="132" t="s">
        <v>590</v>
      </c>
      <c r="D586" s="133" t="s">
        <v>598</v>
      </c>
      <c r="E586" s="102" t="str">
        <f>" - "&amp;'Giá NC'!E5</f>
        <v xml:space="preserve"> - Nhân công bậc 3,0/7 - Nhóm 1</v>
      </c>
      <c r="F586" s="66" t="str">
        <f>'Giá NC'!F5</f>
        <v>công</v>
      </c>
      <c r="G586" s="134">
        <f>PTVT!G586</f>
        <v>1.65</v>
      </c>
      <c r="H586" s="135">
        <f>'Giá NC'!K5</f>
        <v>228618</v>
      </c>
      <c r="I586" s="144">
        <f>'5.Tiên lượng'!W149</f>
        <v>1</v>
      </c>
      <c r="J586" s="135">
        <f>PRODUCT(G586,H586,I586)</f>
        <v>377219.69999999995</v>
      </c>
    </row>
    <row r="587" spans="1:10">
      <c r="A587" s="126"/>
      <c r="B587" s="127"/>
      <c r="C587" s="128" t="s">
        <v>590</v>
      </c>
      <c r="D587" s="128" t="s">
        <v>590</v>
      </c>
      <c r="E587" s="129" t="s">
        <v>267</v>
      </c>
      <c r="F587" s="127" t="s">
        <v>268</v>
      </c>
      <c r="G587" s="130"/>
      <c r="H587" s="131"/>
      <c r="I587" s="143"/>
      <c r="J587" s="131">
        <v>786591.09942629898</v>
      </c>
    </row>
    <row r="588" spans="1:10">
      <c r="A588" s="67"/>
      <c r="B588" s="66"/>
      <c r="C588" s="132" t="s">
        <v>590</v>
      </c>
      <c r="D588" s="133" t="s">
        <v>638</v>
      </c>
      <c r="E588" s="102" t="str">
        <f>" - "&amp;'Giá Máy'!E41</f>
        <v xml:space="preserve"> - Máy lu bánh thép 9T</v>
      </c>
      <c r="F588" s="66" t="str">
        <f>'Giá Máy'!F41</f>
        <v>ca</v>
      </c>
      <c r="G588" s="134">
        <f>PTVT!G588</f>
        <v>0.42</v>
      </c>
      <c r="H588" s="135">
        <f>'Giá Máy'!O41</f>
        <v>1009475.96</v>
      </c>
      <c r="I588" s="144">
        <f>'5.Tiên lượng'!X149</f>
        <v>1</v>
      </c>
      <c r="J588" s="135">
        <f t="shared" ref="J588:J590" si="78">PRODUCT(G588,H588,I588)</f>
        <v>423979.90319999994</v>
      </c>
    </row>
    <row r="589" spans="1:10">
      <c r="A589" s="67"/>
      <c r="B589" s="66"/>
      <c r="C589" s="132" t="s">
        <v>590</v>
      </c>
      <c r="D589" s="133" t="s">
        <v>600</v>
      </c>
      <c r="E589" s="102" t="str">
        <f>" - "&amp;'Giá Máy'!E29</f>
        <v xml:space="preserve"> - Máy ủi 110CV</v>
      </c>
      <c r="F589" s="66" t="str">
        <f>'Giá Máy'!F29</f>
        <v>ca</v>
      </c>
      <c r="G589" s="134">
        <f>PTVT!G589</f>
        <v>0.21</v>
      </c>
      <c r="H589" s="135">
        <f>'Giá Máy'!O29</f>
        <v>1819307.232857143</v>
      </c>
      <c r="I589" s="144">
        <f>'5.Tiên lượng'!X149</f>
        <v>1</v>
      </c>
      <c r="J589" s="135">
        <f t="shared" si="78"/>
        <v>382054.51890000002</v>
      </c>
    </row>
    <row r="590" spans="1:10">
      <c r="A590" s="104"/>
      <c r="B590" s="105"/>
      <c r="C590" s="136" t="s">
        <v>590</v>
      </c>
      <c r="D590" s="137" t="s">
        <v>611</v>
      </c>
      <c r="E590" s="106" t="s">
        <v>612</v>
      </c>
      <c r="F590" s="105" t="s">
        <v>37</v>
      </c>
      <c r="G590" s="138">
        <f>PTVT!G590</f>
        <v>1.5</v>
      </c>
      <c r="H590" s="139">
        <f>(G588*H588+G589*H589)/100</f>
        <v>8060.3442209999994</v>
      </c>
      <c r="I590" s="145">
        <f>'5.Tiên lượng'!X149</f>
        <v>1</v>
      </c>
      <c r="J590" s="139">
        <f t="shared" si="78"/>
        <v>12090.516331499999</v>
      </c>
    </row>
    <row r="591" spans="1:10">
      <c r="A591" s="114"/>
      <c r="B591" s="115"/>
      <c r="C591" s="116" t="s">
        <v>339</v>
      </c>
      <c r="D591" s="117" t="s">
        <v>339</v>
      </c>
      <c r="E591" s="118" t="s">
        <v>503</v>
      </c>
      <c r="F591" s="115"/>
      <c r="G591" s="119"/>
      <c r="H591" s="120"/>
      <c r="I591" s="140"/>
      <c r="J591" s="120" t="s">
        <v>597</v>
      </c>
    </row>
    <row r="592" spans="1:10">
      <c r="A592" s="121"/>
      <c r="B592" s="122">
        <v>66</v>
      </c>
      <c r="C592" s="121" t="str">
        <f>'5.Tiên lượng'!C152</f>
        <v>AF.13211</v>
      </c>
      <c r="D592" s="121" t="str">
        <f>'5.Tiên lượng'!C152</f>
        <v>AF.13211</v>
      </c>
      <c r="E592" s="123" t="str">
        <f>'5.Tiên lượng'!D152</f>
        <v>BTXM rãnh dọc, M150, đá 1x2, PCB40</v>
      </c>
      <c r="F592" s="122" t="str">
        <f>'5.Tiên lượng'!E152</f>
        <v>m3</v>
      </c>
      <c r="G592" s="124"/>
      <c r="H592" s="125"/>
      <c r="I592" s="141"/>
      <c r="J592" s="142">
        <f>J593+J599+J601</f>
        <v>1566903.154092455</v>
      </c>
    </row>
    <row r="593" spans="1:10">
      <c r="A593" s="126"/>
      <c r="B593" s="127"/>
      <c r="C593" s="128" t="s">
        <v>590</v>
      </c>
      <c r="D593" s="128" t="s">
        <v>590</v>
      </c>
      <c r="E593" s="129" t="s">
        <v>262</v>
      </c>
      <c r="F593" s="127" t="s">
        <v>263</v>
      </c>
      <c r="G593" s="130"/>
      <c r="H593" s="131"/>
      <c r="I593" s="143"/>
      <c r="J593" s="131">
        <f>SUM(J594:J598)</f>
        <v>1062670.2273051951</v>
      </c>
    </row>
    <row r="594" spans="1:10">
      <c r="A594" s="67"/>
      <c r="B594" s="66"/>
      <c r="C594" s="132" t="s">
        <v>590</v>
      </c>
      <c r="D594" s="133" t="s">
        <v>614</v>
      </c>
      <c r="E594" s="102" t="str">
        <f>" - "&amp;'Giá VL'!E45</f>
        <v xml:space="preserve"> - Xi măng PCB40</v>
      </c>
      <c r="F594" s="66" t="str">
        <f>'Giá VL'!F45</f>
        <v>kg</v>
      </c>
      <c r="G594" s="134">
        <f>PTVT!G594</f>
        <v>222.42500000000001</v>
      </c>
      <c r="H594" s="135">
        <f>'Giá VL'!V45</f>
        <v>1730</v>
      </c>
      <c r="I594" s="144">
        <f>'5.Tiên lượng'!V152</f>
        <v>1</v>
      </c>
      <c r="J594" s="135">
        <f t="shared" ref="J594:J598" si="79">PRODUCT(G594,H594,I594)</f>
        <v>384795.25</v>
      </c>
    </row>
    <row r="595" spans="1:10">
      <c r="A595" s="67"/>
      <c r="B595" s="66"/>
      <c r="C595" s="132" t="s">
        <v>590</v>
      </c>
      <c r="D595" s="133" t="s">
        <v>615</v>
      </c>
      <c r="E595" s="102" t="str">
        <f>" - "&amp;'Giá VL'!E17</f>
        <v xml:space="preserve"> - Cát vàng</v>
      </c>
      <c r="F595" s="66" t="str">
        <f>'Giá VL'!F17</f>
        <v>m3</v>
      </c>
      <c r="G595" s="134">
        <f>PTVT!G595</f>
        <v>0.55247500000000005</v>
      </c>
      <c r="H595" s="135">
        <f>'Giá VL'!V17</f>
        <v>659026.49526849983</v>
      </c>
      <c r="I595" s="144">
        <f>'5.Tiên lượng'!V152</f>
        <v>1</v>
      </c>
      <c r="J595" s="135">
        <f t="shared" si="79"/>
        <v>364095.66297346447</v>
      </c>
    </row>
    <row r="596" spans="1:10">
      <c r="A596" s="67"/>
      <c r="B596" s="66"/>
      <c r="C596" s="132" t="s">
        <v>590</v>
      </c>
      <c r="D596" s="133" t="s">
        <v>659</v>
      </c>
      <c r="E596" s="102" t="str">
        <f>" - "&amp;'Giá VL'!E18</f>
        <v xml:space="preserve"> - Đá 1x2</v>
      </c>
      <c r="F596" s="66" t="str">
        <f>'Giá VL'!F18</f>
        <v>m3</v>
      </c>
      <c r="G596" s="134">
        <f>PTVT!G596</f>
        <v>0.90917499999999996</v>
      </c>
      <c r="H596" s="135">
        <f>'Giá VL'!V18</f>
        <v>330458.0547558713</v>
      </c>
      <c r="I596" s="144">
        <f>'5.Tiên lượng'!V152</f>
        <v>1</v>
      </c>
      <c r="J596" s="135">
        <f t="shared" si="79"/>
        <v>300444.20193266927</v>
      </c>
    </row>
    <row r="597" spans="1:10">
      <c r="A597" s="67"/>
      <c r="B597" s="66"/>
      <c r="C597" s="132" t="s">
        <v>590</v>
      </c>
      <c r="D597" s="133" t="s">
        <v>617</v>
      </c>
      <c r="E597" s="102" t="str">
        <f>" - "&amp;'Giá VL'!E33</f>
        <v xml:space="preserve"> - Nước</v>
      </c>
      <c r="F597" s="66" t="str">
        <f>'Giá VL'!F33</f>
        <v>lít</v>
      </c>
      <c r="G597" s="134">
        <f>PTVT!G597</f>
        <v>187.57499999999999</v>
      </c>
      <c r="H597" s="135">
        <f>'Giá VL'!V33</f>
        <v>15</v>
      </c>
      <c r="I597" s="144">
        <f>'5.Tiên lượng'!V152</f>
        <v>1</v>
      </c>
      <c r="J597" s="135">
        <f t="shared" si="79"/>
        <v>2813.625</v>
      </c>
    </row>
    <row r="598" spans="1:10">
      <c r="A598" s="67"/>
      <c r="B598" s="66"/>
      <c r="C598" s="132" t="s">
        <v>590</v>
      </c>
      <c r="D598" s="133" t="s">
        <v>620</v>
      </c>
      <c r="E598" s="102" t="s">
        <v>621</v>
      </c>
      <c r="F598" s="66" t="s">
        <v>37</v>
      </c>
      <c r="G598" s="134">
        <f>PTVT!G598</f>
        <v>1</v>
      </c>
      <c r="H598" s="135">
        <f>(G594*H594+G595*H595+G596*H596+G597*H597)/100</f>
        <v>10521.487399061336</v>
      </c>
      <c r="I598" s="144">
        <f>'5.Tiên lượng'!V152</f>
        <v>1</v>
      </c>
      <c r="J598" s="135">
        <f t="shared" si="79"/>
        <v>10521.487399061336</v>
      </c>
    </row>
    <row r="599" spans="1:10">
      <c r="A599" s="126"/>
      <c r="B599" s="127"/>
      <c r="C599" s="128" t="s">
        <v>590</v>
      </c>
      <c r="D599" s="128" t="s">
        <v>590</v>
      </c>
      <c r="E599" s="129" t="s">
        <v>265</v>
      </c>
      <c r="F599" s="127" t="s">
        <v>266</v>
      </c>
      <c r="G599" s="130"/>
      <c r="H599" s="131"/>
      <c r="I599" s="143"/>
      <c r="J599" s="131">
        <f>SUM(J600:J600)</f>
        <v>448200</v>
      </c>
    </row>
    <row r="600" spans="1:10">
      <c r="A600" s="67"/>
      <c r="B600" s="66"/>
      <c r="C600" s="132" t="s">
        <v>590</v>
      </c>
      <c r="D600" s="133" t="s">
        <v>622</v>
      </c>
      <c r="E600" s="102" t="str">
        <f>" - "&amp;'Giá NC'!E9</f>
        <v xml:space="preserve"> - Nhân công bậc 3,5/7 - Nhóm 2</v>
      </c>
      <c r="F600" s="66" t="str">
        <f>'Giá NC'!F9</f>
        <v>công</v>
      </c>
      <c r="G600" s="134">
        <f>PTVT!G600</f>
        <v>1.66</v>
      </c>
      <c r="H600" s="135">
        <f>'Giá NC'!K9</f>
        <v>270000</v>
      </c>
      <c r="I600" s="144">
        <f>'5.Tiên lượng'!W152</f>
        <v>1</v>
      </c>
      <c r="J600" s="135">
        <f>PRODUCT(G600,H600,I600)</f>
        <v>448200</v>
      </c>
    </row>
    <row r="601" spans="1:10">
      <c r="A601" s="126"/>
      <c r="B601" s="127"/>
      <c r="C601" s="128" t="s">
        <v>590</v>
      </c>
      <c r="D601" s="128" t="s">
        <v>590</v>
      </c>
      <c r="E601" s="129" t="s">
        <v>267</v>
      </c>
      <c r="F601" s="127" t="s">
        <v>268</v>
      </c>
      <c r="G601" s="130"/>
      <c r="H601" s="131"/>
      <c r="I601" s="143"/>
      <c r="J601" s="131">
        <f>SUM(J602:J603)</f>
        <v>56032.926787260003</v>
      </c>
    </row>
    <row r="602" spans="1:10">
      <c r="A602" s="67"/>
      <c r="B602" s="66"/>
      <c r="C602" s="132" t="s">
        <v>590</v>
      </c>
      <c r="D602" s="133" t="s">
        <v>623</v>
      </c>
      <c r="E602" s="102" t="str">
        <f>" - "&amp;'Giá Máy'!E27</f>
        <v xml:space="preserve"> - Máy trộn bê tông 250 lít</v>
      </c>
      <c r="F602" s="66" t="str">
        <f>'Giá Máy'!F27</f>
        <v>ca</v>
      </c>
      <c r="G602" s="134">
        <f>PTVT!G602</f>
        <v>9.5000000000000001E-2</v>
      </c>
      <c r="H602" s="135">
        <f>'Giá Máy'!O27</f>
        <v>326305.98864499998</v>
      </c>
      <c r="I602" s="144">
        <f>'5.Tiên lượng'!X152</f>
        <v>1</v>
      </c>
      <c r="J602" s="135">
        <f t="shared" ref="J602:J603" si="80">PRODUCT(G602,H602,I602)</f>
        <v>30999.068921274997</v>
      </c>
    </row>
    <row r="603" spans="1:10">
      <c r="A603" s="104"/>
      <c r="B603" s="105"/>
      <c r="C603" s="136" t="s">
        <v>590</v>
      </c>
      <c r="D603" s="137" t="s">
        <v>625</v>
      </c>
      <c r="E603" s="106" t="str">
        <f>" - "&amp;'Giá Máy'!E12</f>
        <v xml:space="preserve"> - Máy đầm dùi 1,5kW</v>
      </c>
      <c r="F603" s="105" t="str">
        <f>'Giá Máy'!F12</f>
        <v>ca</v>
      </c>
      <c r="G603" s="138">
        <f>PTVT!G603</f>
        <v>8.8999999999999996E-2</v>
      </c>
      <c r="H603" s="139">
        <f>'Giá Máy'!O12</f>
        <v>281279.30186500004</v>
      </c>
      <c r="I603" s="145">
        <f>'5.Tiên lượng'!X152</f>
        <v>1</v>
      </c>
      <c r="J603" s="139">
        <f t="shared" si="80"/>
        <v>25033.857865985003</v>
      </c>
    </row>
    <row r="604" spans="1:10">
      <c r="A604" s="121"/>
      <c r="B604" s="122">
        <v>67</v>
      </c>
      <c r="C604" s="121" t="str">
        <f>'5.Tiên lượng'!C154</f>
        <v>AL.16201</v>
      </c>
      <c r="D604" s="121" t="str">
        <f>'5.Tiên lượng'!C154</f>
        <v>AL.16201</v>
      </c>
      <c r="E604" s="123" t="str">
        <f>'5.Tiên lượng'!D154</f>
        <v>Ni lông chống thấm</v>
      </c>
      <c r="F604" s="122" t="str">
        <f>'5.Tiên lượng'!E154</f>
        <v>100m2</v>
      </c>
      <c r="G604" s="124"/>
      <c r="H604" s="125"/>
      <c r="I604" s="141"/>
      <c r="J604" s="142">
        <f>J605+J608</f>
        <v>260940</v>
      </c>
    </row>
    <row r="605" spans="1:10">
      <c r="A605" s="126"/>
      <c r="B605" s="127"/>
      <c r="C605" s="128" t="s">
        <v>590</v>
      </c>
      <c r="D605" s="128" t="s">
        <v>590</v>
      </c>
      <c r="E605" s="129" t="s">
        <v>262</v>
      </c>
      <c r="F605" s="127" t="s">
        <v>263</v>
      </c>
      <c r="G605" s="130"/>
      <c r="H605" s="131"/>
      <c r="I605" s="143"/>
      <c r="J605" s="131">
        <f>SUM(J606:J607)</f>
        <v>220440</v>
      </c>
    </row>
    <row r="606" spans="1:10">
      <c r="A606" s="67"/>
      <c r="B606" s="66"/>
      <c r="C606" s="132" t="s">
        <v>590</v>
      </c>
      <c r="D606" s="133" t="s">
        <v>626</v>
      </c>
      <c r="E606" s="102" t="str">
        <f>" - "&amp;'Giá VL'!E24</f>
        <v xml:space="preserve"> - Ni Lông</v>
      </c>
      <c r="F606" s="66" t="str">
        <f>'Giá VL'!F24</f>
        <v>m2</v>
      </c>
      <c r="G606" s="134">
        <f>PTVT!G606</f>
        <v>110</v>
      </c>
      <c r="H606" s="135">
        <f>'Giá VL'!V24</f>
        <v>2000</v>
      </c>
      <c r="I606" s="144">
        <f>'5.Tiên lượng'!V154</f>
        <v>1</v>
      </c>
      <c r="J606" s="135">
        <f t="shared" ref="J606:J607" si="81">PRODUCT(G606,H606,I606)</f>
        <v>220000</v>
      </c>
    </row>
    <row r="607" spans="1:10">
      <c r="A607" s="67"/>
      <c r="B607" s="66"/>
      <c r="C607" s="132" t="s">
        <v>590</v>
      </c>
      <c r="D607" s="133" t="s">
        <v>620</v>
      </c>
      <c r="E607" s="102" t="s">
        <v>621</v>
      </c>
      <c r="F607" s="66" t="s">
        <v>37</v>
      </c>
      <c r="G607" s="134">
        <f>PTVT!G607</f>
        <v>0.2</v>
      </c>
      <c r="H607" s="135">
        <f>(G606*H606)/100</f>
        <v>2200</v>
      </c>
      <c r="I607" s="144">
        <f>'5.Tiên lượng'!V154</f>
        <v>1</v>
      </c>
      <c r="J607" s="135">
        <f t="shared" si="81"/>
        <v>440</v>
      </c>
    </row>
    <row r="608" spans="1:10">
      <c r="A608" s="126"/>
      <c r="B608" s="127"/>
      <c r="C608" s="128" t="s">
        <v>590</v>
      </c>
      <c r="D608" s="128" t="s">
        <v>590</v>
      </c>
      <c r="E608" s="129" t="s">
        <v>265</v>
      </c>
      <c r="F608" s="127" t="s">
        <v>266</v>
      </c>
      <c r="G608" s="130"/>
      <c r="H608" s="131"/>
      <c r="I608" s="143"/>
      <c r="J608" s="131">
        <f>SUM(J609:J609)</f>
        <v>40500</v>
      </c>
    </row>
    <row r="609" spans="1:10">
      <c r="A609" s="104"/>
      <c r="B609" s="105"/>
      <c r="C609" s="136" t="s">
        <v>590</v>
      </c>
      <c r="D609" s="137" t="s">
        <v>622</v>
      </c>
      <c r="E609" s="106" t="str">
        <f>" - "&amp;'Giá NC'!E9</f>
        <v xml:space="preserve"> - Nhân công bậc 3,5/7 - Nhóm 2</v>
      </c>
      <c r="F609" s="105" t="str">
        <f>'Giá NC'!F9</f>
        <v>công</v>
      </c>
      <c r="G609" s="138">
        <f>PTVT!G609</f>
        <v>0.15</v>
      </c>
      <c r="H609" s="139">
        <f>'Giá NC'!K9</f>
        <v>270000</v>
      </c>
      <c r="I609" s="145">
        <f>'5.Tiên lượng'!W154</f>
        <v>1</v>
      </c>
      <c r="J609" s="139">
        <f>PRODUCT(G609,H609,I609)</f>
        <v>40500</v>
      </c>
    </row>
    <row r="610" spans="1:10">
      <c r="A610" s="121"/>
      <c r="B610" s="122">
        <v>68</v>
      </c>
      <c r="C610" s="121" t="str">
        <f>'5.Tiên lượng'!C156</f>
        <v>AK.98110</v>
      </c>
      <c r="D610" s="121" t="str">
        <f>'5.Tiên lượng'!C156</f>
        <v>AK.98110</v>
      </c>
      <c r="E610" s="123" t="str">
        <f>'5.Tiên lượng'!D156</f>
        <v>Cấp phối đá dăm đệm móng, dày 5cm</v>
      </c>
      <c r="F610" s="122" t="str">
        <f>'5.Tiên lượng'!E156</f>
        <v>m3</v>
      </c>
      <c r="G610" s="124"/>
      <c r="H610" s="125"/>
      <c r="I610" s="141"/>
      <c r="J610" s="142">
        <f>J611+J614</f>
        <v>842278.54228759557</v>
      </c>
    </row>
    <row r="611" spans="1:10">
      <c r="A611" s="126"/>
      <c r="B611" s="127"/>
      <c r="C611" s="128" t="s">
        <v>590</v>
      </c>
      <c r="D611" s="128" t="s">
        <v>590</v>
      </c>
      <c r="E611" s="129" t="s">
        <v>262</v>
      </c>
      <c r="F611" s="127" t="s">
        <v>263</v>
      </c>
      <c r="G611" s="130"/>
      <c r="H611" s="131"/>
      <c r="I611" s="143"/>
      <c r="J611" s="131">
        <f>SUM(J612:J613)</f>
        <v>495257.6142875955</v>
      </c>
    </row>
    <row r="612" spans="1:10">
      <c r="A612" s="67"/>
      <c r="B612" s="66"/>
      <c r="C612" s="132" t="s">
        <v>590</v>
      </c>
      <c r="D612" s="133" t="s">
        <v>653</v>
      </c>
      <c r="E612" s="102" t="str">
        <f>" - "&amp;'Giá VL'!E20</f>
        <v xml:space="preserve"> - Đá cấp phối dmax ≤ 4</v>
      </c>
      <c r="F612" s="66" t="str">
        <f>'Giá VL'!F20</f>
        <v>m3</v>
      </c>
      <c r="G612" s="134">
        <f>PTVT!G612</f>
        <v>1.2</v>
      </c>
      <c r="H612" s="135">
        <f>'Giá VL'!V20</f>
        <v>330458.0547558713</v>
      </c>
      <c r="I612" s="144">
        <f>'5.Tiên lượng'!V156</f>
        <v>1</v>
      </c>
      <c r="J612" s="135">
        <f t="shared" ref="J612:J613" si="82">PRODUCT(G612,H612,I612)</f>
        <v>396549.66570704553</v>
      </c>
    </row>
    <row r="613" spans="1:10">
      <c r="A613" s="67"/>
      <c r="B613" s="66"/>
      <c r="C613" s="132" t="s">
        <v>590</v>
      </c>
      <c r="D613" s="133" t="s">
        <v>654</v>
      </c>
      <c r="E613" s="102" t="str">
        <f>" - "&amp;'Giá VL'!E14</f>
        <v xml:space="preserve"> - Cát</v>
      </c>
      <c r="F613" s="66" t="str">
        <f>'Giá VL'!F14</f>
        <v>m3</v>
      </c>
      <c r="G613" s="134">
        <f>PTVT!G613</f>
        <v>0.3</v>
      </c>
      <c r="H613" s="135">
        <f>'Giá VL'!V14</f>
        <v>329026.49526849983</v>
      </c>
      <c r="I613" s="144">
        <f>'5.Tiên lượng'!V156</f>
        <v>1</v>
      </c>
      <c r="J613" s="135">
        <f t="shared" si="82"/>
        <v>98707.948580549943</v>
      </c>
    </row>
    <row r="614" spans="1:10">
      <c r="A614" s="126"/>
      <c r="B614" s="127"/>
      <c r="C614" s="128" t="s">
        <v>590</v>
      </c>
      <c r="D614" s="128" t="s">
        <v>590</v>
      </c>
      <c r="E614" s="129" t="s">
        <v>265</v>
      </c>
      <c r="F614" s="127" t="s">
        <v>266</v>
      </c>
      <c r="G614" s="130"/>
      <c r="H614" s="131"/>
      <c r="I614" s="143"/>
      <c r="J614" s="131">
        <f>SUM(J615:J615)</f>
        <v>347020.92800000001</v>
      </c>
    </row>
    <row r="615" spans="1:10">
      <c r="A615" s="104"/>
      <c r="B615" s="105"/>
      <c r="C615" s="136" t="s">
        <v>590</v>
      </c>
      <c r="D615" s="137" t="s">
        <v>629</v>
      </c>
      <c r="E615" s="106" t="str">
        <f>" - "&amp;'Giá NC'!E10</f>
        <v xml:space="preserve"> - Nhân công bậc 4,0/7 - Nhóm 2</v>
      </c>
      <c r="F615" s="105" t="str">
        <f>'Giá NC'!F10</f>
        <v>công</v>
      </c>
      <c r="G615" s="138">
        <f>PTVT!G615</f>
        <v>1.48</v>
      </c>
      <c r="H615" s="139">
        <f>'Giá NC'!K10</f>
        <v>293092</v>
      </c>
      <c r="I615" s="145">
        <f>'5.Tiên lượng'!W156</f>
        <v>0.8</v>
      </c>
      <c r="J615" s="139">
        <f>PRODUCT(G615,H615,I615)</f>
        <v>347020.92800000001</v>
      </c>
    </row>
    <row r="616" spans="1:10">
      <c r="A616" s="121"/>
      <c r="B616" s="122">
        <v>69</v>
      </c>
      <c r="C616" s="121" t="str">
        <f>'5.Tiên lượng'!C158</f>
        <v>AF.82511</v>
      </c>
      <c r="D616" s="121" t="str">
        <f>'5.Tiên lượng'!C158</f>
        <v>AF.82511</v>
      </c>
      <c r="E616" s="123" t="str">
        <f>'5.Tiên lượng'!D158</f>
        <v>Ván khuôn thép rãnh</v>
      </c>
      <c r="F616" s="122" t="str">
        <f>'5.Tiên lượng'!E158</f>
        <v>100m2</v>
      </c>
      <c r="G616" s="124"/>
      <c r="H616" s="125"/>
      <c r="I616" s="141"/>
      <c r="J616" s="142">
        <f>J617+J622+J624</f>
        <v>5542323.5289463103</v>
      </c>
    </row>
    <row r="617" spans="1:10">
      <c r="A617" s="126"/>
      <c r="B617" s="127"/>
      <c r="C617" s="128" t="s">
        <v>590</v>
      </c>
      <c r="D617" s="128" t="s">
        <v>590</v>
      </c>
      <c r="E617" s="129" t="s">
        <v>262</v>
      </c>
      <c r="F617" s="127" t="s">
        <v>263</v>
      </c>
      <c r="G617" s="130"/>
      <c r="H617" s="131"/>
      <c r="I617" s="143"/>
      <c r="J617" s="131">
        <f>SUM(J618:J621)</f>
        <v>1623401.2408645179</v>
      </c>
    </row>
    <row r="618" spans="1:10">
      <c r="A618" s="67"/>
      <c r="B618" s="66"/>
      <c r="C618" s="132" t="s">
        <v>590</v>
      </c>
      <c r="D618" s="133" t="s">
        <v>663</v>
      </c>
      <c r="E618" s="102" t="str">
        <f>" - "&amp;'Giá VL'!E41</f>
        <v xml:space="preserve"> - Thép tấm</v>
      </c>
      <c r="F618" s="66" t="str">
        <f>'Giá VL'!F41</f>
        <v>kg</v>
      </c>
      <c r="G618" s="134">
        <f>PTVT!G618</f>
        <v>51.81</v>
      </c>
      <c r="H618" s="135">
        <f>'Giá VL'!V41</f>
        <v>17587.694379947148</v>
      </c>
      <c r="I618" s="144">
        <f>'5.Tiên lượng'!V158</f>
        <v>1</v>
      </c>
      <c r="J618" s="135">
        <f t="shared" ref="J618:J621" si="83">PRODUCT(G618,H618,I618)</f>
        <v>911218.44582506176</v>
      </c>
    </row>
    <row r="619" spans="1:10">
      <c r="A619" s="67"/>
      <c r="B619" s="66"/>
      <c r="C619" s="132" t="s">
        <v>590</v>
      </c>
      <c r="D619" s="133" t="s">
        <v>664</v>
      </c>
      <c r="E619" s="102" t="str">
        <f>" - "&amp;'Giá VL'!E39</f>
        <v xml:space="preserve"> - Thép hình</v>
      </c>
      <c r="F619" s="66" t="str">
        <f>'Giá VL'!F39</f>
        <v>kg</v>
      </c>
      <c r="G619" s="134">
        <f>PTVT!G619</f>
        <v>32.020000000000003</v>
      </c>
      <c r="H619" s="135">
        <f>'Giá VL'!V39</f>
        <v>17587.694379947148</v>
      </c>
      <c r="I619" s="144">
        <f>'5.Tiên lượng'!V158</f>
        <v>1</v>
      </c>
      <c r="J619" s="135">
        <f t="shared" si="83"/>
        <v>563157.97404590773</v>
      </c>
    </row>
    <row r="620" spans="1:10">
      <c r="A620" s="67"/>
      <c r="B620" s="66"/>
      <c r="C620" s="132" t="s">
        <v>590</v>
      </c>
      <c r="D620" s="133" t="s">
        <v>628</v>
      </c>
      <c r="E620" s="102" t="str">
        <f>" - "&amp;'Giá VL'!E37</f>
        <v xml:space="preserve"> - Que hàn</v>
      </c>
      <c r="F620" s="66" t="str">
        <f>'Giá VL'!F37</f>
        <v>kg</v>
      </c>
      <c r="G620" s="134">
        <f>PTVT!G620</f>
        <v>3.26</v>
      </c>
      <c r="H620" s="135">
        <f>'Giá VL'!V37</f>
        <v>22000</v>
      </c>
      <c r="I620" s="144">
        <f>'5.Tiên lượng'!V158</f>
        <v>1</v>
      </c>
      <c r="J620" s="135">
        <f t="shared" si="83"/>
        <v>71720</v>
      </c>
    </row>
    <row r="621" spans="1:10">
      <c r="A621" s="67"/>
      <c r="B621" s="66"/>
      <c r="C621" s="132" t="s">
        <v>590</v>
      </c>
      <c r="D621" s="133" t="s">
        <v>620</v>
      </c>
      <c r="E621" s="102" t="s">
        <v>621</v>
      </c>
      <c r="F621" s="66" t="s">
        <v>37</v>
      </c>
      <c r="G621" s="134">
        <f>PTVT!G621</f>
        <v>5</v>
      </c>
      <c r="H621" s="135">
        <f>(G618*H618+G619*H619+G620*H620)/100</f>
        <v>15460.964198709693</v>
      </c>
      <c r="I621" s="144">
        <f>'5.Tiên lượng'!V158</f>
        <v>1</v>
      </c>
      <c r="J621" s="135">
        <f t="shared" si="83"/>
        <v>77304.820993548463</v>
      </c>
    </row>
    <row r="622" spans="1:10">
      <c r="A622" s="126"/>
      <c r="B622" s="127"/>
      <c r="C622" s="128" t="s">
        <v>590</v>
      </c>
      <c r="D622" s="128" t="s">
        <v>590</v>
      </c>
      <c r="E622" s="129" t="s">
        <v>265</v>
      </c>
      <c r="F622" s="127" t="s">
        <v>266</v>
      </c>
      <c r="G622" s="130"/>
      <c r="H622" s="131"/>
      <c r="I622" s="143"/>
      <c r="J622" s="131">
        <f>SUM(J623:J623)</f>
        <v>3590377</v>
      </c>
    </row>
    <row r="623" spans="1:10">
      <c r="A623" s="67"/>
      <c r="B623" s="66"/>
      <c r="C623" s="132" t="s">
        <v>590</v>
      </c>
      <c r="D623" s="133" t="s">
        <v>629</v>
      </c>
      <c r="E623" s="102" t="str">
        <f>" - "&amp;'Giá NC'!E10</f>
        <v xml:space="preserve"> - Nhân công bậc 4,0/7 - Nhóm 2</v>
      </c>
      <c r="F623" s="66" t="str">
        <f>'Giá NC'!F10</f>
        <v>công</v>
      </c>
      <c r="G623" s="134">
        <f>PTVT!G623</f>
        <v>12.25</v>
      </c>
      <c r="H623" s="135">
        <f>'Giá NC'!K10</f>
        <v>293092</v>
      </c>
      <c r="I623" s="144">
        <f>'5.Tiên lượng'!W158</f>
        <v>1</v>
      </c>
      <c r="J623" s="135">
        <f>PRODUCT(G623,H623,I623)</f>
        <v>3590377</v>
      </c>
    </row>
    <row r="624" spans="1:10">
      <c r="A624" s="126"/>
      <c r="B624" s="127"/>
      <c r="C624" s="128" t="s">
        <v>590</v>
      </c>
      <c r="D624" s="128" t="s">
        <v>590</v>
      </c>
      <c r="E624" s="129" t="s">
        <v>267</v>
      </c>
      <c r="F624" s="127" t="s">
        <v>268</v>
      </c>
      <c r="G624" s="130"/>
      <c r="H624" s="131"/>
      <c r="I624" s="143"/>
      <c r="J624" s="131">
        <v>328545.28808179201</v>
      </c>
    </row>
    <row r="625" spans="1:10">
      <c r="A625" s="67"/>
      <c r="B625" s="66"/>
      <c r="C625" s="132" t="s">
        <v>590</v>
      </c>
      <c r="D625" s="133" t="s">
        <v>630</v>
      </c>
      <c r="E625" s="102" t="str">
        <f>" - "&amp;'Giá Máy'!E16</f>
        <v xml:space="preserve"> - Máy hàn điện 23kW</v>
      </c>
      <c r="F625" s="66" t="str">
        <f>'Giá Máy'!F16</f>
        <v>ca</v>
      </c>
      <c r="G625" s="134">
        <f>PTVT!G625</f>
        <v>0.82</v>
      </c>
      <c r="H625" s="135">
        <f>'Giá Máy'!O16</f>
        <v>426986.04135999997</v>
      </c>
      <c r="I625" s="144">
        <f>'5.Tiên lượng'!X158</f>
        <v>1</v>
      </c>
      <c r="J625" s="135">
        <f t="shared" ref="J625:J626" si="84">PRODUCT(G625,H625,I625)</f>
        <v>350128.55391519994</v>
      </c>
    </row>
    <row r="626" spans="1:10">
      <c r="A626" s="104"/>
      <c r="B626" s="105"/>
      <c r="C626" s="136" t="s">
        <v>590</v>
      </c>
      <c r="D626" s="137" t="s">
        <v>611</v>
      </c>
      <c r="E626" s="106" t="s">
        <v>612</v>
      </c>
      <c r="F626" s="105" t="s">
        <v>37</v>
      </c>
      <c r="G626" s="138">
        <f>PTVT!G626</f>
        <v>2</v>
      </c>
      <c r="H626" s="139">
        <f>(G625*H625)/100</f>
        <v>3501.2855391519993</v>
      </c>
      <c r="I626" s="145">
        <f>'5.Tiên lượng'!X158</f>
        <v>1</v>
      </c>
      <c r="J626" s="139">
        <f t="shared" si="84"/>
        <v>7002.5710783039985</v>
      </c>
    </row>
    <row r="627" spans="1:10">
      <c r="A627" s="114"/>
      <c r="B627" s="115"/>
      <c r="C627" s="116" t="s">
        <v>339</v>
      </c>
      <c r="D627" s="117" t="s">
        <v>339</v>
      </c>
      <c r="E627" s="118" t="s">
        <v>513</v>
      </c>
      <c r="F627" s="115"/>
      <c r="G627" s="119"/>
      <c r="H627" s="120"/>
      <c r="I627" s="140"/>
      <c r="J627" s="120" t="s">
        <v>597</v>
      </c>
    </row>
    <row r="628" spans="1:10">
      <c r="A628" s="121"/>
      <c r="B628" s="122">
        <v>70</v>
      </c>
      <c r="C628" s="121" t="str">
        <f>'5.Tiên lượng'!C161</f>
        <v>AB.25123</v>
      </c>
      <c r="D628" s="121" t="str">
        <f>'5.Tiên lượng'!C161</f>
        <v>AB.25123</v>
      </c>
      <c r="E628" s="123" t="str">
        <f>'5.Tiên lượng'!D161</f>
        <v>Đào móng bằng máy đào 1,25m3, chiều rộng móng ≤6m - Cấp đất III</v>
      </c>
      <c r="F628" s="122" t="str">
        <f>'5.Tiên lượng'!E161</f>
        <v>100m3</v>
      </c>
      <c r="G628" s="124"/>
      <c r="H628" s="125"/>
      <c r="I628" s="141"/>
      <c r="J628" s="142">
        <f>J629+J631</f>
        <v>2130723.6996342856</v>
      </c>
    </row>
    <row r="629" spans="1:10">
      <c r="A629" s="126"/>
      <c r="B629" s="127"/>
      <c r="C629" s="128" t="s">
        <v>590</v>
      </c>
      <c r="D629" s="128" t="s">
        <v>590</v>
      </c>
      <c r="E629" s="129" t="s">
        <v>265</v>
      </c>
      <c r="F629" s="127" t="s">
        <v>266</v>
      </c>
      <c r="G629" s="130"/>
      <c r="H629" s="131"/>
      <c r="I629" s="143"/>
      <c r="J629" s="131">
        <f>SUM(J630:J630)</f>
        <v>1008205.38</v>
      </c>
    </row>
    <row r="630" spans="1:10">
      <c r="A630" s="67"/>
      <c r="B630" s="66"/>
      <c r="C630" s="132" t="s">
        <v>590</v>
      </c>
      <c r="D630" s="133" t="s">
        <v>598</v>
      </c>
      <c r="E630" s="102" t="str">
        <f>" - "&amp;'Giá NC'!E5</f>
        <v xml:space="preserve"> - Nhân công bậc 3,0/7 - Nhóm 1</v>
      </c>
      <c r="F630" s="66" t="str">
        <f>'Giá NC'!F5</f>
        <v>công</v>
      </c>
      <c r="G630" s="134">
        <f>PTVT!G630</f>
        <v>4.41</v>
      </c>
      <c r="H630" s="135">
        <f>'Giá NC'!K5</f>
        <v>228618</v>
      </c>
      <c r="I630" s="144">
        <f>'5.Tiên lượng'!W161</f>
        <v>1</v>
      </c>
      <c r="J630" s="135">
        <f>PRODUCT(G630,H630,I630)</f>
        <v>1008205.38</v>
      </c>
    </row>
    <row r="631" spans="1:10">
      <c r="A631" s="126"/>
      <c r="B631" s="127"/>
      <c r="C631" s="128" t="s">
        <v>590</v>
      </c>
      <c r="D631" s="128" t="s">
        <v>590</v>
      </c>
      <c r="E631" s="129" t="s">
        <v>267</v>
      </c>
      <c r="F631" s="127" t="s">
        <v>268</v>
      </c>
      <c r="G631" s="130"/>
      <c r="H631" s="131"/>
      <c r="I631" s="143"/>
      <c r="J631" s="131">
        <f>SUM(J632:J632)</f>
        <v>1122518.3196342858</v>
      </c>
    </row>
    <row r="632" spans="1:10">
      <c r="A632" s="104"/>
      <c r="B632" s="105"/>
      <c r="C632" s="136" t="s">
        <v>590</v>
      </c>
      <c r="D632" s="137" t="s">
        <v>599</v>
      </c>
      <c r="E632" s="106" t="str">
        <f>" - "&amp;'Giá Máy'!E14</f>
        <v xml:space="preserve"> - Máy đào 1,25m3</v>
      </c>
      <c r="F632" s="105" t="str">
        <f>'Giá Máy'!F14</f>
        <v>ca</v>
      </c>
      <c r="G632" s="138">
        <f>PTVT!G632</f>
        <v>0.32100000000000001</v>
      </c>
      <c r="H632" s="139">
        <f>'Giá Máy'!O14</f>
        <v>3496941.8057142859</v>
      </c>
      <c r="I632" s="145">
        <f>'5.Tiên lượng'!X161</f>
        <v>1</v>
      </c>
      <c r="J632" s="139">
        <f>PRODUCT(G632,H632,I632)</f>
        <v>1122518.3196342858</v>
      </c>
    </row>
    <row r="633" spans="1:10">
      <c r="A633" s="121"/>
      <c r="B633" s="122">
        <v>71</v>
      </c>
      <c r="C633" s="121" t="str">
        <f>'5.Tiên lượng'!C163</f>
        <v>AE.11114</v>
      </c>
      <c r="D633" s="121" t="str">
        <f>'5.Tiên lượng'!C163</f>
        <v>AE.11114</v>
      </c>
      <c r="E633" s="123" t="str">
        <f>'5.Tiên lượng'!D163</f>
        <v>Khối xây bó nền bằng đá hộc - Chiều dày ≤60cm, vữa XM M100, PCB40</v>
      </c>
      <c r="F633" s="122" t="str">
        <f>'5.Tiên lượng'!E163</f>
        <v>m3</v>
      </c>
      <c r="G633" s="124"/>
      <c r="H633" s="125"/>
      <c r="I633" s="141"/>
      <c r="J633" s="142">
        <f>J634+J640+J642</f>
        <v>1437724.4834862242</v>
      </c>
    </row>
    <row r="634" spans="1:10">
      <c r="A634" s="126"/>
      <c r="B634" s="127"/>
      <c r="C634" s="128" t="s">
        <v>590</v>
      </c>
      <c r="D634" s="128" t="s">
        <v>590</v>
      </c>
      <c r="E634" s="129" t="s">
        <v>262</v>
      </c>
      <c r="F634" s="127" t="s">
        <v>263</v>
      </c>
      <c r="G634" s="130"/>
      <c r="H634" s="131"/>
      <c r="I634" s="143"/>
      <c r="J634" s="131">
        <f>SUM(J635:J639)</f>
        <v>934340.87185523123</v>
      </c>
    </row>
    <row r="635" spans="1:10">
      <c r="A635" s="67"/>
      <c r="B635" s="66"/>
      <c r="C635" s="132" t="s">
        <v>590</v>
      </c>
      <c r="D635" s="133" t="s">
        <v>671</v>
      </c>
      <c r="E635" s="102" t="str">
        <f>" - "&amp;'Giá VL'!E22</f>
        <v xml:space="preserve"> - Đá hộc</v>
      </c>
      <c r="F635" s="66" t="str">
        <f>'Giá VL'!F22</f>
        <v>m3</v>
      </c>
      <c r="G635" s="134">
        <f>PTVT!G635</f>
        <v>1.2</v>
      </c>
      <c r="H635" s="135">
        <f>'Giá VL'!V22</f>
        <v>306636.9934461856</v>
      </c>
      <c r="I635" s="144">
        <f>'5.Tiên lượng'!V163</f>
        <v>1</v>
      </c>
      <c r="J635" s="135">
        <f t="shared" ref="J635:J639" si="85">PRODUCT(G635,H635,I635)</f>
        <v>367964.39213542274</v>
      </c>
    </row>
    <row r="636" spans="1:10">
      <c r="A636" s="67"/>
      <c r="B636" s="66"/>
      <c r="C636" s="132" t="s">
        <v>590</v>
      </c>
      <c r="D636" s="133" t="s">
        <v>672</v>
      </c>
      <c r="E636" s="102" t="str">
        <f>" - "&amp;'Giá VL'!E21</f>
        <v xml:space="preserve"> - Đá dăm</v>
      </c>
      <c r="F636" s="66" t="str">
        <f>'Giá VL'!F21</f>
        <v>m3</v>
      </c>
      <c r="G636" s="134">
        <f>PTVT!G636</f>
        <v>5.7000000000000002E-2</v>
      </c>
      <c r="H636" s="135">
        <f>'Giá VL'!V21</f>
        <v>330458.0547558713</v>
      </c>
      <c r="I636" s="144">
        <f>'5.Tiên lượng'!V163</f>
        <v>1</v>
      </c>
      <c r="J636" s="135">
        <f t="shared" si="85"/>
        <v>18836.109121084664</v>
      </c>
    </row>
    <row r="637" spans="1:10">
      <c r="A637" s="67"/>
      <c r="B637" s="66"/>
      <c r="C637" s="132" t="s">
        <v>590</v>
      </c>
      <c r="D637" s="133" t="s">
        <v>614</v>
      </c>
      <c r="E637" s="102" t="str">
        <f>" - "&amp;'Giá VL'!E45</f>
        <v xml:space="preserve"> - Xi măng PCB40</v>
      </c>
      <c r="F637" s="66" t="str">
        <f>'Giá VL'!F45</f>
        <v>kg</v>
      </c>
      <c r="G637" s="134">
        <f>PTVT!G637</f>
        <v>131.04</v>
      </c>
      <c r="H637" s="135">
        <f>'Giá VL'!V45</f>
        <v>1730</v>
      </c>
      <c r="I637" s="144">
        <f>'5.Tiên lượng'!V163</f>
        <v>1</v>
      </c>
      <c r="J637" s="135">
        <f t="shared" si="85"/>
        <v>226699.19999999998</v>
      </c>
    </row>
    <row r="638" spans="1:10">
      <c r="A638" s="67"/>
      <c r="B638" s="66"/>
      <c r="C638" s="132" t="s">
        <v>590</v>
      </c>
      <c r="D638" s="133" t="s">
        <v>615</v>
      </c>
      <c r="E638" s="102" t="str">
        <f>" - "&amp;'Giá VL'!E17</f>
        <v xml:space="preserve"> - Cát vàng</v>
      </c>
      <c r="F638" s="66" t="str">
        <f>'Giá VL'!F17</f>
        <v>m3</v>
      </c>
      <c r="G638" s="134">
        <f>PTVT!G638</f>
        <v>0.48426000000000002</v>
      </c>
      <c r="H638" s="135">
        <f>'Giá VL'!V17</f>
        <v>659026.49526849983</v>
      </c>
      <c r="I638" s="144">
        <f>'5.Tiên lượng'!V163</f>
        <v>1</v>
      </c>
      <c r="J638" s="135">
        <f t="shared" si="85"/>
        <v>319140.17059872375</v>
      </c>
    </row>
    <row r="639" spans="1:10">
      <c r="A639" s="67"/>
      <c r="B639" s="66"/>
      <c r="C639" s="132" t="s">
        <v>590</v>
      </c>
      <c r="D639" s="133" t="s">
        <v>617</v>
      </c>
      <c r="E639" s="102" t="str">
        <f>" - "&amp;'Giá VL'!E33</f>
        <v xml:space="preserve"> - Nước</v>
      </c>
      <c r="F639" s="66" t="str">
        <f>'Giá VL'!F33</f>
        <v>lít</v>
      </c>
      <c r="G639" s="134">
        <f>PTVT!G639</f>
        <v>113.4</v>
      </c>
      <c r="H639" s="135">
        <f>'Giá VL'!V33</f>
        <v>15</v>
      </c>
      <c r="I639" s="144">
        <f>'5.Tiên lượng'!V163</f>
        <v>1</v>
      </c>
      <c r="J639" s="135">
        <f t="shared" si="85"/>
        <v>1701</v>
      </c>
    </row>
    <row r="640" spans="1:10">
      <c r="A640" s="126"/>
      <c r="B640" s="127"/>
      <c r="C640" s="128" t="s">
        <v>590</v>
      </c>
      <c r="D640" s="128" t="s">
        <v>590</v>
      </c>
      <c r="E640" s="129" t="s">
        <v>265</v>
      </c>
      <c r="F640" s="127" t="s">
        <v>266</v>
      </c>
      <c r="G640" s="130"/>
      <c r="H640" s="131"/>
      <c r="I640" s="143"/>
      <c r="J640" s="131">
        <f>SUM(J641:J641)</f>
        <v>488700</v>
      </c>
    </row>
    <row r="641" spans="1:10">
      <c r="A641" s="67"/>
      <c r="B641" s="66"/>
      <c r="C641" s="132" t="s">
        <v>590</v>
      </c>
      <c r="D641" s="133" t="s">
        <v>622</v>
      </c>
      <c r="E641" s="102" t="str">
        <f>" - "&amp;'Giá NC'!E9</f>
        <v xml:space="preserve"> - Nhân công bậc 3,5/7 - Nhóm 2</v>
      </c>
      <c r="F641" s="66" t="str">
        <f>'Giá NC'!F9</f>
        <v>công</v>
      </c>
      <c r="G641" s="134">
        <f>PTVT!G641</f>
        <v>1.81</v>
      </c>
      <c r="H641" s="135">
        <f>'Giá NC'!K9</f>
        <v>270000</v>
      </c>
      <c r="I641" s="144">
        <f>'5.Tiên lượng'!W163</f>
        <v>1</v>
      </c>
      <c r="J641" s="135">
        <f>PRODUCT(G641,H641,I641)</f>
        <v>488700</v>
      </c>
    </row>
    <row r="642" spans="1:10">
      <c r="A642" s="126"/>
      <c r="B642" s="127"/>
      <c r="C642" s="128" t="s">
        <v>590</v>
      </c>
      <c r="D642" s="128" t="s">
        <v>590</v>
      </c>
      <c r="E642" s="129" t="s">
        <v>267</v>
      </c>
      <c r="F642" s="127" t="s">
        <v>268</v>
      </c>
      <c r="G642" s="130"/>
      <c r="H642" s="131"/>
      <c r="I642" s="143"/>
      <c r="J642" s="131">
        <v>14683.611630993</v>
      </c>
    </row>
    <row r="643" spans="1:10">
      <c r="A643" s="104"/>
      <c r="B643" s="105"/>
      <c r="C643" s="136" t="s">
        <v>590</v>
      </c>
      <c r="D643" s="137" t="s">
        <v>657</v>
      </c>
      <c r="E643" s="106" t="str">
        <f>" - "&amp;'Giá Máy'!E28</f>
        <v xml:space="preserve"> - Máy trộn vữa 150l</v>
      </c>
      <c r="F643" s="105" t="str">
        <f>'Giá Máy'!F28</f>
        <v>ca</v>
      </c>
      <c r="G643" s="138">
        <f>PTVT!G643</f>
        <v>5.2999999999999999E-2</v>
      </c>
      <c r="H643" s="139">
        <f>'Giá Máy'!O28</f>
        <v>299617.31473647064</v>
      </c>
      <c r="I643" s="145">
        <f>'5.Tiên lượng'!X163</f>
        <v>1</v>
      </c>
      <c r="J643" s="139">
        <f>PRODUCT(G643,H643,I643)</f>
        <v>15879.717681032944</v>
      </c>
    </row>
    <row r="644" spans="1:10">
      <c r="A644" s="114"/>
      <c r="B644" s="115"/>
      <c r="C644" s="116" t="s">
        <v>339</v>
      </c>
      <c r="D644" s="117" t="s">
        <v>339</v>
      </c>
      <c r="E644" s="118" t="s">
        <v>519</v>
      </c>
      <c r="F644" s="115"/>
      <c r="G644" s="119"/>
      <c r="H644" s="120"/>
      <c r="I644" s="140"/>
      <c r="J644" s="120" t="s">
        <v>597</v>
      </c>
    </row>
    <row r="645" spans="1:10">
      <c r="A645" s="121"/>
      <c r="B645" s="122">
        <v>72</v>
      </c>
      <c r="C645" s="121" t="str">
        <f>'5.Tiên lượng'!C165</f>
        <v>AA.22121</v>
      </c>
      <c r="D645" s="121" t="str">
        <f>'5.Tiên lượng'!C165</f>
        <v>AA.22121</v>
      </c>
      <c r="E645" s="123" t="str">
        <f>'5.Tiên lượng'!D165</f>
        <v>Phá dỡ kết cấu gạch đá bằng búa căn khí nén 3m3/ph</v>
      </c>
      <c r="F645" s="122" t="str">
        <f>'5.Tiên lượng'!E165</f>
        <v>m3</v>
      </c>
      <c r="G645" s="124"/>
      <c r="H645" s="125"/>
      <c r="I645" s="141"/>
      <c r="J645" s="142">
        <f>J646+J648</f>
        <v>131849.7926666665</v>
      </c>
    </row>
    <row r="646" spans="1:10">
      <c r="A646" s="126"/>
      <c r="B646" s="127"/>
      <c r="C646" s="128" t="s">
        <v>590</v>
      </c>
      <c r="D646" s="128" t="s">
        <v>590</v>
      </c>
      <c r="E646" s="129" t="s">
        <v>265</v>
      </c>
      <c r="F646" s="127" t="s">
        <v>266</v>
      </c>
      <c r="G646" s="130"/>
      <c r="H646" s="131"/>
      <c r="I646" s="143"/>
      <c r="J646" s="131">
        <f>SUM(J647:J647)</f>
        <v>45723.600000000006</v>
      </c>
    </row>
    <row r="647" spans="1:10">
      <c r="A647" s="67"/>
      <c r="B647" s="66"/>
      <c r="C647" s="132" t="s">
        <v>590</v>
      </c>
      <c r="D647" s="133" t="s">
        <v>598</v>
      </c>
      <c r="E647" s="102" t="str">
        <f>" - "&amp;'Giá NC'!E5</f>
        <v xml:space="preserve"> - Nhân công bậc 3,0/7 - Nhóm 1</v>
      </c>
      <c r="F647" s="66" t="str">
        <f>'Giá NC'!F5</f>
        <v>công</v>
      </c>
      <c r="G647" s="134">
        <f>PTVT!G647</f>
        <v>0.2</v>
      </c>
      <c r="H647" s="135">
        <f>'Giá NC'!K5</f>
        <v>228618</v>
      </c>
      <c r="I647" s="144">
        <f>'5.Tiên lượng'!W165</f>
        <v>1</v>
      </c>
      <c r="J647" s="135">
        <f>PRODUCT(G647,H647,I647)</f>
        <v>45723.600000000006</v>
      </c>
    </row>
    <row r="648" spans="1:10">
      <c r="A648" s="126"/>
      <c r="B648" s="127"/>
      <c r="C648" s="128" t="s">
        <v>590</v>
      </c>
      <c r="D648" s="128" t="s">
        <v>590</v>
      </c>
      <c r="E648" s="129" t="s">
        <v>267</v>
      </c>
      <c r="F648" s="127" t="s">
        <v>268</v>
      </c>
      <c r="G648" s="130"/>
      <c r="H648" s="131"/>
      <c r="I648" s="143"/>
      <c r="J648" s="131">
        <v>86126.192666666495</v>
      </c>
    </row>
    <row r="649" spans="1:10">
      <c r="A649" s="67"/>
      <c r="B649" s="66"/>
      <c r="C649" s="132" t="s">
        <v>590</v>
      </c>
      <c r="D649" s="133" t="s">
        <v>673</v>
      </c>
      <c r="E649" s="102" t="str">
        <f>" - "&amp;'Giá Máy'!E5</f>
        <v xml:space="preserve"> - Búa căn khí nén 3m3/ph</v>
      </c>
      <c r="F649" s="66" t="str">
        <f>'Giá Máy'!F5</f>
        <v>ca</v>
      </c>
      <c r="G649" s="134">
        <f>PTVT!G649</f>
        <v>0.15</v>
      </c>
      <c r="H649" s="135">
        <f>'Giá Máy'!O5</f>
        <v>21146.666666666668</v>
      </c>
      <c r="I649" s="144">
        <f>'5.Tiên lượng'!X165</f>
        <v>1</v>
      </c>
      <c r="J649" s="135">
        <f t="shared" ref="J649:J650" si="86">PRODUCT(G649,H649,I649)</f>
        <v>3172</v>
      </c>
    </row>
    <row r="650" spans="1:10">
      <c r="A650" s="104"/>
      <c r="B650" s="105"/>
      <c r="C650" s="136" t="s">
        <v>590</v>
      </c>
      <c r="D650" s="137" t="s">
        <v>674</v>
      </c>
      <c r="E650" s="106" t="str">
        <f>" - "&amp;'Giá Máy'!E21</f>
        <v xml:space="preserve"> - Máy nén khí diezel 360m3/h</v>
      </c>
      <c r="F650" s="105" t="str">
        <f>'Giá Máy'!F21</f>
        <v>ca</v>
      </c>
      <c r="G650" s="138">
        <f>PTVT!G650</f>
        <v>7.4999999999999997E-2</v>
      </c>
      <c r="H650" s="139">
        <f>'Giá Máy'!O21</f>
        <v>1158219.0222222223</v>
      </c>
      <c r="I650" s="145">
        <f>'5.Tiên lượng'!X165</f>
        <v>1</v>
      </c>
      <c r="J650" s="139">
        <f t="shared" si="86"/>
        <v>86866.426666666666</v>
      </c>
    </row>
    <row r="651" spans="1:10">
      <c r="A651" s="114"/>
      <c r="B651" s="115"/>
      <c r="C651" s="116" t="s">
        <v>339</v>
      </c>
      <c r="D651" s="117" t="s">
        <v>339</v>
      </c>
      <c r="E651" s="118" t="s">
        <v>524</v>
      </c>
      <c r="F651" s="115"/>
      <c r="G651" s="119"/>
      <c r="H651" s="120"/>
      <c r="I651" s="140"/>
      <c r="J651" s="120" t="s">
        <v>597</v>
      </c>
    </row>
    <row r="652" spans="1:10">
      <c r="A652" s="121"/>
      <c r="B652" s="122">
        <v>73</v>
      </c>
      <c r="C652" s="121" t="str">
        <f>'5.Tiên lượng'!C169</f>
        <v>AB.25112</v>
      </c>
      <c r="D652" s="121" t="str">
        <f>'5.Tiên lượng'!C169</f>
        <v>AB.25112</v>
      </c>
      <c r="E652" s="123" t="str">
        <f>'5.Tiên lượng'!D169</f>
        <v>Đào móng bằng máy đào 0,8m3, chiều rộng móng ≤6m - Cấp đất II</v>
      </c>
      <c r="F652" s="122" t="str">
        <f>'5.Tiên lượng'!E169</f>
        <v>100m3</v>
      </c>
      <c r="G652" s="124"/>
      <c r="H652" s="125"/>
      <c r="I652" s="141"/>
      <c r="J652" s="142">
        <f>J653+J655</f>
        <v>1815604.9569000001</v>
      </c>
    </row>
    <row r="653" spans="1:10">
      <c r="A653" s="126"/>
      <c r="B653" s="127"/>
      <c r="C653" s="128" t="s">
        <v>590</v>
      </c>
      <c r="D653" s="128" t="s">
        <v>590</v>
      </c>
      <c r="E653" s="129" t="s">
        <v>265</v>
      </c>
      <c r="F653" s="127" t="s">
        <v>266</v>
      </c>
      <c r="G653" s="130"/>
      <c r="H653" s="131"/>
      <c r="I653" s="143"/>
      <c r="J653" s="131">
        <f>SUM(J654:J654)</f>
        <v>868748.39999999991</v>
      </c>
    </row>
    <row r="654" spans="1:10">
      <c r="A654" s="67"/>
      <c r="B654" s="66"/>
      <c r="C654" s="132" t="s">
        <v>590</v>
      </c>
      <c r="D654" s="133" t="s">
        <v>598</v>
      </c>
      <c r="E654" s="102" t="str">
        <f>" - "&amp;'Giá NC'!E5</f>
        <v xml:space="preserve"> - Nhân công bậc 3,0/7 - Nhóm 1</v>
      </c>
      <c r="F654" s="66" t="str">
        <f>'Giá NC'!F5</f>
        <v>công</v>
      </c>
      <c r="G654" s="134">
        <f>PTVT!G654</f>
        <v>3.8</v>
      </c>
      <c r="H654" s="135">
        <f>'Giá NC'!K5</f>
        <v>228618</v>
      </c>
      <c r="I654" s="144">
        <f>'5.Tiên lượng'!W169</f>
        <v>1</v>
      </c>
      <c r="J654" s="135">
        <f>PRODUCT(G654,H654,I654)</f>
        <v>868748.39999999991</v>
      </c>
    </row>
    <row r="655" spans="1:10">
      <c r="A655" s="126"/>
      <c r="B655" s="127"/>
      <c r="C655" s="128" t="s">
        <v>590</v>
      </c>
      <c r="D655" s="128" t="s">
        <v>590</v>
      </c>
      <c r="E655" s="129" t="s">
        <v>267</v>
      </c>
      <c r="F655" s="127" t="s">
        <v>268</v>
      </c>
      <c r="G655" s="130"/>
      <c r="H655" s="131"/>
      <c r="I655" s="143"/>
      <c r="J655" s="131">
        <f>SUM(J656:J656)</f>
        <v>946856.55690000008</v>
      </c>
    </row>
    <row r="656" spans="1:10">
      <c r="A656" s="104"/>
      <c r="B656" s="105"/>
      <c r="C656" s="136" t="s">
        <v>590</v>
      </c>
      <c r="D656" s="137" t="s">
        <v>675</v>
      </c>
      <c r="E656" s="106" t="str">
        <f>" - "&amp;'Giá Máy'!E13</f>
        <v xml:space="preserve"> - Máy đào 0,8m3</v>
      </c>
      <c r="F656" s="105" t="str">
        <f>'Giá Máy'!F13</f>
        <v>ca</v>
      </c>
      <c r="G656" s="138">
        <f>PTVT!G656</f>
        <v>0.372</v>
      </c>
      <c r="H656" s="139">
        <f>'Giá Máy'!O13</f>
        <v>2545313.3250000002</v>
      </c>
      <c r="I656" s="145">
        <f>'5.Tiên lượng'!X169</f>
        <v>1</v>
      </c>
      <c r="J656" s="139">
        <f>PRODUCT(G656,H656,I656)</f>
        <v>946856.55690000008</v>
      </c>
    </row>
    <row r="657" spans="1:10">
      <c r="A657" s="121"/>
      <c r="B657" s="122">
        <v>74</v>
      </c>
      <c r="C657" s="121" t="str">
        <f>'5.Tiên lượng'!C171</f>
        <v>AB.25113</v>
      </c>
      <c r="D657" s="121" t="str">
        <f>'5.Tiên lượng'!C171</f>
        <v>AB.25113</v>
      </c>
      <c r="E657" s="123" t="str">
        <f>'5.Tiên lượng'!D171</f>
        <v>Đào móng bằng máy đào 0,8m3, chiều rộng móng ≤6m - Cấp đất III</v>
      </c>
      <c r="F657" s="122" t="str">
        <f>'5.Tiên lượng'!E171</f>
        <v>100m3</v>
      </c>
      <c r="G657" s="124"/>
      <c r="H657" s="125"/>
      <c r="I657" s="141"/>
      <c r="J657" s="142">
        <f>J658+J660</f>
        <v>2345485.3890000004</v>
      </c>
    </row>
    <row r="658" spans="1:10">
      <c r="A658" s="126"/>
      <c r="B658" s="127"/>
      <c r="C658" s="128" t="s">
        <v>590</v>
      </c>
      <c r="D658" s="128" t="s">
        <v>590</v>
      </c>
      <c r="E658" s="129" t="s">
        <v>265</v>
      </c>
      <c r="F658" s="127" t="s">
        <v>266</v>
      </c>
      <c r="G658" s="130"/>
      <c r="H658" s="131"/>
      <c r="I658" s="143"/>
      <c r="J658" s="131">
        <f>SUM(J659:J659)</f>
        <v>1021922.46</v>
      </c>
    </row>
    <row r="659" spans="1:10">
      <c r="A659" s="67"/>
      <c r="B659" s="66"/>
      <c r="C659" s="132" t="s">
        <v>590</v>
      </c>
      <c r="D659" s="133" t="s">
        <v>598</v>
      </c>
      <c r="E659" s="102" t="str">
        <f>" - "&amp;'Giá NC'!E5</f>
        <v xml:space="preserve"> - Nhân công bậc 3,0/7 - Nhóm 1</v>
      </c>
      <c r="F659" s="66" t="str">
        <f>'Giá NC'!F5</f>
        <v>công</v>
      </c>
      <c r="G659" s="134">
        <f>PTVT!G659</f>
        <v>4.47</v>
      </c>
      <c r="H659" s="135">
        <f>'Giá NC'!K5</f>
        <v>228618</v>
      </c>
      <c r="I659" s="144">
        <f>'5.Tiên lượng'!W171</f>
        <v>1</v>
      </c>
      <c r="J659" s="135">
        <f>PRODUCT(G659,H659,I659)</f>
        <v>1021922.46</v>
      </c>
    </row>
    <row r="660" spans="1:10">
      <c r="A660" s="126"/>
      <c r="B660" s="127"/>
      <c r="C660" s="128" t="s">
        <v>590</v>
      </c>
      <c r="D660" s="128" t="s">
        <v>590</v>
      </c>
      <c r="E660" s="129" t="s">
        <v>267</v>
      </c>
      <c r="F660" s="127" t="s">
        <v>268</v>
      </c>
      <c r="G660" s="130"/>
      <c r="H660" s="131"/>
      <c r="I660" s="143"/>
      <c r="J660" s="131">
        <f>SUM(J661:J661)</f>
        <v>1323562.9290000002</v>
      </c>
    </row>
    <row r="661" spans="1:10">
      <c r="A661" s="104"/>
      <c r="B661" s="105"/>
      <c r="C661" s="136" t="s">
        <v>590</v>
      </c>
      <c r="D661" s="137" t="s">
        <v>675</v>
      </c>
      <c r="E661" s="106" t="str">
        <f>" - "&amp;'Giá Máy'!E13</f>
        <v xml:space="preserve"> - Máy đào 0,8m3</v>
      </c>
      <c r="F661" s="105" t="str">
        <f>'Giá Máy'!F13</f>
        <v>ca</v>
      </c>
      <c r="G661" s="138">
        <f>PTVT!G661</f>
        <v>0.52</v>
      </c>
      <c r="H661" s="139">
        <f>'Giá Máy'!O13</f>
        <v>2545313.3250000002</v>
      </c>
      <c r="I661" s="145">
        <f>'5.Tiên lượng'!X171</f>
        <v>1</v>
      </c>
      <c r="J661" s="139">
        <f>PRODUCT(G661,H661,I661)</f>
        <v>1323562.9290000002</v>
      </c>
    </row>
    <row r="662" spans="1:10">
      <c r="A662" s="121"/>
      <c r="B662" s="122">
        <v>75</v>
      </c>
      <c r="C662" s="121" t="str">
        <f>'5.Tiên lượng'!C173</f>
        <v>AB.25114</v>
      </c>
      <c r="D662" s="121" t="str">
        <f>'5.Tiên lượng'!C173</f>
        <v>AB.25114</v>
      </c>
      <c r="E662" s="123" t="str">
        <f>'5.Tiên lượng'!D173</f>
        <v>Đào móng bằng máy đào 0,8m3, chiều rộng móng ≤6m - Cấp đất IV</v>
      </c>
      <c r="F662" s="122" t="str">
        <f>'5.Tiên lượng'!E173</f>
        <v>100m3</v>
      </c>
      <c r="G662" s="124"/>
      <c r="H662" s="125"/>
      <c r="I662" s="141"/>
      <c r="J662" s="142">
        <f>J663+J665</f>
        <v>2668769.2149750004</v>
      </c>
    </row>
    <row r="663" spans="1:10">
      <c r="A663" s="126"/>
      <c r="B663" s="127"/>
      <c r="C663" s="128" t="s">
        <v>590</v>
      </c>
      <c r="D663" s="128" t="s">
        <v>590</v>
      </c>
      <c r="E663" s="129" t="s">
        <v>265</v>
      </c>
      <c r="F663" s="127" t="s">
        <v>266</v>
      </c>
      <c r="G663" s="130"/>
      <c r="H663" s="131"/>
      <c r="I663" s="143"/>
      <c r="J663" s="131">
        <f>SUM(J664:J664)</f>
        <v>1133945.28</v>
      </c>
    </row>
    <row r="664" spans="1:10">
      <c r="A664" s="67"/>
      <c r="B664" s="66"/>
      <c r="C664" s="132" t="s">
        <v>590</v>
      </c>
      <c r="D664" s="133" t="s">
        <v>598</v>
      </c>
      <c r="E664" s="102" t="str">
        <f>" - "&amp;'Giá NC'!E5</f>
        <v xml:space="preserve"> - Nhân công bậc 3,0/7 - Nhóm 1</v>
      </c>
      <c r="F664" s="66" t="str">
        <f>'Giá NC'!F5</f>
        <v>công</v>
      </c>
      <c r="G664" s="134">
        <f>PTVT!G664</f>
        <v>4.96</v>
      </c>
      <c r="H664" s="135">
        <f>'Giá NC'!K5</f>
        <v>228618</v>
      </c>
      <c r="I664" s="144">
        <f>'5.Tiên lượng'!W173</f>
        <v>1</v>
      </c>
      <c r="J664" s="135">
        <f>PRODUCT(G664,H664,I664)</f>
        <v>1133945.28</v>
      </c>
    </row>
    <row r="665" spans="1:10">
      <c r="A665" s="126"/>
      <c r="B665" s="127"/>
      <c r="C665" s="128" t="s">
        <v>590</v>
      </c>
      <c r="D665" s="128" t="s">
        <v>590</v>
      </c>
      <c r="E665" s="129" t="s">
        <v>267</v>
      </c>
      <c r="F665" s="127" t="s">
        <v>268</v>
      </c>
      <c r="G665" s="130"/>
      <c r="H665" s="131"/>
      <c r="I665" s="143"/>
      <c r="J665" s="131">
        <f>SUM(J666:J666)</f>
        <v>1534823.9349750001</v>
      </c>
    </row>
    <row r="666" spans="1:10">
      <c r="A666" s="104"/>
      <c r="B666" s="105"/>
      <c r="C666" s="136" t="s">
        <v>590</v>
      </c>
      <c r="D666" s="137" t="s">
        <v>675</v>
      </c>
      <c r="E666" s="106" t="str">
        <f>" - "&amp;'Giá Máy'!E13</f>
        <v xml:space="preserve"> - Máy đào 0,8m3</v>
      </c>
      <c r="F666" s="105" t="str">
        <f>'Giá Máy'!F13</f>
        <v>ca</v>
      </c>
      <c r="G666" s="138">
        <f>PTVT!G666</f>
        <v>0.60299999999999998</v>
      </c>
      <c r="H666" s="139">
        <f>'Giá Máy'!O13</f>
        <v>2545313.3250000002</v>
      </c>
      <c r="I666" s="145">
        <f>'5.Tiên lượng'!X173</f>
        <v>1</v>
      </c>
      <c r="J666" s="139">
        <f>PRODUCT(G666,H666,I666)</f>
        <v>1534823.9349750001</v>
      </c>
    </row>
    <row r="667" spans="1:10">
      <c r="A667" s="121"/>
      <c r="B667" s="122">
        <v>76</v>
      </c>
      <c r="C667" s="121" t="str">
        <f>'5.Tiên lượng'!C175</f>
        <v>AB.65130</v>
      </c>
      <c r="D667" s="121" t="str">
        <f>'5.Tiên lượng'!C175</f>
        <v>AB.65130</v>
      </c>
      <c r="E667" s="123" t="str">
        <f>'5.Tiên lượng'!D175</f>
        <v>Đắp đất bằng đầm đất cầm tay 70kg, độ chặt Y/C K = 0,95</v>
      </c>
      <c r="F667" s="122" t="str">
        <f>'5.Tiên lượng'!E175</f>
        <v>100m3</v>
      </c>
      <c r="G667" s="124"/>
      <c r="H667" s="125"/>
      <c r="I667" s="141"/>
      <c r="J667" s="142">
        <f>J668+J670</f>
        <v>3196547.6844239999</v>
      </c>
    </row>
    <row r="668" spans="1:10">
      <c r="A668" s="126"/>
      <c r="B668" s="127"/>
      <c r="C668" s="128" t="s">
        <v>590</v>
      </c>
      <c r="D668" s="128" t="s">
        <v>590</v>
      </c>
      <c r="E668" s="129" t="s">
        <v>265</v>
      </c>
      <c r="F668" s="127" t="s">
        <v>266</v>
      </c>
      <c r="G668" s="130"/>
      <c r="H668" s="131"/>
      <c r="I668" s="143"/>
      <c r="J668" s="131">
        <f>SUM(J669:J669)</f>
        <v>1630046.34</v>
      </c>
    </row>
    <row r="669" spans="1:10">
      <c r="A669" s="67"/>
      <c r="B669" s="66"/>
      <c r="C669" s="132" t="s">
        <v>590</v>
      </c>
      <c r="D669" s="133" t="s">
        <v>598</v>
      </c>
      <c r="E669" s="102" t="str">
        <f>" - "&amp;'Giá NC'!E5</f>
        <v xml:space="preserve"> - Nhân công bậc 3,0/7 - Nhóm 1</v>
      </c>
      <c r="F669" s="66" t="str">
        <f>'Giá NC'!F5</f>
        <v>công</v>
      </c>
      <c r="G669" s="134">
        <f>PTVT!G669</f>
        <v>7.13</v>
      </c>
      <c r="H669" s="135">
        <f>'Giá NC'!K5</f>
        <v>228618</v>
      </c>
      <c r="I669" s="144">
        <f>'5.Tiên lượng'!W175</f>
        <v>1</v>
      </c>
      <c r="J669" s="135">
        <f>PRODUCT(G669,H669,I669)</f>
        <v>1630046.34</v>
      </c>
    </row>
    <row r="670" spans="1:10">
      <c r="A670" s="126"/>
      <c r="B670" s="127"/>
      <c r="C670" s="128" t="s">
        <v>590</v>
      </c>
      <c r="D670" s="128" t="s">
        <v>590</v>
      </c>
      <c r="E670" s="129" t="s">
        <v>267</v>
      </c>
      <c r="F670" s="127" t="s">
        <v>268</v>
      </c>
      <c r="G670" s="130"/>
      <c r="H670" s="131"/>
      <c r="I670" s="143"/>
      <c r="J670" s="131">
        <v>1566501.344424</v>
      </c>
    </row>
    <row r="671" spans="1:10">
      <c r="A671" s="104"/>
      <c r="B671" s="105"/>
      <c r="C671" s="136" t="s">
        <v>590</v>
      </c>
      <c r="D671" s="137" t="s">
        <v>676</v>
      </c>
      <c r="E671" s="106" t="str">
        <f>" - "&amp;'Giá Máy'!E11</f>
        <v xml:space="preserve"> - Máy đầm đất cầm tay 70kg</v>
      </c>
      <c r="F671" s="105" t="str">
        <f>'Giá Máy'!F11</f>
        <v>ca</v>
      </c>
      <c r="G671" s="138">
        <f>PTVT!G671</f>
        <v>4.4279999999999999</v>
      </c>
      <c r="H671" s="139">
        <f>'Giá Máy'!O11</f>
        <v>375695.83</v>
      </c>
      <c r="I671" s="145">
        <f>'5.Tiên lượng'!X175</f>
        <v>1</v>
      </c>
      <c r="J671" s="139">
        <f>PRODUCT(G671,H671,I671)</f>
        <v>1663581.13524</v>
      </c>
    </row>
    <row r="672" spans="1:10">
      <c r="A672" s="114"/>
      <c r="B672" s="115"/>
      <c r="C672" s="116" t="s">
        <v>339</v>
      </c>
      <c r="D672" s="117" t="s">
        <v>339</v>
      </c>
      <c r="E672" s="118" t="s">
        <v>537</v>
      </c>
      <c r="F672" s="115"/>
      <c r="G672" s="119"/>
      <c r="H672" s="120"/>
      <c r="I672" s="140"/>
      <c r="J672" s="120" t="s">
        <v>597</v>
      </c>
    </row>
    <row r="673" spans="1:10">
      <c r="A673" s="121"/>
      <c r="B673" s="122">
        <v>77</v>
      </c>
      <c r="C673" s="121" t="str">
        <f>'5.Tiên lượng'!C178</f>
        <v>AE.12314</v>
      </c>
      <c r="D673" s="121" t="str">
        <f>'5.Tiên lượng'!C178</f>
        <v>AE.12314</v>
      </c>
      <c r="E673" s="123" t="str">
        <f>'5.Tiên lượng'!D178</f>
        <v>Xây cống, vữa XM M100, PCB40</v>
      </c>
      <c r="F673" s="122" t="str">
        <f>'5.Tiên lượng'!E178</f>
        <v>m3</v>
      </c>
      <c r="G673" s="124"/>
      <c r="H673" s="125"/>
      <c r="I673" s="141"/>
      <c r="J673" s="142">
        <f>J674+J681+J683</f>
        <v>1801537.6331290256</v>
      </c>
    </row>
    <row r="674" spans="1:10">
      <c r="A674" s="126"/>
      <c r="B674" s="127"/>
      <c r="C674" s="128" t="s">
        <v>590</v>
      </c>
      <c r="D674" s="128" t="s">
        <v>590</v>
      </c>
      <c r="E674" s="129" t="s">
        <v>262</v>
      </c>
      <c r="F674" s="127" t="s">
        <v>263</v>
      </c>
      <c r="G674" s="130"/>
      <c r="H674" s="131"/>
      <c r="I674" s="143"/>
      <c r="J674" s="131">
        <f>SUM(J675:J680)</f>
        <v>981057.91544799274</v>
      </c>
    </row>
    <row r="675" spans="1:10">
      <c r="A675" s="67"/>
      <c r="B675" s="66"/>
      <c r="C675" s="132" t="s">
        <v>590</v>
      </c>
      <c r="D675" s="133" t="s">
        <v>671</v>
      </c>
      <c r="E675" s="102" t="str">
        <f>" - "&amp;'Giá VL'!E22</f>
        <v xml:space="preserve"> - Đá hộc</v>
      </c>
      <c r="F675" s="66" t="str">
        <f>'Giá VL'!F22</f>
        <v>m3</v>
      </c>
      <c r="G675" s="134">
        <f>PTVT!G675</f>
        <v>1.2</v>
      </c>
      <c r="H675" s="135">
        <f>'Giá VL'!V22</f>
        <v>306636.9934461856</v>
      </c>
      <c r="I675" s="144">
        <f>'5.Tiên lượng'!V178</f>
        <v>1</v>
      </c>
      <c r="J675" s="135">
        <f t="shared" ref="J675:J680" si="87">PRODUCT(G675,H675,I675)</f>
        <v>367964.39213542274</v>
      </c>
    </row>
    <row r="676" spans="1:10">
      <c r="A676" s="67"/>
      <c r="B676" s="66"/>
      <c r="C676" s="132" t="s">
        <v>590</v>
      </c>
      <c r="D676" s="133" t="s">
        <v>672</v>
      </c>
      <c r="E676" s="102" t="str">
        <f>" - "&amp;'Giá VL'!E21</f>
        <v xml:space="preserve"> - Đá dăm</v>
      </c>
      <c r="F676" s="66" t="str">
        <f>'Giá VL'!F21</f>
        <v>m3</v>
      </c>
      <c r="G676" s="134">
        <f>PTVT!G676</f>
        <v>5.7000000000000002E-2</v>
      </c>
      <c r="H676" s="135">
        <f>'Giá VL'!V21</f>
        <v>330458.0547558713</v>
      </c>
      <c r="I676" s="144">
        <f>'5.Tiên lượng'!V178</f>
        <v>1</v>
      </c>
      <c r="J676" s="135">
        <f t="shared" si="87"/>
        <v>18836.109121084664</v>
      </c>
    </row>
    <row r="677" spans="1:10">
      <c r="A677" s="67"/>
      <c r="B677" s="66"/>
      <c r="C677" s="132" t="s">
        <v>590</v>
      </c>
      <c r="D677" s="133" t="s">
        <v>614</v>
      </c>
      <c r="E677" s="102" t="str">
        <f>" - "&amp;'Giá VL'!E45</f>
        <v xml:space="preserve"> - Xi măng PCB40</v>
      </c>
      <c r="F677" s="66" t="str">
        <f>'Giá VL'!F45</f>
        <v>kg</v>
      </c>
      <c r="G677" s="134">
        <f>PTVT!G677</f>
        <v>131.04</v>
      </c>
      <c r="H677" s="135">
        <f>'Giá VL'!V45</f>
        <v>1730</v>
      </c>
      <c r="I677" s="144">
        <f>'5.Tiên lượng'!V178</f>
        <v>1</v>
      </c>
      <c r="J677" s="135">
        <f t="shared" si="87"/>
        <v>226699.19999999998</v>
      </c>
    </row>
    <row r="678" spans="1:10">
      <c r="A678" s="67"/>
      <c r="B678" s="66"/>
      <c r="C678" s="132" t="s">
        <v>590</v>
      </c>
      <c r="D678" s="133" t="s">
        <v>615</v>
      </c>
      <c r="E678" s="102" t="str">
        <f>" - "&amp;'Giá VL'!E17</f>
        <v xml:space="preserve"> - Cát vàng</v>
      </c>
      <c r="F678" s="66" t="str">
        <f>'Giá VL'!F17</f>
        <v>m3</v>
      </c>
      <c r="G678" s="134">
        <f>PTVT!G678</f>
        <v>0.48426000000000002</v>
      </c>
      <c r="H678" s="135">
        <f>'Giá VL'!V17</f>
        <v>659026.49526849983</v>
      </c>
      <c r="I678" s="144">
        <f>'5.Tiên lượng'!V178</f>
        <v>1</v>
      </c>
      <c r="J678" s="135">
        <f t="shared" si="87"/>
        <v>319140.17059872375</v>
      </c>
    </row>
    <row r="679" spans="1:10">
      <c r="A679" s="67"/>
      <c r="B679" s="66"/>
      <c r="C679" s="132" t="s">
        <v>590</v>
      </c>
      <c r="D679" s="133" t="s">
        <v>617</v>
      </c>
      <c r="E679" s="102" t="str">
        <f>" - "&amp;'Giá VL'!E33</f>
        <v xml:space="preserve"> - Nước</v>
      </c>
      <c r="F679" s="66" t="str">
        <f>'Giá VL'!F33</f>
        <v>lít</v>
      </c>
      <c r="G679" s="134">
        <f>PTVT!G679</f>
        <v>113.4</v>
      </c>
      <c r="H679" s="135">
        <f>'Giá VL'!V33</f>
        <v>15</v>
      </c>
      <c r="I679" s="144">
        <f>'5.Tiên lượng'!V178</f>
        <v>1</v>
      </c>
      <c r="J679" s="135">
        <f t="shared" si="87"/>
        <v>1701</v>
      </c>
    </row>
    <row r="680" spans="1:10">
      <c r="A680" s="67"/>
      <c r="B680" s="66"/>
      <c r="C680" s="132" t="s">
        <v>590</v>
      </c>
      <c r="D680" s="133" t="s">
        <v>620</v>
      </c>
      <c r="E680" s="102" t="s">
        <v>621</v>
      </c>
      <c r="F680" s="66" t="s">
        <v>37</v>
      </c>
      <c r="G680" s="134">
        <f>PTVT!G680</f>
        <v>5</v>
      </c>
      <c r="H680" s="135">
        <f>(G675*H675+G676*H676+G677*H677+G678*H678+G679*H679)/100</f>
        <v>9343.4087185523131</v>
      </c>
      <c r="I680" s="144">
        <f>'5.Tiên lượng'!V178</f>
        <v>1</v>
      </c>
      <c r="J680" s="135">
        <f t="shared" si="87"/>
        <v>46717.043592761562</v>
      </c>
    </row>
    <row r="681" spans="1:10">
      <c r="A681" s="126"/>
      <c r="B681" s="127"/>
      <c r="C681" s="128" t="s">
        <v>590</v>
      </c>
      <c r="D681" s="128" t="s">
        <v>590</v>
      </c>
      <c r="E681" s="129" t="s">
        <v>265</v>
      </c>
      <c r="F681" s="127" t="s">
        <v>266</v>
      </c>
      <c r="G681" s="130"/>
      <c r="H681" s="131"/>
      <c r="I681" s="143"/>
      <c r="J681" s="131">
        <f>SUM(J682:J682)</f>
        <v>804600</v>
      </c>
    </row>
    <row r="682" spans="1:10">
      <c r="A682" s="67"/>
      <c r="B682" s="66"/>
      <c r="C682" s="132" t="s">
        <v>590</v>
      </c>
      <c r="D682" s="133" t="s">
        <v>622</v>
      </c>
      <c r="E682" s="102" t="str">
        <f>" - "&amp;'Giá NC'!E9</f>
        <v xml:space="preserve"> - Nhân công bậc 3,5/7 - Nhóm 2</v>
      </c>
      <c r="F682" s="66" t="str">
        <f>'Giá NC'!F9</f>
        <v>công</v>
      </c>
      <c r="G682" s="134">
        <f>PTVT!G682</f>
        <v>2.98</v>
      </c>
      <c r="H682" s="135">
        <f>'Giá NC'!K9</f>
        <v>270000</v>
      </c>
      <c r="I682" s="144">
        <f>'5.Tiên lượng'!W178</f>
        <v>1</v>
      </c>
      <c r="J682" s="135">
        <f>PRODUCT(G682,H682,I682)</f>
        <v>804600</v>
      </c>
    </row>
    <row r="683" spans="1:10">
      <c r="A683" s="126"/>
      <c r="B683" s="127"/>
      <c r="C683" s="128" t="s">
        <v>590</v>
      </c>
      <c r="D683" s="128" t="s">
        <v>590</v>
      </c>
      <c r="E683" s="129" t="s">
        <v>267</v>
      </c>
      <c r="F683" s="127" t="s">
        <v>268</v>
      </c>
      <c r="G683" s="130"/>
      <c r="H683" s="131"/>
      <c r="I683" s="143"/>
      <c r="J683" s="131">
        <f>SUM(J684:J684)</f>
        <v>15879.717681032944</v>
      </c>
    </row>
    <row r="684" spans="1:10">
      <c r="A684" s="104"/>
      <c r="B684" s="105"/>
      <c r="C684" s="136" t="s">
        <v>590</v>
      </c>
      <c r="D684" s="137" t="s">
        <v>657</v>
      </c>
      <c r="E684" s="106" t="str">
        <f>" - "&amp;'Giá Máy'!E28</f>
        <v xml:space="preserve"> - Máy trộn vữa 150l</v>
      </c>
      <c r="F684" s="105" t="str">
        <f>'Giá Máy'!F28</f>
        <v>ca</v>
      </c>
      <c r="G684" s="138">
        <f>PTVT!G684</f>
        <v>5.2999999999999999E-2</v>
      </c>
      <c r="H684" s="139">
        <f>'Giá Máy'!O28</f>
        <v>299617.31473647064</v>
      </c>
      <c r="I684" s="145">
        <f>'5.Tiên lượng'!X178</f>
        <v>1</v>
      </c>
      <c r="J684" s="139">
        <f>PRODUCT(G684,H684,I684)</f>
        <v>15879.717681032944</v>
      </c>
    </row>
    <row r="685" spans="1:10">
      <c r="A685" s="121"/>
      <c r="B685" s="122">
        <v>78</v>
      </c>
      <c r="C685" s="121" t="str">
        <f>'5.Tiên lượng'!C179</f>
        <v>AK.98110</v>
      </c>
      <c r="D685" s="121" t="str">
        <f>'5.Tiên lượng'!C179</f>
        <v>AK.98110</v>
      </c>
      <c r="E685" s="123" t="str">
        <f>'5.Tiên lượng'!D179</f>
        <v>Đá dăm đệm móng, đá (2x4)cm, dày 5cm</v>
      </c>
      <c r="F685" s="122" t="str">
        <f>'5.Tiên lượng'!E179</f>
        <v>m3</v>
      </c>
      <c r="G685" s="124"/>
      <c r="H685" s="125"/>
      <c r="I685" s="141"/>
      <c r="J685" s="142">
        <f>J686+J689</f>
        <v>842278.54228759557</v>
      </c>
    </row>
    <row r="686" spans="1:10">
      <c r="A686" s="126"/>
      <c r="B686" s="127"/>
      <c r="C686" s="128" t="s">
        <v>590</v>
      </c>
      <c r="D686" s="128" t="s">
        <v>590</v>
      </c>
      <c r="E686" s="129" t="s">
        <v>262</v>
      </c>
      <c r="F686" s="127" t="s">
        <v>263</v>
      </c>
      <c r="G686" s="130"/>
      <c r="H686" s="131"/>
      <c r="I686" s="143"/>
      <c r="J686" s="131">
        <f>SUM(J687:J688)</f>
        <v>495257.6142875955</v>
      </c>
    </row>
    <row r="687" spans="1:10">
      <c r="A687" s="67"/>
      <c r="B687" s="66"/>
      <c r="C687" s="132" t="s">
        <v>590</v>
      </c>
      <c r="D687" s="133" t="s">
        <v>653</v>
      </c>
      <c r="E687" s="102" t="str">
        <f>" - "&amp;'Giá VL'!E20</f>
        <v xml:space="preserve"> - Đá cấp phối dmax ≤ 4</v>
      </c>
      <c r="F687" s="66" t="str">
        <f>'Giá VL'!F20</f>
        <v>m3</v>
      </c>
      <c r="G687" s="134">
        <f>PTVT!G687</f>
        <v>1.2</v>
      </c>
      <c r="H687" s="135">
        <f>'Giá VL'!V20</f>
        <v>330458.0547558713</v>
      </c>
      <c r="I687" s="144">
        <f>'5.Tiên lượng'!V179</f>
        <v>1</v>
      </c>
      <c r="J687" s="135">
        <f t="shared" ref="J687:J688" si="88">PRODUCT(G687,H687,I687)</f>
        <v>396549.66570704553</v>
      </c>
    </row>
    <row r="688" spans="1:10">
      <c r="A688" s="67"/>
      <c r="B688" s="66"/>
      <c r="C688" s="132" t="s">
        <v>590</v>
      </c>
      <c r="D688" s="133" t="s">
        <v>654</v>
      </c>
      <c r="E688" s="102" t="str">
        <f>" - "&amp;'Giá VL'!E14</f>
        <v xml:space="preserve"> - Cát</v>
      </c>
      <c r="F688" s="66" t="str">
        <f>'Giá VL'!F14</f>
        <v>m3</v>
      </c>
      <c r="G688" s="134">
        <f>PTVT!G688</f>
        <v>0.3</v>
      </c>
      <c r="H688" s="135">
        <f>'Giá VL'!V14</f>
        <v>329026.49526849983</v>
      </c>
      <c r="I688" s="144">
        <f>'5.Tiên lượng'!V179</f>
        <v>1</v>
      </c>
      <c r="J688" s="135">
        <f t="shared" si="88"/>
        <v>98707.948580549943</v>
      </c>
    </row>
    <row r="689" spans="1:10">
      <c r="A689" s="126"/>
      <c r="B689" s="127"/>
      <c r="C689" s="128" t="s">
        <v>590</v>
      </c>
      <c r="D689" s="128" t="s">
        <v>590</v>
      </c>
      <c r="E689" s="129" t="s">
        <v>265</v>
      </c>
      <c r="F689" s="127" t="s">
        <v>266</v>
      </c>
      <c r="G689" s="130"/>
      <c r="H689" s="131"/>
      <c r="I689" s="143"/>
      <c r="J689" s="131">
        <f>SUM(J690:J690)</f>
        <v>347020.92800000001</v>
      </c>
    </row>
    <row r="690" spans="1:10">
      <c r="A690" s="104"/>
      <c r="B690" s="105"/>
      <c r="C690" s="136" t="s">
        <v>590</v>
      </c>
      <c r="D690" s="137" t="s">
        <v>629</v>
      </c>
      <c r="E690" s="106" t="str">
        <f>" - "&amp;'Giá NC'!E10</f>
        <v xml:space="preserve"> - Nhân công bậc 4,0/7 - Nhóm 2</v>
      </c>
      <c r="F690" s="105" t="str">
        <f>'Giá NC'!F10</f>
        <v>công</v>
      </c>
      <c r="G690" s="138">
        <f>PTVT!G690</f>
        <v>1.48</v>
      </c>
      <c r="H690" s="139">
        <f>'Giá NC'!K10</f>
        <v>293092</v>
      </c>
      <c r="I690" s="145">
        <f>'5.Tiên lượng'!W179</f>
        <v>0.8</v>
      </c>
      <c r="J690" s="139">
        <f>PRODUCT(G690,H690,I690)</f>
        <v>347020.92800000001</v>
      </c>
    </row>
    <row r="691" spans="1:10">
      <c r="A691" s="121"/>
      <c r="B691" s="122">
        <v>79</v>
      </c>
      <c r="C691" s="121" t="str">
        <f>'5.Tiên lượng'!C180</f>
        <v>BB.11211VD</v>
      </c>
      <c r="D691" s="121" t="str">
        <f>'5.Tiên lượng'!C180</f>
        <v>BB.11211VD</v>
      </c>
      <c r="E691" s="123" t="str">
        <f>'5.Tiên lượng'!D180</f>
        <v>Lắp đặt ống bê tông bằng cần cẩu, đoạn ống dài 1m - Đường kính 400mm</v>
      </c>
      <c r="F691" s="122" t="str">
        <f>'5.Tiên lượng'!E180</f>
        <v>1 đoạn ống</v>
      </c>
      <c r="G691" s="124"/>
      <c r="H691" s="125"/>
      <c r="I691" s="141"/>
      <c r="J691" s="142">
        <f>J692+J695+J697</f>
        <v>535033.25391197891</v>
      </c>
    </row>
    <row r="692" spans="1:10">
      <c r="A692" s="126"/>
      <c r="B692" s="127"/>
      <c r="C692" s="128" t="s">
        <v>590</v>
      </c>
      <c r="D692" s="128" t="s">
        <v>590</v>
      </c>
      <c r="E692" s="129" t="s">
        <v>262</v>
      </c>
      <c r="F692" s="127" t="s">
        <v>263</v>
      </c>
      <c r="G692" s="130"/>
      <c r="H692" s="131"/>
      <c r="I692" s="143"/>
      <c r="J692" s="131">
        <f>SUM(J693:J694)</f>
        <v>402214.4341169789</v>
      </c>
    </row>
    <row r="693" spans="1:10">
      <c r="A693" s="67"/>
      <c r="B693" s="66"/>
      <c r="C693" s="132" t="s">
        <v>590</v>
      </c>
      <c r="D693" s="133" t="s">
        <v>677</v>
      </c>
      <c r="E693" s="102" t="str">
        <f>" - "&amp;'Giá VL'!E9</f>
        <v xml:space="preserve"> - Ống bê tông D400mm, L=1m</v>
      </c>
      <c r="F693" s="66" t="str">
        <f>'Giá VL'!F9</f>
        <v>đoạn</v>
      </c>
      <c r="G693" s="134">
        <f>PTVT!G693</f>
        <v>1</v>
      </c>
      <c r="H693" s="135">
        <f>'Giá VL'!V9</f>
        <v>402013.42740327725</v>
      </c>
      <c r="I693" s="144">
        <f>'5.Tiên lượng'!V180</f>
        <v>1</v>
      </c>
      <c r="J693" s="135">
        <f t="shared" ref="J693:J694" si="89">PRODUCT(G693,H693,I693)</f>
        <v>402013.42740327725</v>
      </c>
    </row>
    <row r="694" spans="1:10">
      <c r="A694" s="67"/>
      <c r="B694" s="66"/>
      <c r="C694" s="132" t="s">
        <v>590</v>
      </c>
      <c r="D694" s="133" t="s">
        <v>620</v>
      </c>
      <c r="E694" s="102" t="s">
        <v>668</v>
      </c>
      <c r="F694" s="66" t="s">
        <v>37</v>
      </c>
      <c r="G694" s="134">
        <f>PTVT!G694</f>
        <v>0.05</v>
      </c>
      <c r="H694" s="135">
        <f>(G693*H693)/100</f>
        <v>4020.1342740327727</v>
      </c>
      <c r="I694" s="144">
        <f>'5.Tiên lượng'!V180</f>
        <v>1</v>
      </c>
      <c r="J694" s="135">
        <f t="shared" si="89"/>
        <v>201.00671370163866</v>
      </c>
    </row>
    <row r="695" spans="1:10">
      <c r="A695" s="126"/>
      <c r="B695" s="127"/>
      <c r="C695" s="128" t="s">
        <v>590</v>
      </c>
      <c r="D695" s="128" t="s">
        <v>590</v>
      </c>
      <c r="E695" s="129" t="s">
        <v>265</v>
      </c>
      <c r="F695" s="127" t="s">
        <v>266</v>
      </c>
      <c r="G695" s="130"/>
      <c r="H695" s="131"/>
      <c r="I695" s="143"/>
      <c r="J695" s="131">
        <f>SUM(J696:J696)</f>
        <v>70200</v>
      </c>
    </row>
    <row r="696" spans="1:10">
      <c r="A696" s="67"/>
      <c r="B696" s="66"/>
      <c r="C696" s="132" t="s">
        <v>590</v>
      </c>
      <c r="D696" s="133" t="s">
        <v>622</v>
      </c>
      <c r="E696" s="102" t="str">
        <f>" - "&amp;'Giá NC'!E9</f>
        <v xml:space="preserve"> - Nhân công bậc 3,5/7 - Nhóm 2</v>
      </c>
      <c r="F696" s="66" t="str">
        <f>'Giá NC'!F9</f>
        <v>công</v>
      </c>
      <c r="G696" s="134">
        <f>PTVT!G696</f>
        <v>0.26</v>
      </c>
      <c r="H696" s="135">
        <f>'Giá NC'!K9</f>
        <v>270000</v>
      </c>
      <c r="I696" s="144">
        <f>'5.Tiên lượng'!W180</f>
        <v>1</v>
      </c>
      <c r="J696" s="135">
        <f>PRODUCT(G696,H696,I696)</f>
        <v>70200</v>
      </c>
    </row>
    <row r="697" spans="1:10">
      <c r="A697" s="126"/>
      <c r="B697" s="127"/>
      <c r="C697" s="128" t="s">
        <v>590</v>
      </c>
      <c r="D697" s="128" t="s">
        <v>590</v>
      </c>
      <c r="E697" s="129" t="s">
        <v>267</v>
      </c>
      <c r="F697" s="127" t="s">
        <v>268</v>
      </c>
      <c r="G697" s="130"/>
      <c r="H697" s="131"/>
      <c r="I697" s="143"/>
      <c r="J697" s="131">
        <f>SUM(J698:J699)</f>
        <v>62618.819794999989</v>
      </c>
    </row>
    <row r="698" spans="1:10">
      <c r="A698" s="67"/>
      <c r="B698" s="66"/>
      <c r="C698" s="132" t="s">
        <v>590</v>
      </c>
      <c r="D698" s="133" t="s">
        <v>665</v>
      </c>
      <c r="E698" s="102" t="str">
        <f>" - "&amp;'Giá Máy'!E6</f>
        <v xml:space="preserve"> - Cần cẩu bánh hơi 6T</v>
      </c>
      <c r="F698" s="66" t="str">
        <f>'Giá Máy'!F6</f>
        <v>ca</v>
      </c>
      <c r="G698" s="134">
        <f>PTVT!G698</f>
        <v>3.6999999999999998E-2</v>
      </c>
      <c r="H698" s="135">
        <f>'Giá Máy'!O6</f>
        <v>1611810.0333333332</v>
      </c>
      <c r="I698" s="144">
        <f>'5.Tiên lượng'!X180</f>
        <v>1</v>
      </c>
      <c r="J698" s="135">
        <f t="shared" ref="J698:J699" si="90">PRODUCT(G698,H698,I698)</f>
        <v>59636.971233333323</v>
      </c>
    </row>
    <row r="699" spans="1:10">
      <c r="A699" s="104"/>
      <c r="B699" s="105"/>
      <c r="C699" s="136" t="s">
        <v>590</v>
      </c>
      <c r="D699" s="137" t="s">
        <v>611</v>
      </c>
      <c r="E699" s="106" t="s">
        <v>612</v>
      </c>
      <c r="F699" s="105" t="s">
        <v>37</v>
      </c>
      <c r="G699" s="138">
        <f>PTVT!G699</f>
        <v>5</v>
      </c>
      <c r="H699" s="139">
        <f>(G698*H698)/100</f>
        <v>596.36971233333327</v>
      </c>
      <c r="I699" s="145">
        <f>'5.Tiên lượng'!X180</f>
        <v>1</v>
      </c>
      <c r="J699" s="139">
        <f t="shared" si="90"/>
        <v>2981.8485616666662</v>
      </c>
    </row>
    <row r="700" spans="1:10">
      <c r="A700" s="121"/>
      <c r="B700" s="122">
        <v>80</v>
      </c>
      <c r="C700" s="121" t="str">
        <f>'5.Tiên lượng'!C181</f>
        <v>BB.11221VD</v>
      </c>
      <c r="D700" s="121" t="str">
        <f>'5.Tiên lượng'!C181</f>
        <v>BB.11221VD</v>
      </c>
      <c r="E700" s="123" t="str">
        <f>'5.Tiên lượng'!D181</f>
        <v>Lắp đặt ống bê tông bằng cần cẩu, đoạn ống dài 2m - Đường kính 400mm</v>
      </c>
      <c r="F700" s="122" t="str">
        <f>'5.Tiên lượng'!E181</f>
        <v>1 đoạn ống</v>
      </c>
      <c r="G700" s="124"/>
      <c r="H700" s="125"/>
      <c r="I700" s="141"/>
      <c r="J700" s="142">
        <f>J701+J704+J706</f>
        <v>993703.29819395777</v>
      </c>
    </row>
    <row r="701" spans="1:10">
      <c r="A701" s="126"/>
      <c r="B701" s="127"/>
      <c r="C701" s="128" t="s">
        <v>590</v>
      </c>
      <c r="D701" s="128" t="s">
        <v>590</v>
      </c>
      <c r="E701" s="129" t="s">
        <v>262</v>
      </c>
      <c r="F701" s="127" t="s">
        <v>263</v>
      </c>
      <c r="G701" s="130"/>
      <c r="H701" s="131"/>
      <c r="I701" s="143"/>
      <c r="J701" s="131">
        <f>SUM(J702:J703)</f>
        <v>804428.86823395779</v>
      </c>
    </row>
    <row r="702" spans="1:10">
      <c r="A702" s="67"/>
      <c r="B702" s="66"/>
      <c r="C702" s="132" t="s">
        <v>590</v>
      </c>
      <c r="D702" s="133" t="s">
        <v>678</v>
      </c>
      <c r="E702" s="102" t="str">
        <f>" - "&amp;'Giá VL'!E11</f>
        <v xml:space="preserve"> - Ống bê tông D400mm, L=2m</v>
      </c>
      <c r="F702" s="66" t="str">
        <f>'Giá VL'!F11</f>
        <v>đoạn</v>
      </c>
      <c r="G702" s="134">
        <f>PTVT!G702</f>
        <v>1</v>
      </c>
      <c r="H702" s="135">
        <f>'Giá VL'!V11</f>
        <v>804026.8548065545</v>
      </c>
      <c r="I702" s="144">
        <f>'5.Tiên lượng'!V181</f>
        <v>1</v>
      </c>
      <c r="J702" s="135">
        <f t="shared" ref="J702:J703" si="91">PRODUCT(G702,H702,I702)</f>
        <v>804026.8548065545</v>
      </c>
    </row>
    <row r="703" spans="1:10">
      <c r="A703" s="67"/>
      <c r="B703" s="66"/>
      <c r="C703" s="132" t="s">
        <v>590</v>
      </c>
      <c r="D703" s="133" t="s">
        <v>620</v>
      </c>
      <c r="E703" s="102" t="s">
        <v>668</v>
      </c>
      <c r="F703" s="66" t="s">
        <v>37</v>
      </c>
      <c r="G703" s="134">
        <f>PTVT!G703</f>
        <v>0.05</v>
      </c>
      <c r="H703" s="135">
        <f>(G702*H702)/100</f>
        <v>8040.2685480655455</v>
      </c>
      <c r="I703" s="144">
        <f>'5.Tiên lượng'!V181</f>
        <v>1</v>
      </c>
      <c r="J703" s="135">
        <f t="shared" si="91"/>
        <v>402.01342740327732</v>
      </c>
    </row>
    <row r="704" spans="1:10">
      <c r="A704" s="126"/>
      <c r="B704" s="127"/>
      <c r="C704" s="128" t="s">
        <v>590</v>
      </c>
      <c r="D704" s="128" t="s">
        <v>590</v>
      </c>
      <c r="E704" s="129" t="s">
        <v>265</v>
      </c>
      <c r="F704" s="127" t="s">
        <v>266</v>
      </c>
      <c r="G704" s="130"/>
      <c r="H704" s="131"/>
      <c r="I704" s="143"/>
      <c r="J704" s="131">
        <f>SUM(J705:J705)</f>
        <v>94500</v>
      </c>
    </row>
    <row r="705" spans="1:10">
      <c r="A705" s="67"/>
      <c r="B705" s="66"/>
      <c r="C705" s="132" t="s">
        <v>590</v>
      </c>
      <c r="D705" s="133" t="s">
        <v>622</v>
      </c>
      <c r="E705" s="102" t="str">
        <f>" - "&amp;'Giá NC'!E9</f>
        <v xml:space="preserve"> - Nhân công bậc 3,5/7 - Nhóm 2</v>
      </c>
      <c r="F705" s="66" t="str">
        <f>'Giá NC'!F9</f>
        <v>công</v>
      </c>
      <c r="G705" s="134">
        <f>PTVT!G705</f>
        <v>0.35</v>
      </c>
      <c r="H705" s="135">
        <f>'Giá NC'!K9</f>
        <v>270000</v>
      </c>
      <c r="I705" s="144">
        <f>'5.Tiên lượng'!W181</f>
        <v>1</v>
      </c>
      <c r="J705" s="135">
        <f>PRODUCT(G705,H705,I705)</f>
        <v>94500</v>
      </c>
    </row>
    <row r="706" spans="1:10">
      <c r="A706" s="126"/>
      <c r="B706" s="127"/>
      <c r="C706" s="128" t="s">
        <v>590</v>
      </c>
      <c r="D706" s="128" t="s">
        <v>590</v>
      </c>
      <c r="E706" s="129" t="s">
        <v>267</v>
      </c>
      <c r="F706" s="127" t="s">
        <v>268</v>
      </c>
      <c r="G706" s="130"/>
      <c r="H706" s="131"/>
      <c r="I706" s="143"/>
      <c r="J706" s="131">
        <f>SUM(J707:J708)</f>
        <v>94774.429959999994</v>
      </c>
    </row>
    <row r="707" spans="1:10">
      <c r="A707" s="67"/>
      <c r="B707" s="66"/>
      <c r="C707" s="132" t="s">
        <v>590</v>
      </c>
      <c r="D707" s="133" t="s">
        <v>665</v>
      </c>
      <c r="E707" s="102" t="str">
        <f>" - "&amp;'Giá Máy'!E6</f>
        <v xml:space="preserve"> - Cần cẩu bánh hơi 6T</v>
      </c>
      <c r="F707" s="66" t="str">
        <f>'Giá Máy'!F6</f>
        <v>ca</v>
      </c>
      <c r="G707" s="134">
        <f>PTVT!G707</f>
        <v>5.6000000000000001E-2</v>
      </c>
      <c r="H707" s="135">
        <f>'Giá Máy'!O6</f>
        <v>1611810.0333333332</v>
      </c>
      <c r="I707" s="144">
        <f>'5.Tiên lượng'!X181</f>
        <v>1</v>
      </c>
      <c r="J707" s="135">
        <f t="shared" ref="J707:J708" si="92">PRODUCT(G707,H707,I707)</f>
        <v>90261.361866666659</v>
      </c>
    </row>
    <row r="708" spans="1:10">
      <c r="A708" s="104"/>
      <c r="B708" s="105"/>
      <c r="C708" s="136" t="s">
        <v>590</v>
      </c>
      <c r="D708" s="137" t="s">
        <v>611</v>
      </c>
      <c r="E708" s="106" t="s">
        <v>612</v>
      </c>
      <c r="F708" s="105" t="s">
        <v>37</v>
      </c>
      <c r="G708" s="138">
        <f>PTVT!G708</f>
        <v>5</v>
      </c>
      <c r="H708" s="139">
        <f>(G707*H707)/100</f>
        <v>902.61361866666664</v>
      </c>
      <c r="I708" s="145">
        <f>'5.Tiên lượng'!X181</f>
        <v>1</v>
      </c>
      <c r="J708" s="139">
        <f t="shared" si="92"/>
        <v>4513.0680933333333</v>
      </c>
    </row>
    <row r="709" spans="1:10">
      <c r="A709" s="121"/>
      <c r="B709" s="122">
        <v>81</v>
      </c>
      <c r="C709" s="121" t="str">
        <f>'5.Tiên lượng'!C182</f>
        <v>BB.11211</v>
      </c>
      <c r="D709" s="121" t="str">
        <f>'5.Tiên lượng'!C182</f>
        <v>BB.11211</v>
      </c>
      <c r="E709" s="123" t="str">
        <f>'5.Tiên lượng'!D182</f>
        <v>Lắp đặt ống bê tông bằng cần cẩu, đoạn ống dài 1m - Đường kính 600mm</v>
      </c>
      <c r="F709" s="122" t="str">
        <f>'5.Tiên lượng'!E182</f>
        <v>1 đoạn ống</v>
      </c>
      <c r="G709" s="124"/>
      <c r="H709" s="125"/>
      <c r="I709" s="141"/>
      <c r="J709" s="142">
        <f>J710+J713+J715</f>
        <v>699274.75531708729</v>
      </c>
    </row>
    <row r="710" spans="1:10">
      <c r="A710" s="126"/>
      <c r="B710" s="127"/>
      <c r="C710" s="128" t="s">
        <v>590</v>
      </c>
      <c r="D710" s="128" t="s">
        <v>590</v>
      </c>
      <c r="E710" s="129" t="s">
        <v>262</v>
      </c>
      <c r="F710" s="127" t="s">
        <v>263</v>
      </c>
      <c r="G710" s="130"/>
      <c r="H710" s="131"/>
      <c r="I710" s="143"/>
      <c r="J710" s="131">
        <f>SUM(J711:J712)</f>
        <v>566455.93552208727</v>
      </c>
    </row>
    <row r="711" spans="1:10">
      <c r="A711" s="67"/>
      <c r="B711" s="66"/>
      <c r="C711" s="132" t="s">
        <v>590</v>
      </c>
      <c r="D711" s="133" t="s">
        <v>677</v>
      </c>
      <c r="E711" s="102" t="str">
        <f>" - "&amp;'Giá VL'!E8</f>
        <v xml:space="preserve"> - Ống bê tông D ≤600mm, L=1m</v>
      </c>
      <c r="F711" s="66" t="str">
        <f>'Giá VL'!F8</f>
        <v>đoạn</v>
      </c>
      <c r="G711" s="134">
        <f>PTVT!G711</f>
        <v>1</v>
      </c>
      <c r="H711" s="135">
        <f>'Giá VL'!V8</f>
        <v>566172.84909753851</v>
      </c>
      <c r="I711" s="144">
        <f>'5.Tiên lượng'!V182</f>
        <v>1</v>
      </c>
      <c r="J711" s="135">
        <f t="shared" ref="J711:J712" si="93">PRODUCT(G711,H711,I711)</f>
        <v>566172.84909753851</v>
      </c>
    </row>
    <row r="712" spans="1:10">
      <c r="A712" s="67"/>
      <c r="B712" s="66"/>
      <c r="C712" s="132" t="s">
        <v>590</v>
      </c>
      <c r="D712" s="133" t="s">
        <v>620</v>
      </c>
      <c r="E712" s="102" t="s">
        <v>668</v>
      </c>
      <c r="F712" s="66" t="s">
        <v>37</v>
      </c>
      <c r="G712" s="134">
        <f>PTVT!G712</f>
        <v>0.05</v>
      </c>
      <c r="H712" s="135">
        <f>(G711*H711)/100</f>
        <v>5661.7284909753853</v>
      </c>
      <c r="I712" s="144">
        <f>'5.Tiên lượng'!V182</f>
        <v>1</v>
      </c>
      <c r="J712" s="135">
        <f t="shared" si="93"/>
        <v>283.08642454876929</v>
      </c>
    </row>
    <row r="713" spans="1:10">
      <c r="A713" s="126"/>
      <c r="B713" s="127"/>
      <c r="C713" s="128" t="s">
        <v>590</v>
      </c>
      <c r="D713" s="128" t="s">
        <v>590</v>
      </c>
      <c r="E713" s="129" t="s">
        <v>265</v>
      </c>
      <c r="F713" s="127" t="s">
        <v>266</v>
      </c>
      <c r="G713" s="130"/>
      <c r="H713" s="131"/>
      <c r="I713" s="143"/>
      <c r="J713" s="131">
        <f>SUM(J714:J714)</f>
        <v>70200</v>
      </c>
    </row>
    <row r="714" spans="1:10">
      <c r="A714" s="67"/>
      <c r="B714" s="66"/>
      <c r="C714" s="132" t="s">
        <v>590</v>
      </c>
      <c r="D714" s="133" t="s">
        <v>622</v>
      </c>
      <c r="E714" s="102" t="str">
        <f>" - "&amp;'Giá NC'!E9</f>
        <v xml:space="preserve"> - Nhân công bậc 3,5/7 - Nhóm 2</v>
      </c>
      <c r="F714" s="66" t="str">
        <f>'Giá NC'!F9</f>
        <v>công</v>
      </c>
      <c r="G714" s="134">
        <f>PTVT!G714</f>
        <v>0.26</v>
      </c>
      <c r="H714" s="135">
        <f>'Giá NC'!K9</f>
        <v>270000</v>
      </c>
      <c r="I714" s="144">
        <f>'5.Tiên lượng'!W182</f>
        <v>1</v>
      </c>
      <c r="J714" s="135">
        <f>PRODUCT(G714,H714,I714)</f>
        <v>70200</v>
      </c>
    </row>
    <row r="715" spans="1:10">
      <c r="A715" s="126"/>
      <c r="B715" s="127"/>
      <c r="C715" s="128" t="s">
        <v>590</v>
      </c>
      <c r="D715" s="128" t="s">
        <v>590</v>
      </c>
      <c r="E715" s="129" t="s">
        <v>267</v>
      </c>
      <c r="F715" s="127" t="s">
        <v>268</v>
      </c>
      <c r="G715" s="130"/>
      <c r="H715" s="131"/>
      <c r="I715" s="143"/>
      <c r="J715" s="131">
        <f>SUM(J716:J717)</f>
        <v>62618.819794999989</v>
      </c>
    </row>
    <row r="716" spans="1:10">
      <c r="A716" s="67"/>
      <c r="B716" s="66"/>
      <c r="C716" s="132" t="s">
        <v>590</v>
      </c>
      <c r="D716" s="133" t="s">
        <v>665</v>
      </c>
      <c r="E716" s="102" t="str">
        <f>" - "&amp;'Giá Máy'!E6</f>
        <v xml:space="preserve"> - Cần cẩu bánh hơi 6T</v>
      </c>
      <c r="F716" s="66" t="str">
        <f>'Giá Máy'!F6</f>
        <v>ca</v>
      </c>
      <c r="G716" s="134">
        <f>PTVT!G716</f>
        <v>3.6999999999999998E-2</v>
      </c>
      <c r="H716" s="135">
        <f>'Giá Máy'!O6</f>
        <v>1611810.0333333332</v>
      </c>
      <c r="I716" s="144">
        <f>'5.Tiên lượng'!X182</f>
        <v>1</v>
      </c>
      <c r="J716" s="135">
        <f t="shared" ref="J716:J717" si="94">PRODUCT(G716,H716,I716)</f>
        <v>59636.971233333323</v>
      </c>
    </row>
    <row r="717" spans="1:10">
      <c r="A717" s="104"/>
      <c r="B717" s="105"/>
      <c r="C717" s="136" t="s">
        <v>590</v>
      </c>
      <c r="D717" s="137" t="s">
        <v>611</v>
      </c>
      <c r="E717" s="106" t="s">
        <v>612</v>
      </c>
      <c r="F717" s="105" t="s">
        <v>37</v>
      </c>
      <c r="G717" s="138">
        <f>PTVT!G717</f>
        <v>5</v>
      </c>
      <c r="H717" s="139">
        <f>(G716*H716)/100</f>
        <v>596.36971233333327</v>
      </c>
      <c r="I717" s="145">
        <f>'5.Tiên lượng'!X182</f>
        <v>1</v>
      </c>
      <c r="J717" s="139">
        <f t="shared" si="94"/>
        <v>2981.8485616666662</v>
      </c>
    </row>
    <row r="718" spans="1:10">
      <c r="A718" s="121"/>
      <c r="B718" s="122">
        <v>82</v>
      </c>
      <c r="C718" s="121" t="str">
        <f>'5.Tiên lượng'!C183</f>
        <v>BB.11221</v>
      </c>
      <c r="D718" s="121" t="str">
        <f>'5.Tiên lượng'!C183</f>
        <v>BB.11221</v>
      </c>
      <c r="E718" s="123" t="str">
        <f>'5.Tiên lượng'!D183</f>
        <v>Lắp đặt ống bê tông bằng cần cẩu, đoạn ống dài 2m - Đường kính 600mm</v>
      </c>
      <c r="F718" s="122" t="str">
        <f>'5.Tiên lượng'!E183</f>
        <v>1 đoạn ống</v>
      </c>
      <c r="G718" s="124"/>
      <c r="H718" s="125"/>
      <c r="I718" s="141"/>
      <c r="J718" s="142">
        <f>J719+J722+J724</f>
        <v>1320085.2593443377</v>
      </c>
    </row>
    <row r="719" spans="1:10">
      <c r="A719" s="126"/>
      <c r="B719" s="127"/>
      <c r="C719" s="128" t="s">
        <v>590</v>
      </c>
      <c r="D719" s="128" t="s">
        <v>590</v>
      </c>
      <c r="E719" s="129" t="s">
        <v>262</v>
      </c>
      <c r="F719" s="127" t="s">
        <v>263</v>
      </c>
      <c r="G719" s="130"/>
      <c r="H719" s="131"/>
      <c r="I719" s="143"/>
      <c r="J719" s="131">
        <f>SUM(J720:J721)</f>
        <v>1130810.8293843376</v>
      </c>
    </row>
    <row r="720" spans="1:10">
      <c r="A720" s="67"/>
      <c r="B720" s="66"/>
      <c r="C720" s="132" t="s">
        <v>590</v>
      </c>
      <c r="D720" s="133" t="s">
        <v>678</v>
      </c>
      <c r="E720" s="102" t="str">
        <f>" - "&amp;'Giá VL'!E10</f>
        <v xml:space="preserve"> - Ống bê tông D ≤600mm, L=2m</v>
      </c>
      <c r="F720" s="66" t="str">
        <f>'Giá VL'!F10</f>
        <v>đoạn</v>
      </c>
      <c r="G720" s="134">
        <f>PTVT!G720</f>
        <v>1</v>
      </c>
      <c r="H720" s="135">
        <f>'Giá VL'!V10</f>
        <v>1130245.706531072</v>
      </c>
      <c r="I720" s="144">
        <f>'5.Tiên lượng'!V183</f>
        <v>1</v>
      </c>
      <c r="J720" s="135">
        <f t="shared" ref="J720:J721" si="95">PRODUCT(G720,H720,I720)</f>
        <v>1130245.706531072</v>
      </c>
    </row>
    <row r="721" spans="1:10">
      <c r="A721" s="67"/>
      <c r="B721" s="66"/>
      <c r="C721" s="132" t="s">
        <v>590</v>
      </c>
      <c r="D721" s="133" t="s">
        <v>620</v>
      </c>
      <c r="E721" s="102" t="s">
        <v>668</v>
      </c>
      <c r="F721" s="66" t="s">
        <v>37</v>
      </c>
      <c r="G721" s="134">
        <f>PTVT!G721</f>
        <v>0.05</v>
      </c>
      <c r="H721" s="135">
        <f>(G720*H720)/100</f>
        <v>11302.45706531072</v>
      </c>
      <c r="I721" s="144">
        <f>'5.Tiên lượng'!V183</f>
        <v>1</v>
      </c>
      <c r="J721" s="135">
        <f t="shared" si="95"/>
        <v>565.12285326553604</v>
      </c>
    </row>
    <row r="722" spans="1:10">
      <c r="A722" s="126"/>
      <c r="B722" s="127"/>
      <c r="C722" s="128" t="s">
        <v>590</v>
      </c>
      <c r="D722" s="128" t="s">
        <v>590</v>
      </c>
      <c r="E722" s="129" t="s">
        <v>265</v>
      </c>
      <c r="F722" s="127" t="s">
        <v>266</v>
      </c>
      <c r="G722" s="130"/>
      <c r="H722" s="131"/>
      <c r="I722" s="143"/>
      <c r="J722" s="131">
        <f>SUM(J723:J723)</f>
        <v>94500</v>
      </c>
    </row>
    <row r="723" spans="1:10">
      <c r="A723" s="67"/>
      <c r="B723" s="66"/>
      <c r="C723" s="132" t="s">
        <v>590</v>
      </c>
      <c r="D723" s="133" t="s">
        <v>622</v>
      </c>
      <c r="E723" s="102" t="str">
        <f>" - "&amp;'Giá NC'!E9</f>
        <v xml:space="preserve"> - Nhân công bậc 3,5/7 - Nhóm 2</v>
      </c>
      <c r="F723" s="66" t="str">
        <f>'Giá NC'!F9</f>
        <v>công</v>
      </c>
      <c r="G723" s="134">
        <f>PTVT!G723</f>
        <v>0.35</v>
      </c>
      <c r="H723" s="135">
        <f>'Giá NC'!K9</f>
        <v>270000</v>
      </c>
      <c r="I723" s="144">
        <f>'5.Tiên lượng'!W183</f>
        <v>1</v>
      </c>
      <c r="J723" s="135">
        <f>PRODUCT(G723,H723,I723)</f>
        <v>94500</v>
      </c>
    </row>
    <row r="724" spans="1:10">
      <c r="A724" s="126"/>
      <c r="B724" s="127"/>
      <c r="C724" s="128" t="s">
        <v>590</v>
      </c>
      <c r="D724" s="128" t="s">
        <v>590</v>
      </c>
      <c r="E724" s="129" t="s">
        <v>267</v>
      </c>
      <c r="F724" s="127" t="s">
        <v>268</v>
      </c>
      <c r="G724" s="130"/>
      <c r="H724" s="131"/>
      <c r="I724" s="143"/>
      <c r="J724" s="131">
        <f>SUM(J725:J726)</f>
        <v>94774.429959999994</v>
      </c>
    </row>
    <row r="725" spans="1:10">
      <c r="A725" s="67"/>
      <c r="B725" s="66"/>
      <c r="C725" s="132" t="s">
        <v>590</v>
      </c>
      <c r="D725" s="133" t="s">
        <v>665</v>
      </c>
      <c r="E725" s="102" t="str">
        <f>" - "&amp;'Giá Máy'!E6</f>
        <v xml:space="preserve"> - Cần cẩu bánh hơi 6T</v>
      </c>
      <c r="F725" s="66" t="str">
        <f>'Giá Máy'!F6</f>
        <v>ca</v>
      </c>
      <c r="G725" s="134">
        <f>PTVT!G725</f>
        <v>5.6000000000000001E-2</v>
      </c>
      <c r="H725" s="135">
        <f>'Giá Máy'!O6</f>
        <v>1611810.0333333332</v>
      </c>
      <c r="I725" s="144">
        <f>'5.Tiên lượng'!X183</f>
        <v>1</v>
      </c>
      <c r="J725" s="135">
        <f t="shared" ref="J725:J726" si="96">PRODUCT(G725,H725,I725)</f>
        <v>90261.361866666659</v>
      </c>
    </row>
    <row r="726" spans="1:10">
      <c r="A726" s="104"/>
      <c r="B726" s="105"/>
      <c r="C726" s="136" t="s">
        <v>590</v>
      </c>
      <c r="D726" s="137" t="s">
        <v>611</v>
      </c>
      <c r="E726" s="106" t="s">
        <v>612</v>
      </c>
      <c r="F726" s="105" t="s">
        <v>37</v>
      </c>
      <c r="G726" s="138">
        <f>PTVT!G726</f>
        <v>5</v>
      </c>
      <c r="H726" s="139">
        <f>(G725*H725)/100</f>
        <v>902.61361866666664</v>
      </c>
      <c r="I726" s="145">
        <f>'5.Tiên lượng'!X183</f>
        <v>1</v>
      </c>
      <c r="J726" s="139">
        <f t="shared" si="96"/>
        <v>4513.0680933333333</v>
      </c>
    </row>
    <row r="727" spans="1:10">
      <c r="A727" s="121"/>
      <c r="B727" s="122">
        <v>83</v>
      </c>
      <c r="C727" s="121" t="str">
        <f>'5.Tiên lượng'!C184</f>
        <v>BB.11222VD</v>
      </c>
      <c r="D727" s="121" t="str">
        <f>'5.Tiên lượng'!C184</f>
        <v>BB.11222VD</v>
      </c>
      <c r="E727" s="123" t="str">
        <f>'5.Tiên lượng'!D184</f>
        <v>Lắp đặt ống bê tông bằng cần cẩu, đoạn ống dài 2m - Đường kính 800mm</v>
      </c>
      <c r="F727" s="122" t="str">
        <f>'5.Tiên lượng'!E184</f>
        <v>1 đoạn ống</v>
      </c>
      <c r="G727" s="124"/>
      <c r="H727" s="125"/>
      <c r="I727" s="141"/>
      <c r="J727" s="142">
        <f>J728+J731+J733</f>
        <v>2213809.061741835</v>
      </c>
    </row>
    <row r="728" spans="1:10">
      <c r="A728" s="126"/>
      <c r="B728" s="127"/>
      <c r="C728" s="128" t="s">
        <v>590</v>
      </c>
      <c r="D728" s="128" t="s">
        <v>590</v>
      </c>
      <c r="E728" s="129" t="s">
        <v>262</v>
      </c>
      <c r="F728" s="127" t="s">
        <v>263</v>
      </c>
      <c r="G728" s="130"/>
      <c r="H728" s="131"/>
      <c r="I728" s="143"/>
      <c r="J728" s="131">
        <f>SUM(J729:J730)</f>
        <v>1942165.0296418353</v>
      </c>
    </row>
    <row r="729" spans="1:10">
      <c r="A729" s="67"/>
      <c r="B729" s="66"/>
      <c r="C729" s="132" t="s">
        <v>590</v>
      </c>
      <c r="D729" s="133" t="s">
        <v>679</v>
      </c>
      <c r="E729" s="102" t="str">
        <f>" - "&amp;'Giá VL'!E7</f>
        <v xml:space="preserve"> - Ống bê tông D800mm, L=2m</v>
      </c>
      <c r="F729" s="66" t="str">
        <f>'Giá VL'!F7</f>
        <v>đoạn</v>
      </c>
      <c r="G729" s="134">
        <f>PTVT!G729</f>
        <v>1</v>
      </c>
      <c r="H729" s="135">
        <f>'Giá VL'!V7</f>
        <v>1941194.4324256224</v>
      </c>
      <c r="I729" s="144">
        <f>'5.Tiên lượng'!V184</f>
        <v>1</v>
      </c>
      <c r="J729" s="135">
        <f t="shared" ref="J729:J730" si="97">PRODUCT(G729,H729,I729)</f>
        <v>1941194.4324256224</v>
      </c>
    </row>
    <row r="730" spans="1:10">
      <c r="A730" s="67"/>
      <c r="B730" s="66"/>
      <c r="C730" s="132" t="s">
        <v>590</v>
      </c>
      <c r="D730" s="133" t="s">
        <v>620</v>
      </c>
      <c r="E730" s="102" t="s">
        <v>668</v>
      </c>
      <c r="F730" s="66" t="s">
        <v>37</v>
      </c>
      <c r="G730" s="134">
        <f>PTVT!G730</f>
        <v>0.05</v>
      </c>
      <c r="H730" s="135">
        <f>(G729*H729)/100</f>
        <v>19411.944324256223</v>
      </c>
      <c r="I730" s="144">
        <f>'5.Tiên lượng'!V184</f>
        <v>1</v>
      </c>
      <c r="J730" s="135">
        <f t="shared" si="97"/>
        <v>970.59721621281119</v>
      </c>
    </row>
    <row r="731" spans="1:10">
      <c r="A731" s="126"/>
      <c r="B731" s="127"/>
      <c r="C731" s="128" t="s">
        <v>590</v>
      </c>
      <c r="D731" s="128" t="s">
        <v>590</v>
      </c>
      <c r="E731" s="129" t="s">
        <v>265</v>
      </c>
      <c r="F731" s="127" t="s">
        <v>266</v>
      </c>
      <c r="G731" s="130"/>
      <c r="H731" s="131"/>
      <c r="I731" s="143"/>
      <c r="J731" s="131">
        <f>SUM(J732:J732)</f>
        <v>170100</v>
      </c>
    </row>
    <row r="732" spans="1:10">
      <c r="A732" s="67"/>
      <c r="B732" s="66"/>
      <c r="C732" s="132" t="s">
        <v>590</v>
      </c>
      <c r="D732" s="133" t="s">
        <v>622</v>
      </c>
      <c r="E732" s="102" t="str">
        <f>" - "&amp;'Giá NC'!E9</f>
        <v xml:space="preserve"> - Nhân công bậc 3,5/7 - Nhóm 2</v>
      </c>
      <c r="F732" s="66" t="str">
        <f>'Giá NC'!F9</f>
        <v>công</v>
      </c>
      <c r="G732" s="134">
        <f>PTVT!G732</f>
        <v>0.63</v>
      </c>
      <c r="H732" s="135">
        <f>'Giá NC'!K9</f>
        <v>270000</v>
      </c>
      <c r="I732" s="144">
        <f>'5.Tiên lượng'!W184</f>
        <v>1</v>
      </c>
      <c r="J732" s="135">
        <f>PRODUCT(G732,H732,I732)</f>
        <v>170100</v>
      </c>
    </row>
    <row r="733" spans="1:10">
      <c r="A733" s="126"/>
      <c r="B733" s="127"/>
      <c r="C733" s="128" t="s">
        <v>590</v>
      </c>
      <c r="D733" s="128" t="s">
        <v>590</v>
      </c>
      <c r="E733" s="129" t="s">
        <v>267</v>
      </c>
      <c r="F733" s="127" t="s">
        <v>268</v>
      </c>
      <c r="G733" s="130"/>
      <c r="H733" s="131"/>
      <c r="I733" s="143"/>
      <c r="J733" s="131">
        <f>SUM(J734:J735)</f>
        <v>101544.03209999998</v>
      </c>
    </row>
    <row r="734" spans="1:10">
      <c r="A734" s="67"/>
      <c r="B734" s="66"/>
      <c r="C734" s="132" t="s">
        <v>590</v>
      </c>
      <c r="D734" s="133" t="s">
        <v>665</v>
      </c>
      <c r="E734" s="102" t="str">
        <f>" - "&amp;'Giá Máy'!E6</f>
        <v xml:space="preserve"> - Cần cẩu bánh hơi 6T</v>
      </c>
      <c r="F734" s="66" t="str">
        <f>'Giá Máy'!F6</f>
        <v>ca</v>
      </c>
      <c r="G734" s="134">
        <f>PTVT!G734</f>
        <v>0.06</v>
      </c>
      <c r="H734" s="135">
        <f>'Giá Máy'!O6</f>
        <v>1611810.0333333332</v>
      </c>
      <c r="I734" s="144">
        <f>'5.Tiên lượng'!X184</f>
        <v>1</v>
      </c>
      <c r="J734" s="135">
        <f t="shared" ref="J734:J735" si="98">PRODUCT(G734,H734,I734)</f>
        <v>96708.601999999984</v>
      </c>
    </row>
    <row r="735" spans="1:10">
      <c r="A735" s="104"/>
      <c r="B735" s="105"/>
      <c r="C735" s="136" t="s">
        <v>590</v>
      </c>
      <c r="D735" s="137" t="s">
        <v>611</v>
      </c>
      <c r="E735" s="106" t="s">
        <v>612</v>
      </c>
      <c r="F735" s="105" t="s">
        <v>37</v>
      </c>
      <c r="G735" s="138">
        <f>PTVT!G735</f>
        <v>5</v>
      </c>
      <c r="H735" s="139">
        <f>(G734*H734)/100</f>
        <v>967.08601999999985</v>
      </c>
      <c r="I735" s="145">
        <f>'5.Tiên lượng'!X184</f>
        <v>1</v>
      </c>
      <c r="J735" s="139">
        <f t="shared" si="98"/>
        <v>4835.4300999999996</v>
      </c>
    </row>
    <row r="736" spans="1:10">
      <c r="A736" s="121"/>
      <c r="B736" s="122">
        <v>84</v>
      </c>
      <c r="C736" s="121" t="str">
        <f>'5.Tiên lượng'!C185</f>
        <v>BB.13503</v>
      </c>
      <c r="D736" s="121" t="str">
        <f>'5.Tiên lượng'!C185</f>
        <v>BB.13503</v>
      </c>
      <c r="E736" s="123" t="str">
        <f>'5.Tiên lượng'!D185</f>
        <v>Nối ống bê tông bằng phương pháp xảm - Đường kính 400mm</v>
      </c>
      <c r="F736" s="122" t="str">
        <f>'5.Tiên lượng'!E185</f>
        <v>mối nối</v>
      </c>
      <c r="G736" s="124"/>
      <c r="H736" s="125"/>
      <c r="I736" s="141"/>
      <c r="J736" s="142">
        <f>J737+J741</f>
        <v>33929.293513471217</v>
      </c>
    </row>
    <row r="737" spans="1:10">
      <c r="A737" s="126"/>
      <c r="B737" s="127"/>
      <c r="C737" s="128" t="s">
        <v>590</v>
      </c>
      <c r="D737" s="128" t="s">
        <v>590</v>
      </c>
      <c r="E737" s="129" t="s">
        <v>262</v>
      </c>
      <c r="F737" s="127" t="s">
        <v>263</v>
      </c>
      <c r="G737" s="130"/>
      <c r="H737" s="131"/>
      <c r="I737" s="143"/>
      <c r="J737" s="131">
        <f>SUM(J738:J740)</f>
        <v>9629.2935134712206</v>
      </c>
    </row>
    <row r="738" spans="1:10">
      <c r="A738" s="67"/>
      <c r="B738" s="66"/>
      <c r="C738" s="132" t="s">
        <v>590</v>
      </c>
      <c r="D738" s="133" t="s">
        <v>615</v>
      </c>
      <c r="E738" s="102" t="str">
        <f>" - "&amp;'Giá VL'!E17</f>
        <v xml:space="preserve"> - Cát vàng</v>
      </c>
      <c r="F738" s="66" t="str">
        <f>'Giá VL'!F17</f>
        <v>m3</v>
      </c>
      <c r="G738" s="134">
        <f>PTVT!G738</f>
        <v>6.7904000000000003E-3</v>
      </c>
      <c r="H738" s="135">
        <f>'Giá VL'!V17</f>
        <v>659026.49526849983</v>
      </c>
      <c r="I738" s="144">
        <f>'5.Tiên lượng'!V185</f>
        <v>1</v>
      </c>
      <c r="J738" s="135">
        <f t="shared" ref="J738:J740" si="99">PRODUCT(G738,H738,I738)</f>
        <v>4475.0535134712218</v>
      </c>
    </row>
    <row r="739" spans="1:10">
      <c r="A739" s="67"/>
      <c r="B739" s="66"/>
      <c r="C739" s="132" t="s">
        <v>590</v>
      </c>
      <c r="D739" s="133" t="s">
        <v>617</v>
      </c>
      <c r="E739" s="102" t="str">
        <f>" - "&amp;'Giá VL'!E33</f>
        <v xml:space="preserve"> - Nước</v>
      </c>
      <c r="F739" s="66" t="str">
        <f>'Giá VL'!F33</f>
        <v>lít</v>
      </c>
      <c r="G739" s="134">
        <f>PTVT!G739</f>
        <v>1.7023999999999999</v>
      </c>
      <c r="H739" s="135">
        <f>'Giá VL'!V33</f>
        <v>15</v>
      </c>
      <c r="I739" s="144">
        <f>'5.Tiên lượng'!V185</f>
        <v>1</v>
      </c>
      <c r="J739" s="135">
        <f t="shared" si="99"/>
        <v>25.535999999999998</v>
      </c>
    </row>
    <row r="740" spans="1:10">
      <c r="A740" s="67"/>
      <c r="B740" s="66"/>
      <c r="C740" s="132" t="s">
        <v>590</v>
      </c>
      <c r="D740" s="133" t="s">
        <v>670</v>
      </c>
      <c r="E740" s="102" t="str">
        <f>" - "&amp;'Giá VL'!E44</f>
        <v xml:space="preserve"> - Xi măng PCB30</v>
      </c>
      <c r="F740" s="66" t="str">
        <f>'Giá VL'!F44</f>
        <v>kg</v>
      </c>
      <c r="G740" s="134">
        <f>PTVT!G740</f>
        <v>3.0528</v>
      </c>
      <c r="H740" s="135">
        <f>'Giá VL'!V44</f>
        <v>1680</v>
      </c>
      <c r="I740" s="144">
        <f>'5.Tiên lượng'!V185</f>
        <v>1</v>
      </c>
      <c r="J740" s="135">
        <f t="shared" si="99"/>
        <v>5128.7039999999997</v>
      </c>
    </row>
    <row r="741" spans="1:10">
      <c r="A741" s="126"/>
      <c r="B741" s="127"/>
      <c r="C741" s="128" t="s">
        <v>590</v>
      </c>
      <c r="D741" s="128" t="s">
        <v>590</v>
      </c>
      <c r="E741" s="129" t="s">
        <v>265</v>
      </c>
      <c r="F741" s="127" t="s">
        <v>266</v>
      </c>
      <c r="G741" s="130"/>
      <c r="H741" s="131"/>
      <c r="I741" s="143"/>
      <c r="J741" s="131">
        <f>SUM(J742:J742)</f>
        <v>24300</v>
      </c>
    </row>
    <row r="742" spans="1:10">
      <c r="A742" s="104"/>
      <c r="B742" s="105"/>
      <c r="C742" s="136" t="s">
        <v>590</v>
      </c>
      <c r="D742" s="137" t="s">
        <v>622</v>
      </c>
      <c r="E742" s="106" t="str">
        <f>" - "&amp;'Giá NC'!E9</f>
        <v xml:space="preserve"> - Nhân công bậc 3,5/7 - Nhóm 2</v>
      </c>
      <c r="F742" s="105" t="str">
        <f>'Giá NC'!F9</f>
        <v>công</v>
      </c>
      <c r="G742" s="138">
        <f>PTVT!G742</f>
        <v>0.09</v>
      </c>
      <c r="H742" s="139">
        <f>'Giá NC'!K9</f>
        <v>270000</v>
      </c>
      <c r="I742" s="145">
        <f>'5.Tiên lượng'!W185</f>
        <v>1</v>
      </c>
      <c r="J742" s="139">
        <f>PRODUCT(G742,H742,I742)</f>
        <v>24300</v>
      </c>
    </row>
    <row r="743" spans="1:10">
      <c r="A743" s="121"/>
      <c r="B743" s="122">
        <v>85</v>
      </c>
      <c r="C743" s="121" t="str">
        <f>'5.Tiên lượng'!C186</f>
        <v>BB.13505</v>
      </c>
      <c r="D743" s="121" t="str">
        <f>'5.Tiên lượng'!C186</f>
        <v>BB.13505</v>
      </c>
      <c r="E743" s="123" t="str">
        <f>'5.Tiên lượng'!D186</f>
        <v>Nối ống bê tông bằng phương pháp xảm - Đường kính 600mm</v>
      </c>
      <c r="F743" s="122" t="str">
        <f>'5.Tiên lượng'!E186</f>
        <v>mối nối</v>
      </c>
      <c r="G743" s="124"/>
      <c r="H743" s="125"/>
      <c r="I743" s="141"/>
      <c r="J743" s="142">
        <f>J744+J748</f>
        <v>49543.940270206833</v>
      </c>
    </row>
    <row r="744" spans="1:10">
      <c r="A744" s="126"/>
      <c r="B744" s="127"/>
      <c r="C744" s="128" t="s">
        <v>590</v>
      </c>
      <c r="D744" s="128" t="s">
        <v>590</v>
      </c>
      <c r="E744" s="129" t="s">
        <v>262</v>
      </c>
      <c r="F744" s="127" t="s">
        <v>263</v>
      </c>
      <c r="G744" s="130"/>
      <c r="H744" s="131"/>
      <c r="I744" s="143"/>
      <c r="J744" s="131">
        <f>SUM(J745:J747)</f>
        <v>14443.940270206833</v>
      </c>
    </row>
    <row r="745" spans="1:10">
      <c r="A745" s="67"/>
      <c r="B745" s="66"/>
      <c r="C745" s="132" t="s">
        <v>590</v>
      </c>
      <c r="D745" s="133" t="s">
        <v>615</v>
      </c>
      <c r="E745" s="102" t="str">
        <f>" - "&amp;'Giá VL'!E17</f>
        <v xml:space="preserve"> - Cát vàng</v>
      </c>
      <c r="F745" s="66" t="str">
        <f>'Giá VL'!F17</f>
        <v>m3</v>
      </c>
      <c r="G745" s="134">
        <f>PTVT!G745</f>
        <v>1.01856E-2</v>
      </c>
      <c r="H745" s="135">
        <f>'Giá VL'!V17</f>
        <v>659026.49526849983</v>
      </c>
      <c r="I745" s="144">
        <f>'5.Tiên lượng'!V186</f>
        <v>1</v>
      </c>
      <c r="J745" s="135">
        <f t="shared" ref="J745:J747" si="100">PRODUCT(G745,H745,I745)</f>
        <v>6712.5802702068313</v>
      </c>
    </row>
    <row r="746" spans="1:10">
      <c r="A746" s="67"/>
      <c r="B746" s="66"/>
      <c r="C746" s="132" t="s">
        <v>590</v>
      </c>
      <c r="D746" s="133" t="s">
        <v>617</v>
      </c>
      <c r="E746" s="102" t="str">
        <f>" - "&amp;'Giá VL'!E33</f>
        <v xml:space="preserve"> - Nước</v>
      </c>
      <c r="F746" s="66" t="str">
        <f>'Giá VL'!F33</f>
        <v>lít</v>
      </c>
      <c r="G746" s="134">
        <f>PTVT!G746</f>
        <v>2.5535999999999999</v>
      </c>
      <c r="H746" s="135">
        <f>'Giá VL'!V33</f>
        <v>15</v>
      </c>
      <c r="I746" s="144">
        <f>'5.Tiên lượng'!V186</f>
        <v>1</v>
      </c>
      <c r="J746" s="135">
        <f t="shared" si="100"/>
        <v>38.303999999999995</v>
      </c>
    </row>
    <row r="747" spans="1:10">
      <c r="A747" s="67"/>
      <c r="B747" s="66"/>
      <c r="C747" s="132" t="s">
        <v>590</v>
      </c>
      <c r="D747" s="133" t="s">
        <v>670</v>
      </c>
      <c r="E747" s="102" t="str">
        <f>" - "&amp;'Giá VL'!E44</f>
        <v xml:space="preserve"> - Xi măng PCB30</v>
      </c>
      <c r="F747" s="66" t="str">
        <f>'Giá VL'!F44</f>
        <v>kg</v>
      </c>
      <c r="G747" s="134">
        <f>PTVT!G747</f>
        <v>4.5792000000000002</v>
      </c>
      <c r="H747" s="135">
        <f>'Giá VL'!V44</f>
        <v>1680</v>
      </c>
      <c r="I747" s="144">
        <f>'5.Tiên lượng'!V186</f>
        <v>1</v>
      </c>
      <c r="J747" s="135">
        <f t="shared" si="100"/>
        <v>7693.0560000000005</v>
      </c>
    </row>
    <row r="748" spans="1:10">
      <c r="A748" s="126"/>
      <c r="B748" s="127"/>
      <c r="C748" s="128" t="s">
        <v>590</v>
      </c>
      <c r="D748" s="128" t="s">
        <v>590</v>
      </c>
      <c r="E748" s="129" t="s">
        <v>265</v>
      </c>
      <c r="F748" s="127" t="s">
        <v>266</v>
      </c>
      <c r="G748" s="130"/>
      <c r="H748" s="131"/>
      <c r="I748" s="143"/>
      <c r="J748" s="131">
        <f>SUM(J749:J749)</f>
        <v>35100</v>
      </c>
    </row>
    <row r="749" spans="1:10">
      <c r="A749" s="104"/>
      <c r="B749" s="105"/>
      <c r="C749" s="136" t="s">
        <v>590</v>
      </c>
      <c r="D749" s="137" t="s">
        <v>622</v>
      </c>
      <c r="E749" s="106" t="str">
        <f>" - "&amp;'Giá NC'!E9</f>
        <v xml:space="preserve"> - Nhân công bậc 3,5/7 - Nhóm 2</v>
      </c>
      <c r="F749" s="105" t="str">
        <f>'Giá NC'!F9</f>
        <v>công</v>
      </c>
      <c r="G749" s="138">
        <f>PTVT!G749</f>
        <v>0.13</v>
      </c>
      <c r="H749" s="139">
        <f>'Giá NC'!K9</f>
        <v>270000</v>
      </c>
      <c r="I749" s="145">
        <f>'5.Tiên lượng'!W186</f>
        <v>1</v>
      </c>
      <c r="J749" s="139">
        <f>PRODUCT(G749,H749,I749)</f>
        <v>35100</v>
      </c>
    </row>
    <row r="750" spans="1:10">
      <c r="A750" s="121"/>
      <c r="B750" s="122">
        <v>86</v>
      </c>
      <c r="C750" s="121" t="str">
        <f>'5.Tiên lượng'!C187</f>
        <v>BB.13507</v>
      </c>
      <c r="D750" s="121" t="str">
        <f>'5.Tiên lượng'!C187</f>
        <v>BB.13507</v>
      </c>
      <c r="E750" s="123" t="str">
        <f>'5.Tiên lượng'!D187</f>
        <v>Nối ống bê tông bằng phương pháp xảm - Đường kính 800mm</v>
      </c>
      <c r="F750" s="122" t="str">
        <f>'5.Tiên lượng'!E187</f>
        <v>mối nối</v>
      </c>
      <c r="G750" s="124"/>
      <c r="H750" s="125"/>
      <c r="I750" s="141"/>
      <c r="J750" s="142">
        <f>J751+J755</f>
        <v>67708.12931579446</v>
      </c>
    </row>
    <row r="751" spans="1:10">
      <c r="A751" s="126"/>
      <c r="B751" s="127"/>
      <c r="C751" s="128" t="s">
        <v>590</v>
      </c>
      <c r="D751" s="128" t="s">
        <v>590</v>
      </c>
      <c r="E751" s="129" t="s">
        <v>262</v>
      </c>
      <c r="F751" s="127" t="s">
        <v>263</v>
      </c>
      <c r="G751" s="130"/>
      <c r="H751" s="131"/>
      <c r="I751" s="143"/>
      <c r="J751" s="131">
        <f>SUM(J752:J754)</f>
        <v>19108.129315794456</v>
      </c>
    </row>
    <row r="752" spans="1:10">
      <c r="A752" s="67"/>
      <c r="B752" s="66"/>
      <c r="C752" s="132" t="s">
        <v>590</v>
      </c>
      <c r="D752" s="133" t="s">
        <v>615</v>
      </c>
      <c r="E752" s="102" t="str">
        <f>" - "&amp;'Giá VL'!E17</f>
        <v xml:space="preserve"> - Cát vàng</v>
      </c>
      <c r="F752" s="66" t="str">
        <f>'Giá VL'!F17</f>
        <v>m3</v>
      </c>
      <c r="G752" s="134">
        <f>PTVT!G752</f>
        <v>1.3474699999999999E-2</v>
      </c>
      <c r="H752" s="135">
        <f>'Giá VL'!V17</f>
        <v>659026.49526849983</v>
      </c>
      <c r="I752" s="144">
        <f>'5.Tiên lượng'!V187</f>
        <v>1</v>
      </c>
      <c r="J752" s="135">
        <f t="shared" ref="J752:J754" si="101">PRODUCT(G752,H752,I752)</f>
        <v>8880.184315794455</v>
      </c>
    </row>
    <row r="753" spans="1:10">
      <c r="A753" s="67"/>
      <c r="B753" s="66"/>
      <c r="C753" s="132" t="s">
        <v>590</v>
      </c>
      <c r="D753" s="133" t="s">
        <v>617</v>
      </c>
      <c r="E753" s="102" t="str">
        <f>" - "&amp;'Giá VL'!E33</f>
        <v xml:space="preserve"> - Nước</v>
      </c>
      <c r="F753" s="66" t="str">
        <f>'Giá VL'!F33</f>
        <v>lít</v>
      </c>
      <c r="G753" s="134">
        <f>PTVT!G753</f>
        <v>3.3782000000000001</v>
      </c>
      <c r="H753" s="135">
        <f>'Giá VL'!V33</f>
        <v>15</v>
      </c>
      <c r="I753" s="144">
        <f>'5.Tiên lượng'!V187</f>
        <v>1</v>
      </c>
      <c r="J753" s="135">
        <f t="shared" si="101"/>
        <v>50.673000000000002</v>
      </c>
    </row>
    <row r="754" spans="1:10">
      <c r="A754" s="67"/>
      <c r="B754" s="66"/>
      <c r="C754" s="132" t="s">
        <v>590</v>
      </c>
      <c r="D754" s="133" t="s">
        <v>670</v>
      </c>
      <c r="E754" s="102" t="str">
        <f>" - "&amp;'Giá VL'!E44</f>
        <v xml:space="preserve"> - Xi măng PCB30</v>
      </c>
      <c r="F754" s="66" t="str">
        <f>'Giá VL'!F44</f>
        <v>kg</v>
      </c>
      <c r="G754" s="134">
        <f>PTVT!G754</f>
        <v>6.0579000000000001</v>
      </c>
      <c r="H754" s="135">
        <f>'Giá VL'!V44</f>
        <v>1680</v>
      </c>
      <c r="I754" s="144">
        <f>'5.Tiên lượng'!V187</f>
        <v>1</v>
      </c>
      <c r="J754" s="135">
        <f t="shared" si="101"/>
        <v>10177.272000000001</v>
      </c>
    </row>
    <row r="755" spans="1:10">
      <c r="A755" s="126"/>
      <c r="B755" s="127"/>
      <c r="C755" s="128" t="s">
        <v>590</v>
      </c>
      <c r="D755" s="128" t="s">
        <v>590</v>
      </c>
      <c r="E755" s="129" t="s">
        <v>265</v>
      </c>
      <c r="F755" s="127" t="s">
        <v>266</v>
      </c>
      <c r="G755" s="130"/>
      <c r="H755" s="131"/>
      <c r="I755" s="143"/>
      <c r="J755" s="131">
        <f>SUM(J756:J756)</f>
        <v>48600</v>
      </c>
    </row>
    <row r="756" spans="1:10">
      <c r="A756" s="104"/>
      <c r="B756" s="105"/>
      <c r="C756" s="136" t="s">
        <v>590</v>
      </c>
      <c r="D756" s="137" t="s">
        <v>622</v>
      </c>
      <c r="E756" s="106" t="str">
        <f>" - "&amp;'Giá NC'!E9</f>
        <v xml:space="preserve"> - Nhân công bậc 3,5/7 - Nhóm 2</v>
      </c>
      <c r="F756" s="105" t="str">
        <f>'Giá NC'!F9</f>
        <v>công</v>
      </c>
      <c r="G756" s="138">
        <f>PTVT!G756</f>
        <v>0.18</v>
      </c>
      <c r="H756" s="139">
        <f>'Giá NC'!K9</f>
        <v>270000</v>
      </c>
      <c r="I756" s="145">
        <f>'5.Tiên lượng'!W187</f>
        <v>1</v>
      </c>
      <c r="J756" s="139">
        <f>PRODUCT(G756,H756,I756)</f>
        <v>48600</v>
      </c>
    </row>
    <row r="757" spans="1:10">
      <c r="A757" s="121"/>
      <c r="B757" s="122">
        <v>87</v>
      </c>
      <c r="C757" s="121" t="str">
        <f>'5.Tiên lượng'!C188</f>
        <v>BB.33011</v>
      </c>
      <c r="D757" s="121" t="str">
        <f>'5.Tiên lượng'!C188</f>
        <v>BB.33011</v>
      </c>
      <c r="E757" s="123" t="str">
        <f>'5.Tiên lượng'!D188</f>
        <v>Khối xây gia cố bằng đá hộc - Chiều dày ≤60cm, vữa XM M100, PCB40</v>
      </c>
      <c r="F757" s="122" t="str">
        <f>'5.Tiên lượng'!E188</f>
        <v>100m</v>
      </c>
      <c r="G757" s="124"/>
      <c r="H757" s="125"/>
      <c r="I757" s="141"/>
      <c r="J757" s="142">
        <f>J758+J762</f>
        <v>51241961.741250001</v>
      </c>
    </row>
    <row r="758" spans="1:10">
      <c r="A758" s="126"/>
      <c r="B758" s="127"/>
      <c r="C758" s="128" t="s">
        <v>590</v>
      </c>
      <c r="D758" s="128" t="s">
        <v>590</v>
      </c>
      <c r="E758" s="129" t="s">
        <v>262</v>
      </c>
      <c r="F758" s="127" t="s">
        <v>263</v>
      </c>
      <c r="G758" s="130"/>
      <c r="H758" s="131"/>
      <c r="I758" s="143"/>
      <c r="J758" s="131">
        <f>SUM(J759:J761)</f>
        <v>42496661.741250001</v>
      </c>
    </row>
    <row r="759" spans="1:10">
      <c r="A759" s="67"/>
      <c r="B759" s="66"/>
      <c r="C759" s="132" t="s">
        <v>590</v>
      </c>
      <c r="D759" s="133" t="s">
        <v>680</v>
      </c>
      <c r="E759" s="102" t="str">
        <f>" - "&amp;'Giá VL'!E35</f>
        <v xml:space="preserve"> - Ống thép tráng kẽm D200mm, L=8m</v>
      </c>
      <c r="F759" s="66" t="str">
        <f>'Giá VL'!F35</f>
        <v>m</v>
      </c>
      <c r="G759" s="134">
        <f>PTVT!G759</f>
        <v>100.5</v>
      </c>
      <c r="H759" s="135">
        <f>'Giá VL'!V35</f>
        <v>391025</v>
      </c>
      <c r="I759" s="144">
        <f>'5.Tiên lượng'!V188</f>
        <v>1</v>
      </c>
      <c r="J759" s="135">
        <f t="shared" ref="J759:J761" si="102">PRODUCT(G759,H759,I759)</f>
        <v>39298012.5</v>
      </c>
    </row>
    <row r="760" spans="1:10">
      <c r="A760" s="67"/>
      <c r="B760" s="66"/>
      <c r="C760" s="132" t="s">
        <v>590</v>
      </c>
      <c r="D760" s="133" t="s">
        <v>681</v>
      </c>
      <c r="E760" s="102" t="str">
        <f>" - "&amp;'Giá VL'!E29</f>
        <v xml:space="preserve"> - Măng sông thép tráng kẽm D200mm</v>
      </c>
      <c r="F760" s="66" t="str">
        <f>'Giá VL'!F29</f>
        <v>cái</v>
      </c>
      <c r="G760" s="134">
        <f>PTVT!G760</f>
        <v>12</v>
      </c>
      <c r="H760" s="135">
        <f>'Giá VL'!V29</f>
        <v>266200</v>
      </c>
      <c r="I760" s="144">
        <f>'5.Tiên lượng'!V188</f>
        <v>1</v>
      </c>
      <c r="J760" s="135">
        <f t="shared" si="102"/>
        <v>3194400</v>
      </c>
    </row>
    <row r="761" spans="1:10">
      <c r="A761" s="67"/>
      <c r="B761" s="66"/>
      <c r="C761" s="132" t="s">
        <v>590</v>
      </c>
      <c r="D761" s="133" t="s">
        <v>620</v>
      </c>
      <c r="E761" s="102" t="s">
        <v>668</v>
      </c>
      <c r="F761" s="66" t="s">
        <v>37</v>
      </c>
      <c r="G761" s="134">
        <f>PTVT!G761</f>
        <v>0.01</v>
      </c>
      <c r="H761" s="135">
        <f>(G759*H759+G760*H760)/100</f>
        <v>424924.125</v>
      </c>
      <c r="I761" s="144">
        <f>'5.Tiên lượng'!V188</f>
        <v>1</v>
      </c>
      <c r="J761" s="135">
        <f t="shared" si="102"/>
        <v>4249.24125</v>
      </c>
    </row>
    <row r="762" spans="1:10">
      <c r="A762" s="126"/>
      <c r="B762" s="127"/>
      <c r="C762" s="128" t="s">
        <v>590</v>
      </c>
      <c r="D762" s="128" t="s">
        <v>590</v>
      </c>
      <c r="E762" s="129" t="s">
        <v>265</v>
      </c>
      <c r="F762" s="127" t="s">
        <v>266</v>
      </c>
      <c r="G762" s="130"/>
      <c r="H762" s="131"/>
      <c r="I762" s="143"/>
      <c r="J762" s="131">
        <f>SUM(J763:J763)</f>
        <v>8745300</v>
      </c>
    </row>
    <row r="763" spans="1:10">
      <c r="A763" s="104"/>
      <c r="B763" s="105"/>
      <c r="C763" s="136" t="s">
        <v>590</v>
      </c>
      <c r="D763" s="137" t="s">
        <v>622</v>
      </c>
      <c r="E763" s="106" t="str">
        <f>" - "&amp;'Giá NC'!E9</f>
        <v xml:space="preserve"> - Nhân công bậc 3,5/7 - Nhóm 2</v>
      </c>
      <c r="F763" s="105" t="str">
        <f>'Giá NC'!F9</f>
        <v>công</v>
      </c>
      <c r="G763" s="138">
        <f>PTVT!G763</f>
        <v>32.39</v>
      </c>
      <c r="H763" s="139">
        <f>'Giá NC'!K9</f>
        <v>270000</v>
      </c>
      <c r="I763" s="145">
        <f>'5.Tiên lượng'!W188</f>
        <v>1</v>
      </c>
      <c r="J763" s="139">
        <f>PRODUCT(G763,H763,I763)</f>
        <v>8745300</v>
      </c>
    </row>
    <row r="764" spans="1:10">
      <c r="A764" s="121"/>
      <c r="B764" s="122">
        <v>88</v>
      </c>
      <c r="C764" s="121" t="str">
        <f>'5.Tiên lượng'!C190</f>
        <v>TT</v>
      </c>
      <c r="D764" s="121" t="str">
        <f>'5.Tiên lượng'!C190</f>
        <v>TT</v>
      </c>
      <c r="E764" s="123" t="str">
        <f>'5.Tiên lượng'!D190</f>
        <v>Tấm gỗ chắn nước</v>
      </c>
      <c r="F764" s="122" t="str">
        <f>'5.Tiên lượng'!E190</f>
        <v>m3</v>
      </c>
      <c r="G764" s="124"/>
      <c r="H764" s="125"/>
      <c r="I764" s="141"/>
      <c r="J764" s="142">
        <f>J765</f>
        <v>2544105.8536283001</v>
      </c>
    </row>
    <row r="765" spans="1:10">
      <c r="A765" s="126"/>
      <c r="B765" s="127"/>
      <c r="C765" s="128" t="s">
        <v>590</v>
      </c>
      <c r="D765" s="128" t="s">
        <v>590</v>
      </c>
      <c r="E765" s="129" t="s">
        <v>262</v>
      </c>
      <c r="F765" s="127" t="s">
        <v>263</v>
      </c>
      <c r="G765" s="130"/>
      <c r="H765" s="131"/>
      <c r="I765" s="143"/>
      <c r="J765" s="131">
        <v>2544105.8536283001</v>
      </c>
    </row>
    <row r="766" spans="1:10">
      <c r="A766" s="104"/>
      <c r="B766" s="105"/>
      <c r="C766" s="136" t="s">
        <v>590</v>
      </c>
      <c r="D766" s="137" t="s">
        <v>682</v>
      </c>
      <c r="E766" s="106" t="str">
        <f>" - "&amp;'Giá VL'!E26</f>
        <v xml:space="preserve"> - Gỗ ván</v>
      </c>
      <c r="F766" s="105" t="str">
        <f>'Giá VL'!F26</f>
        <v>m3</v>
      </c>
      <c r="G766" s="138">
        <f>PTVT!G766</f>
        <v>1</v>
      </c>
      <c r="H766" s="139">
        <f>'Giá VL'!V26</f>
        <v>2844105.8536283039</v>
      </c>
      <c r="I766" s="145">
        <f>'5.Tiên lượng'!V190</f>
        <v>1</v>
      </c>
      <c r="J766" s="139">
        <f>PRODUCT(G766,H766,I766)</f>
        <v>2844105.8536283039</v>
      </c>
    </row>
    <row r="767" spans="1:10">
      <c r="A767" s="114"/>
      <c r="B767" s="115"/>
      <c r="C767" s="116" t="s">
        <v>339</v>
      </c>
      <c r="D767" s="117" t="s">
        <v>339</v>
      </c>
      <c r="E767" s="118" t="s">
        <v>561</v>
      </c>
      <c r="F767" s="115"/>
      <c r="G767" s="119"/>
      <c r="H767" s="120"/>
      <c r="I767" s="140"/>
      <c r="J767" s="120" t="s">
        <v>597</v>
      </c>
    </row>
    <row r="768" spans="1:10">
      <c r="A768" s="121"/>
      <c r="B768" s="122">
        <v>89</v>
      </c>
      <c r="C768" s="121" t="str">
        <f>'5.Tiên lượng'!C192</f>
        <v>AF.12151</v>
      </c>
      <c r="D768" s="121" t="str">
        <f>'5.Tiên lượng'!C192</f>
        <v>AF.12151</v>
      </c>
      <c r="E768" s="123" t="str">
        <f>'5.Tiên lượng'!D192</f>
        <v>BTXM đầu cống - Chiều dày ≤45cm, chiều cao ≤6m, M150, đá 2x4, PCB40</v>
      </c>
      <c r="F768" s="122" t="str">
        <f>'5.Tiên lượng'!E192</f>
        <v>m3</v>
      </c>
      <c r="G768" s="124"/>
      <c r="H768" s="125"/>
      <c r="I768" s="141"/>
      <c r="J768" s="142">
        <f>J769+J775+J777</f>
        <v>1825167.4780080358</v>
      </c>
    </row>
    <row r="769" spans="1:10">
      <c r="A769" s="126"/>
      <c r="B769" s="127"/>
      <c r="C769" s="128" t="s">
        <v>590</v>
      </c>
      <c r="D769" s="128" t="s">
        <v>590</v>
      </c>
      <c r="E769" s="129" t="s">
        <v>262</v>
      </c>
      <c r="F769" s="127" t="s">
        <v>263</v>
      </c>
      <c r="G769" s="130"/>
      <c r="H769" s="131"/>
      <c r="I769" s="143"/>
      <c r="J769" s="131">
        <f>SUM(J770:J774)</f>
        <v>1071238.1347510607</v>
      </c>
    </row>
    <row r="770" spans="1:10">
      <c r="A770" s="67"/>
      <c r="B770" s="66"/>
      <c r="C770" s="132" t="s">
        <v>590</v>
      </c>
      <c r="D770" s="133" t="s">
        <v>614</v>
      </c>
      <c r="E770" s="102" t="str">
        <f>" - "&amp;'Giá VL'!E45</f>
        <v xml:space="preserve"> - Xi măng PCB40</v>
      </c>
      <c r="F770" s="66" t="str">
        <f>'Giá VL'!F45</f>
        <v>kg</v>
      </c>
      <c r="G770" s="134">
        <f>PTVT!G770</f>
        <v>210.125</v>
      </c>
      <c r="H770" s="135">
        <f>'Giá VL'!V45</f>
        <v>1730</v>
      </c>
      <c r="I770" s="144">
        <f>'5.Tiên lượng'!V192</f>
        <v>1</v>
      </c>
      <c r="J770" s="135">
        <f t="shared" ref="J770:J774" si="103">PRODUCT(G770,H770,I770)</f>
        <v>363516.25</v>
      </c>
    </row>
    <row r="771" spans="1:10">
      <c r="A771" s="67"/>
      <c r="B771" s="66"/>
      <c r="C771" s="132" t="s">
        <v>590</v>
      </c>
      <c r="D771" s="133" t="s">
        <v>615</v>
      </c>
      <c r="E771" s="102" t="str">
        <f>" - "&amp;'Giá VL'!E17</f>
        <v xml:space="preserve"> - Cát vàng</v>
      </c>
      <c r="F771" s="66" t="str">
        <f>'Giá VL'!F17</f>
        <v>m3</v>
      </c>
      <c r="G771" s="134">
        <f>PTVT!G771</f>
        <v>0.56272500000000003</v>
      </c>
      <c r="H771" s="135">
        <f>'Giá VL'!V17</f>
        <v>659026.49526849983</v>
      </c>
      <c r="I771" s="144">
        <f>'5.Tiên lượng'!V192</f>
        <v>1</v>
      </c>
      <c r="J771" s="135">
        <f t="shared" si="103"/>
        <v>370850.68454996659</v>
      </c>
    </row>
    <row r="772" spans="1:10">
      <c r="A772" s="67"/>
      <c r="B772" s="66"/>
      <c r="C772" s="132" t="s">
        <v>590</v>
      </c>
      <c r="D772" s="133" t="s">
        <v>616</v>
      </c>
      <c r="E772" s="102" t="str">
        <f>" - "&amp;'Giá VL'!E19</f>
        <v xml:space="preserve"> - Đá 2x4</v>
      </c>
      <c r="F772" s="66" t="str">
        <f>'Giá VL'!F19</f>
        <v>m3</v>
      </c>
      <c r="G772" s="134">
        <f>PTVT!G772</f>
        <v>0.91225000000000001</v>
      </c>
      <c r="H772" s="135">
        <f>'Giá VL'!V19</f>
        <v>310458.0547558713</v>
      </c>
      <c r="I772" s="144">
        <f>'5.Tiên lượng'!V192</f>
        <v>1</v>
      </c>
      <c r="J772" s="135">
        <f t="shared" si="103"/>
        <v>283215.36045104358</v>
      </c>
    </row>
    <row r="773" spans="1:10">
      <c r="A773" s="67"/>
      <c r="B773" s="66"/>
      <c r="C773" s="132" t="s">
        <v>590</v>
      </c>
      <c r="D773" s="133" t="s">
        <v>617</v>
      </c>
      <c r="E773" s="102" t="str">
        <f>" - "&amp;'Giá VL'!E33</f>
        <v xml:space="preserve"> - Nước</v>
      </c>
      <c r="F773" s="66" t="str">
        <f>'Giá VL'!F33</f>
        <v>lít</v>
      </c>
      <c r="G773" s="134">
        <f>PTVT!G773</f>
        <v>176.3</v>
      </c>
      <c r="H773" s="135">
        <f>'Giá VL'!V33</f>
        <v>15</v>
      </c>
      <c r="I773" s="144">
        <f>'5.Tiên lượng'!V192</f>
        <v>1</v>
      </c>
      <c r="J773" s="135">
        <f t="shared" si="103"/>
        <v>2644.5</v>
      </c>
    </row>
    <row r="774" spans="1:10">
      <c r="A774" s="67"/>
      <c r="B774" s="66"/>
      <c r="C774" s="132" t="s">
        <v>590</v>
      </c>
      <c r="D774" s="133" t="s">
        <v>620</v>
      </c>
      <c r="E774" s="102" t="s">
        <v>621</v>
      </c>
      <c r="F774" s="66" t="s">
        <v>37</v>
      </c>
      <c r="G774" s="134">
        <f>PTVT!G774</f>
        <v>5</v>
      </c>
      <c r="H774" s="135">
        <f>(G770*H770+G771*H771+G772*H772+G773*H773)/100</f>
        <v>10202.267950010102</v>
      </c>
      <c r="I774" s="144">
        <f>'5.Tiên lượng'!V192</f>
        <v>1</v>
      </c>
      <c r="J774" s="135">
        <f t="shared" si="103"/>
        <v>51011.339750050509</v>
      </c>
    </row>
    <row r="775" spans="1:10">
      <c r="A775" s="126"/>
      <c r="B775" s="127"/>
      <c r="C775" s="128" t="s">
        <v>590</v>
      </c>
      <c r="D775" s="128" t="s">
        <v>590</v>
      </c>
      <c r="E775" s="129" t="s">
        <v>265</v>
      </c>
      <c r="F775" s="127" t="s">
        <v>266</v>
      </c>
      <c r="G775" s="130"/>
      <c r="H775" s="131"/>
      <c r="I775" s="143"/>
      <c r="J775" s="131">
        <f>SUM(J776:J776)</f>
        <v>672300</v>
      </c>
    </row>
    <row r="776" spans="1:10">
      <c r="A776" s="67"/>
      <c r="B776" s="66"/>
      <c r="C776" s="132" t="s">
        <v>590</v>
      </c>
      <c r="D776" s="133" t="s">
        <v>622</v>
      </c>
      <c r="E776" s="102" t="str">
        <f>" - "&amp;'Giá NC'!E9</f>
        <v xml:space="preserve"> - Nhân công bậc 3,5/7 - Nhóm 2</v>
      </c>
      <c r="F776" s="66" t="str">
        <f>'Giá NC'!F9</f>
        <v>công</v>
      </c>
      <c r="G776" s="134">
        <f>PTVT!G776</f>
        <v>2.4900000000000002</v>
      </c>
      <c r="H776" s="135">
        <f>'Giá NC'!K9</f>
        <v>270000</v>
      </c>
      <c r="I776" s="144">
        <f>'5.Tiên lượng'!W192</f>
        <v>1</v>
      </c>
      <c r="J776" s="135">
        <f>PRODUCT(G776,H776,I776)</f>
        <v>672300</v>
      </c>
    </row>
    <row r="777" spans="1:10">
      <c r="A777" s="126"/>
      <c r="B777" s="127"/>
      <c r="C777" s="128" t="s">
        <v>590</v>
      </c>
      <c r="D777" s="128" t="s">
        <v>590</v>
      </c>
      <c r="E777" s="129" t="s">
        <v>267</v>
      </c>
      <c r="F777" s="127" t="s">
        <v>268</v>
      </c>
      <c r="G777" s="130"/>
      <c r="H777" s="131"/>
      <c r="I777" s="143"/>
      <c r="J777" s="131">
        <f>SUM(J778:J779)</f>
        <v>81629.343256975</v>
      </c>
    </row>
    <row r="778" spans="1:10">
      <c r="A778" s="67"/>
      <c r="B778" s="66"/>
      <c r="C778" s="132" t="s">
        <v>590</v>
      </c>
      <c r="D778" s="133" t="s">
        <v>623</v>
      </c>
      <c r="E778" s="102" t="str">
        <f>" - "&amp;'Giá Máy'!E27</f>
        <v xml:space="preserve"> - Máy trộn bê tông 250 lít</v>
      </c>
      <c r="F778" s="66" t="str">
        <f>'Giá Máy'!F27</f>
        <v>ca</v>
      </c>
      <c r="G778" s="134">
        <f>PTVT!G778</f>
        <v>9.5000000000000001E-2</v>
      </c>
      <c r="H778" s="135">
        <f>'Giá Máy'!O27</f>
        <v>326305.98864499998</v>
      </c>
      <c r="I778" s="144">
        <f>'5.Tiên lượng'!X192</f>
        <v>1</v>
      </c>
      <c r="J778" s="135">
        <f t="shared" ref="J778:J779" si="104">PRODUCT(G778,H778,I778)</f>
        <v>30999.068921274997</v>
      </c>
    </row>
    <row r="779" spans="1:10">
      <c r="A779" s="104"/>
      <c r="B779" s="105"/>
      <c r="C779" s="136" t="s">
        <v>590</v>
      </c>
      <c r="D779" s="137" t="s">
        <v>625</v>
      </c>
      <c r="E779" s="106" t="str">
        <f>" - "&amp;'Giá Máy'!E12</f>
        <v xml:space="preserve"> - Máy đầm dùi 1,5kW</v>
      </c>
      <c r="F779" s="105" t="str">
        <f>'Giá Máy'!F12</f>
        <v>ca</v>
      </c>
      <c r="G779" s="138">
        <f>PTVT!G779</f>
        <v>0.18</v>
      </c>
      <c r="H779" s="139">
        <f>'Giá Máy'!O12</f>
        <v>281279.30186500004</v>
      </c>
      <c r="I779" s="145">
        <f>'5.Tiên lượng'!X192</f>
        <v>1</v>
      </c>
      <c r="J779" s="139">
        <f t="shared" si="104"/>
        <v>50630.274335700007</v>
      </c>
    </row>
    <row r="780" spans="1:10">
      <c r="A780" s="121"/>
      <c r="B780" s="122">
        <v>90</v>
      </c>
      <c r="C780" s="121" t="str">
        <f>'5.Tiên lượng'!C193</f>
        <v>AF.12152</v>
      </c>
      <c r="D780" s="121" t="str">
        <f>'5.Tiên lượng'!C193</f>
        <v>AF.12152</v>
      </c>
      <c r="E780" s="123" t="str">
        <f>'5.Tiên lượng'!D193</f>
        <v>BTXM thân cống - Chiều dày ≤45cm, chiều cao ≤6m, M200, đá 2x4, PCB40</v>
      </c>
      <c r="F780" s="122" t="str">
        <f>'5.Tiên lượng'!E193</f>
        <v>m3</v>
      </c>
      <c r="G780" s="124"/>
      <c r="H780" s="125"/>
      <c r="I780" s="141"/>
      <c r="J780" s="142">
        <f>J781+J787+J789</f>
        <v>1886736.8871282071</v>
      </c>
    </row>
    <row r="781" spans="1:10">
      <c r="A781" s="126"/>
      <c r="B781" s="127"/>
      <c r="C781" s="128" t="s">
        <v>590</v>
      </c>
      <c r="D781" s="128" t="s">
        <v>590</v>
      </c>
      <c r="E781" s="129" t="s">
        <v>262</v>
      </c>
      <c r="F781" s="127" t="s">
        <v>263</v>
      </c>
      <c r="G781" s="130"/>
      <c r="H781" s="131"/>
      <c r="I781" s="143"/>
      <c r="J781" s="131">
        <f>SUM(J782:J786)</f>
        <v>1132807.5438712321</v>
      </c>
    </row>
    <row r="782" spans="1:10">
      <c r="A782" s="67"/>
      <c r="B782" s="66"/>
      <c r="C782" s="132" t="s">
        <v>590</v>
      </c>
      <c r="D782" s="133" t="s">
        <v>614</v>
      </c>
      <c r="E782" s="102" t="str">
        <f>" - "&amp;'Giá VL'!E45</f>
        <v xml:space="preserve"> - Xi măng PCB40</v>
      </c>
      <c r="F782" s="66" t="str">
        <f>'Giá VL'!F45</f>
        <v>kg</v>
      </c>
      <c r="G782" s="134">
        <f>PTVT!G782</f>
        <v>250.1</v>
      </c>
      <c r="H782" s="135">
        <f>'Giá VL'!V45</f>
        <v>1730</v>
      </c>
      <c r="I782" s="144">
        <f>'5.Tiên lượng'!V193</f>
        <v>1</v>
      </c>
      <c r="J782" s="135">
        <f t="shared" ref="J782:J786" si="105">PRODUCT(G782,H782,I782)</f>
        <v>432673</v>
      </c>
    </row>
    <row r="783" spans="1:10">
      <c r="A783" s="67"/>
      <c r="B783" s="66"/>
      <c r="C783" s="132" t="s">
        <v>590</v>
      </c>
      <c r="D783" s="133" t="s">
        <v>615</v>
      </c>
      <c r="E783" s="102" t="str">
        <f>" - "&amp;'Giá VL'!E17</f>
        <v xml:space="preserve"> - Cát vàng</v>
      </c>
      <c r="F783" s="66" t="str">
        <f>'Giá VL'!F17</f>
        <v>m3</v>
      </c>
      <c r="G783" s="134">
        <f>PTVT!G783</f>
        <v>0.55349999999999999</v>
      </c>
      <c r="H783" s="135">
        <f>'Giá VL'!V17</f>
        <v>659026.49526849983</v>
      </c>
      <c r="I783" s="144">
        <f>'5.Tiên lượng'!V193</f>
        <v>1</v>
      </c>
      <c r="J783" s="135">
        <f t="shared" si="105"/>
        <v>364771.16513111466</v>
      </c>
    </row>
    <row r="784" spans="1:10">
      <c r="A784" s="67"/>
      <c r="B784" s="66"/>
      <c r="C784" s="132" t="s">
        <v>590</v>
      </c>
      <c r="D784" s="133" t="s">
        <v>616</v>
      </c>
      <c r="E784" s="102" t="str">
        <f>" - "&amp;'Giá VL'!E19</f>
        <v xml:space="preserve"> - Đá 2x4</v>
      </c>
      <c r="F784" s="66" t="str">
        <f>'Giá VL'!F19</f>
        <v>m3</v>
      </c>
      <c r="G784" s="134">
        <f>PTVT!G784</f>
        <v>0.89790000000000003</v>
      </c>
      <c r="H784" s="135">
        <f>'Giá VL'!V19</f>
        <v>310458.0547558713</v>
      </c>
      <c r="I784" s="144">
        <f>'5.Tiên lượng'!V193</f>
        <v>1</v>
      </c>
      <c r="J784" s="135">
        <f t="shared" si="105"/>
        <v>278760.28736529686</v>
      </c>
    </row>
    <row r="785" spans="1:10">
      <c r="A785" s="67"/>
      <c r="B785" s="66"/>
      <c r="C785" s="132" t="s">
        <v>590</v>
      </c>
      <c r="D785" s="133" t="s">
        <v>617</v>
      </c>
      <c r="E785" s="102" t="str">
        <f>" - "&amp;'Giá VL'!E33</f>
        <v xml:space="preserve"> - Nước</v>
      </c>
      <c r="F785" s="66" t="str">
        <f>'Giá VL'!F33</f>
        <v>lít</v>
      </c>
      <c r="G785" s="134">
        <f>PTVT!G785</f>
        <v>177.32499999999999</v>
      </c>
      <c r="H785" s="135">
        <f>'Giá VL'!V33</f>
        <v>15</v>
      </c>
      <c r="I785" s="144">
        <f>'5.Tiên lượng'!V193</f>
        <v>1</v>
      </c>
      <c r="J785" s="135">
        <f t="shared" si="105"/>
        <v>2659.875</v>
      </c>
    </row>
    <row r="786" spans="1:10">
      <c r="A786" s="67"/>
      <c r="B786" s="66"/>
      <c r="C786" s="132" t="s">
        <v>590</v>
      </c>
      <c r="D786" s="133" t="s">
        <v>620</v>
      </c>
      <c r="E786" s="102" t="s">
        <v>621</v>
      </c>
      <c r="F786" s="66" t="s">
        <v>37</v>
      </c>
      <c r="G786" s="134">
        <f>PTVT!G786</f>
        <v>5</v>
      </c>
      <c r="H786" s="135">
        <f>(G782*H782+G783*H783+G784*H784+G785*H785)/100</f>
        <v>10788.643274964115</v>
      </c>
      <c r="I786" s="144">
        <f>'5.Tiên lượng'!V193</f>
        <v>1</v>
      </c>
      <c r="J786" s="135">
        <f t="shared" si="105"/>
        <v>53943.216374820578</v>
      </c>
    </row>
    <row r="787" spans="1:10">
      <c r="A787" s="126"/>
      <c r="B787" s="127"/>
      <c r="C787" s="128" t="s">
        <v>590</v>
      </c>
      <c r="D787" s="128" t="s">
        <v>590</v>
      </c>
      <c r="E787" s="129" t="s">
        <v>265</v>
      </c>
      <c r="F787" s="127" t="s">
        <v>266</v>
      </c>
      <c r="G787" s="130"/>
      <c r="H787" s="131"/>
      <c r="I787" s="143"/>
      <c r="J787" s="131">
        <f>SUM(J788:J788)</f>
        <v>672300</v>
      </c>
    </row>
    <row r="788" spans="1:10">
      <c r="A788" s="67"/>
      <c r="B788" s="66"/>
      <c r="C788" s="132" t="s">
        <v>590</v>
      </c>
      <c r="D788" s="133" t="s">
        <v>622</v>
      </c>
      <c r="E788" s="102" t="str">
        <f>" - "&amp;'Giá NC'!E9</f>
        <v xml:space="preserve"> - Nhân công bậc 3,5/7 - Nhóm 2</v>
      </c>
      <c r="F788" s="66" t="str">
        <f>'Giá NC'!F9</f>
        <v>công</v>
      </c>
      <c r="G788" s="134">
        <f>PTVT!G788</f>
        <v>2.4900000000000002</v>
      </c>
      <c r="H788" s="135">
        <f>'Giá NC'!K9</f>
        <v>270000</v>
      </c>
      <c r="I788" s="144">
        <f>'5.Tiên lượng'!W193</f>
        <v>1</v>
      </c>
      <c r="J788" s="135">
        <f>PRODUCT(G788,H788,I788)</f>
        <v>672300</v>
      </c>
    </row>
    <row r="789" spans="1:10">
      <c r="A789" s="126"/>
      <c r="B789" s="127"/>
      <c r="C789" s="128" t="s">
        <v>590</v>
      </c>
      <c r="D789" s="128" t="s">
        <v>590</v>
      </c>
      <c r="E789" s="129" t="s">
        <v>267</v>
      </c>
      <c r="F789" s="127" t="s">
        <v>268</v>
      </c>
      <c r="G789" s="130"/>
      <c r="H789" s="131"/>
      <c r="I789" s="143"/>
      <c r="J789" s="131">
        <f>SUM(J790:J791)</f>
        <v>81629.343256975</v>
      </c>
    </row>
    <row r="790" spans="1:10">
      <c r="A790" s="67"/>
      <c r="B790" s="66"/>
      <c r="C790" s="132" t="s">
        <v>590</v>
      </c>
      <c r="D790" s="133" t="s">
        <v>623</v>
      </c>
      <c r="E790" s="102" t="str">
        <f>" - "&amp;'Giá Máy'!E27</f>
        <v xml:space="preserve"> - Máy trộn bê tông 250 lít</v>
      </c>
      <c r="F790" s="66" t="str">
        <f>'Giá Máy'!F27</f>
        <v>ca</v>
      </c>
      <c r="G790" s="134">
        <f>PTVT!G790</f>
        <v>9.5000000000000001E-2</v>
      </c>
      <c r="H790" s="135">
        <f>'Giá Máy'!O27</f>
        <v>326305.98864499998</v>
      </c>
      <c r="I790" s="144">
        <f>'5.Tiên lượng'!X193</f>
        <v>1</v>
      </c>
      <c r="J790" s="135">
        <f t="shared" ref="J790:J791" si="106">PRODUCT(G790,H790,I790)</f>
        <v>30999.068921274997</v>
      </c>
    </row>
    <row r="791" spans="1:10">
      <c r="A791" s="104"/>
      <c r="B791" s="105"/>
      <c r="C791" s="136" t="s">
        <v>590</v>
      </c>
      <c r="D791" s="137" t="s">
        <v>625</v>
      </c>
      <c r="E791" s="106" t="str">
        <f>" - "&amp;'Giá Máy'!E12</f>
        <v xml:space="preserve"> - Máy đầm dùi 1,5kW</v>
      </c>
      <c r="F791" s="105" t="str">
        <f>'Giá Máy'!F12</f>
        <v>ca</v>
      </c>
      <c r="G791" s="138">
        <f>PTVT!G791</f>
        <v>0.18</v>
      </c>
      <c r="H791" s="139">
        <f>'Giá Máy'!O12</f>
        <v>281279.30186500004</v>
      </c>
      <c r="I791" s="145">
        <f>'5.Tiên lượng'!X193</f>
        <v>1</v>
      </c>
      <c r="J791" s="139">
        <f t="shared" si="106"/>
        <v>50630.274335700007</v>
      </c>
    </row>
    <row r="792" spans="1:10">
      <c r="A792" s="121"/>
      <c r="B792" s="122">
        <v>91</v>
      </c>
      <c r="C792" s="121" t="str">
        <f>'5.Tiên lượng'!C194</f>
        <v>AF.11231</v>
      </c>
      <c r="D792" s="121" t="str">
        <f>'5.Tiên lượng'!C194</f>
        <v>AF.11231</v>
      </c>
      <c r="E792" s="123" t="str">
        <f>'5.Tiên lượng'!D194</f>
        <v>BTXM móng cống, M150, đá 2x4, PCB40</v>
      </c>
      <c r="F792" s="122" t="str">
        <f>'5.Tiên lượng'!E194</f>
        <v>m3</v>
      </c>
      <c r="G792" s="124"/>
      <c r="H792" s="125"/>
      <c r="I792" s="141"/>
      <c r="J792" s="142">
        <f>J793+J799+J801</f>
        <v>1390158.8297382803</v>
      </c>
    </row>
    <row r="793" spans="1:10">
      <c r="A793" s="126"/>
      <c r="B793" s="127"/>
      <c r="C793" s="128" t="s">
        <v>590</v>
      </c>
      <c r="D793" s="128" t="s">
        <v>590</v>
      </c>
      <c r="E793" s="129" t="s">
        <v>262</v>
      </c>
      <c r="F793" s="127" t="s">
        <v>263</v>
      </c>
      <c r="G793" s="130"/>
      <c r="H793" s="131"/>
      <c r="I793" s="143"/>
      <c r="J793" s="131">
        <f>SUM(J794:J798)</f>
        <v>1030429.0629510203</v>
      </c>
    </row>
    <row r="794" spans="1:10">
      <c r="A794" s="67"/>
      <c r="B794" s="66"/>
      <c r="C794" s="132" t="s">
        <v>590</v>
      </c>
      <c r="D794" s="133" t="s">
        <v>614</v>
      </c>
      <c r="E794" s="102" t="str">
        <f>" - "&amp;'Giá VL'!E45</f>
        <v xml:space="preserve"> - Xi măng PCB40</v>
      </c>
      <c r="F794" s="66" t="str">
        <f>'Giá VL'!F45</f>
        <v>kg</v>
      </c>
      <c r="G794" s="134">
        <f>PTVT!G794</f>
        <v>210.125</v>
      </c>
      <c r="H794" s="135">
        <f>'Giá VL'!V45</f>
        <v>1730</v>
      </c>
      <c r="I794" s="144">
        <f>'5.Tiên lượng'!V194</f>
        <v>1</v>
      </c>
      <c r="J794" s="135">
        <f t="shared" ref="J794:J798" si="107">PRODUCT(G794,H794,I794)</f>
        <v>363516.25</v>
      </c>
    </row>
    <row r="795" spans="1:10">
      <c r="A795" s="67"/>
      <c r="B795" s="66"/>
      <c r="C795" s="132" t="s">
        <v>590</v>
      </c>
      <c r="D795" s="133" t="s">
        <v>615</v>
      </c>
      <c r="E795" s="102" t="str">
        <f>" - "&amp;'Giá VL'!E17</f>
        <v xml:space="preserve"> - Cát vàng</v>
      </c>
      <c r="F795" s="66" t="str">
        <f>'Giá VL'!F17</f>
        <v>m3</v>
      </c>
      <c r="G795" s="134">
        <f>PTVT!G795</f>
        <v>0.56272500000000003</v>
      </c>
      <c r="H795" s="135">
        <f>'Giá VL'!V17</f>
        <v>659026.49526849983</v>
      </c>
      <c r="I795" s="144">
        <f>'5.Tiên lượng'!V194</f>
        <v>1</v>
      </c>
      <c r="J795" s="135">
        <f t="shared" si="107"/>
        <v>370850.68454996659</v>
      </c>
    </row>
    <row r="796" spans="1:10">
      <c r="A796" s="67"/>
      <c r="B796" s="66"/>
      <c r="C796" s="132" t="s">
        <v>590</v>
      </c>
      <c r="D796" s="133" t="s">
        <v>616</v>
      </c>
      <c r="E796" s="102" t="str">
        <f>" - "&amp;'Giá VL'!E19</f>
        <v xml:space="preserve"> - Đá 2x4</v>
      </c>
      <c r="F796" s="66" t="str">
        <f>'Giá VL'!F19</f>
        <v>m3</v>
      </c>
      <c r="G796" s="134">
        <f>PTVT!G796</f>
        <v>0.91225000000000001</v>
      </c>
      <c r="H796" s="135">
        <f>'Giá VL'!V19</f>
        <v>310458.0547558713</v>
      </c>
      <c r="I796" s="144">
        <f>'5.Tiên lượng'!V194</f>
        <v>1</v>
      </c>
      <c r="J796" s="135">
        <f t="shared" si="107"/>
        <v>283215.36045104358</v>
      </c>
    </row>
    <row r="797" spans="1:10">
      <c r="A797" s="67"/>
      <c r="B797" s="66"/>
      <c r="C797" s="132" t="s">
        <v>590</v>
      </c>
      <c r="D797" s="133" t="s">
        <v>617</v>
      </c>
      <c r="E797" s="102" t="str">
        <f>" - "&amp;'Giá VL'!E33</f>
        <v xml:space="preserve"> - Nước</v>
      </c>
      <c r="F797" s="66" t="str">
        <f>'Giá VL'!F33</f>
        <v>lít</v>
      </c>
      <c r="G797" s="134">
        <f>PTVT!G797</f>
        <v>176.3</v>
      </c>
      <c r="H797" s="135">
        <f>'Giá VL'!V33</f>
        <v>15</v>
      </c>
      <c r="I797" s="144">
        <f>'5.Tiên lượng'!V194</f>
        <v>1</v>
      </c>
      <c r="J797" s="135">
        <f t="shared" si="107"/>
        <v>2644.5</v>
      </c>
    </row>
    <row r="798" spans="1:10">
      <c r="A798" s="67"/>
      <c r="B798" s="66"/>
      <c r="C798" s="132" t="s">
        <v>590</v>
      </c>
      <c r="D798" s="133" t="s">
        <v>620</v>
      </c>
      <c r="E798" s="102" t="s">
        <v>621</v>
      </c>
      <c r="F798" s="66" t="s">
        <v>37</v>
      </c>
      <c r="G798" s="134">
        <f>PTVT!G798</f>
        <v>1</v>
      </c>
      <c r="H798" s="135">
        <f>(G794*H794+G795*H795+G796*H796+G797*H797)/100</f>
        <v>10202.267950010102</v>
      </c>
      <c r="I798" s="144">
        <f>'5.Tiên lượng'!V194</f>
        <v>1</v>
      </c>
      <c r="J798" s="135">
        <f t="shared" si="107"/>
        <v>10202.267950010102</v>
      </c>
    </row>
    <row r="799" spans="1:10">
      <c r="A799" s="126"/>
      <c r="B799" s="127"/>
      <c r="C799" s="128" t="s">
        <v>590</v>
      </c>
      <c r="D799" s="128" t="s">
        <v>590</v>
      </c>
      <c r="E799" s="129" t="s">
        <v>265</v>
      </c>
      <c r="F799" s="127" t="s">
        <v>266</v>
      </c>
      <c r="G799" s="130"/>
      <c r="H799" s="131"/>
      <c r="I799" s="143"/>
      <c r="J799" s="131">
        <f>SUM(J800:J800)</f>
        <v>303696.83999999997</v>
      </c>
    </row>
    <row r="800" spans="1:10">
      <c r="A800" s="67"/>
      <c r="B800" s="66"/>
      <c r="C800" s="132" t="s">
        <v>590</v>
      </c>
      <c r="D800" s="133" t="s">
        <v>605</v>
      </c>
      <c r="E800" s="102" t="str">
        <f>" - "&amp;'Giá NC'!E8</f>
        <v xml:space="preserve"> - Nhân công bậc 3,0/7 - Nhóm 2</v>
      </c>
      <c r="F800" s="66" t="str">
        <f>'Giá NC'!F8</f>
        <v>công</v>
      </c>
      <c r="G800" s="134">
        <f>PTVT!G800</f>
        <v>1.23</v>
      </c>
      <c r="H800" s="135">
        <f>'Giá NC'!K8</f>
        <v>246908</v>
      </c>
      <c r="I800" s="144">
        <f>'5.Tiên lượng'!W194</f>
        <v>1</v>
      </c>
      <c r="J800" s="135">
        <f>PRODUCT(G800,H800,I800)</f>
        <v>303696.83999999997</v>
      </c>
    </row>
    <row r="801" spans="1:10">
      <c r="A801" s="126"/>
      <c r="B801" s="127"/>
      <c r="C801" s="128" t="s">
        <v>590</v>
      </c>
      <c r="D801" s="128" t="s">
        <v>590</v>
      </c>
      <c r="E801" s="129" t="s">
        <v>267</v>
      </c>
      <c r="F801" s="127" t="s">
        <v>268</v>
      </c>
      <c r="G801" s="130"/>
      <c r="H801" s="131"/>
      <c r="I801" s="143"/>
      <c r="J801" s="131">
        <f>SUM(J802:J803)</f>
        <v>56032.926787260003</v>
      </c>
    </row>
    <row r="802" spans="1:10">
      <c r="A802" s="67"/>
      <c r="B802" s="66"/>
      <c r="C802" s="132" t="s">
        <v>590</v>
      </c>
      <c r="D802" s="133" t="s">
        <v>623</v>
      </c>
      <c r="E802" s="102" t="str">
        <f>" - "&amp;'Giá Máy'!E27</f>
        <v xml:space="preserve"> - Máy trộn bê tông 250 lít</v>
      </c>
      <c r="F802" s="66" t="str">
        <f>'Giá Máy'!F27</f>
        <v>ca</v>
      </c>
      <c r="G802" s="134">
        <f>PTVT!G802</f>
        <v>9.5000000000000001E-2</v>
      </c>
      <c r="H802" s="135">
        <f>'Giá Máy'!O27</f>
        <v>326305.98864499998</v>
      </c>
      <c r="I802" s="144">
        <f>'5.Tiên lượng'!X194</f>
        <v>1</v>
      </c>
      <c r="J802" s="135">
        <f t="shared" ref="J802:J803" si="108">PRODUCT(G802,H802,I802)</f>
        <v>30999.068921274997</v>
      </c>
    </row>
    <row r="803" spans="1:10">
      <c r="A803" s="104"/>
      <c r="B803" s="105"/>
      <c r="C803" s="136" t="s">
        <v>590</v>
      </c>
      <c r="D803" s="137" t="s">
        <v>625</v>
      </c>
      <c r="E803" s="106" t="str">
        <f>" - "&amp;'Giá Máy'!E12</f>
        <v xml:space="preserve"> - Máy đầm dùi 1,5kW</v>
      </c>
      <c r="F803" s="105" t="str">
        <f>'Giá Máy'!F12</f>
        <v>ca</v>
      </c>
      <c r="G803" s="138">
        <f>PTVT!G803</f>
        <v>8.8999999999999996E-2</v>
      </c>
      <c r="H803" s="139">
        <f>'Giá Máy'!O12</f>
        <v>281279.30186500004</v>
      </c>
      <c r="I803" s="145">
        <f>'5.Tiên lượng'!X194</f>
        <v>1</v>
      </c>
      <c r="J803" s="139">
        <f t="shared" si="108"/>
        <v>25033.857865985003</v>
      </c>
    </row>
    <row r="804" spans="1:10">
      <c r="A804" s="121"/>
      <c r="B804" s="122">
        <v>92</v>
      </c>
      <c r="C804" s="121" t="str">
        <f>'5.Tiên lượng'!C195</f>
        <v>AG.11413</v>
      </c>
      <c r="D804" s="121" t="str">
        <f>'5.Tiên lượng'!C195</f>
        <v>AG.11413</v>
      </c>
      <c r="E804" s="123" t="str">
        <f>'5.Tiên lượng'!D195</f>
        <v>BTCT tấm bản mặt, M250, đá 1x2, PCB40 - Đổ bê tông đúc sẵn bằng thủ công (vữa bê tông sản xuất bằng máy trộn)</v>
      </c>
      <c r="F804" s="122" t="str">
        <f>'5.Tiên lượng'!E195</f>
        <v>m3</v>
      </c>
      <c r="G804" s="124"/>
      <c r="H804" s="125"/>
      <c r="I804" s="141"/>
      <c r="J804" s="142">
        <f>J805+J811+J813</f>
        <v>1678630.0283931983</v>
      </c>
    </row>
    <row r="805" spans="1:10">
      <c r="A805" s="126"/>
      <c r="B805" s="127"/>
      <c r="C805" s="128" t="s">
        <v>590</v>
      </c>
      <c r="D805" s="128" t="s">
        <v>590</v>
      </c>
      <c r="E805" s="129" t="s">
        <v>262</v>
      </c>
      <c r="F805" s="127" t="s">
        <v>263</v>
      </c>
      <c r="G805" s="130"/>
      <c r="H805" s="131"/>
      <c r="I805" s="143"/>
      <c r="J805" s="131">
        <f>SUM(J806:J810)</f>
        <v>1171098.5194719234</v>
      </c>
    </row>
    <row r="806" spans="1:10">
      <c r="A806" s="67"/>
      <c r="B806" s="66"/>
      <c r="C806" s="132" t="s">
        <v>590</v>
      </c>
      <c r="D806" s="133" t="s">
        <v>614</v>
      </c>
      <c r="E806" s="102" t="str">
        <f>" - "&amp;'Giá VL'!E45</f>
        <v xml:space="preserve"> - Xi măng PCB40</v>
      </c>
      <c r="F806" s="66" t="str">
        <f>'Giá VL'!F45</f>
        <v>kg</v>
      </c>
      <c r="G806" s="134">
        <f>PTVT!G806</f>
        <v>305.51499999999999</v>
      </c>
      <c r="H806" s="135">
        <f>'Giá VL'!V45</f>
        <v>1730</v>
      </c>
      <c r="I806" s="144">
        <f>'5.Tiên lượng'!V195</f>
        <v>1</v>
      </c>
      <c r="J806" s="135">
        <f t="shared" ref="J806:J810" si="109">PRODUCT(G806,H806,I806)</f>
        <v>528540.94999999995</v>
      </c>
    </row>
    <row r="807" spans="1:10">
      <c r="A807" s="67"/>
      <c r="B807" s="66"/>
      <c r="C807" s="132" t="s">
        <v>590</v>
      </c>
      <c r="D807" s="133" t="s">
        <v>615</v>
      </c>
      <c r="E807" s="102" t="str">
        <f>" - "&amp;'Giá VL'!E17</f>
        <v xml:space="preserve"> - Cát vàng</v>
      </c>
      <c r="F807" s="66" t="str">
        <f>'Giá VL'!F17</f>
        <v>m3</v>
      </c>
      <c r="G807" s="134">
        <f>PTVT!G807</f>
        <v>0.52678499999999995</v>
      </c>
      <c r="H807" s="135">
        <f>'Giá VL'!V17</f>
        <v>659026.49526849983</v>
      </c>
      <c r="I807" s="144">
        <f>'5.Tiên lượng'!V195</f>
        <v>1</v>
      </c>
      <c r="J807" s="135">
        <f t="shared" si="109"/>
        <v>347165.27231001662</v>
      </c>
    </row>
    <row r="808" spans="1:10">
      <c r="A808" s="67"/>
      <c r="B808" s="66"/>
      <c r="C808" s="132" t="s">
        <v>590</v>
      </c>
      <c r="D808" s="133" t="s">
        <v>659</v>
      </c>
      <c r="E808" s="102" t="str">
        <f>" - "&amp;'Giá VL'!E18</f>
        <v xml:space="preserve"> - Đá 1x2</v>
      </c>
      <c r="F808" s="66" t="str">
        <f>'Giá VL'!F18</f>
        <v>m3</v>
      </c>
      <c r="G808" s="134">
        <f>PTVT!G808</f>
        <v>0.86782499999999996</v>
      </c>
      <c r="H808" s="135">
        <f>'Giá VL'!V18</f>
        <v>330458.0547558713</v>
      </c>
      <c r="I808" s="144">
        <f>'5.Tiên lượng'!V195</f>
        <v>1</v>
      </c>
      <c r="J808" s="135">
        <f t="shared" si="109"/>
        <v>286779.76136851398</v>
      </c>
    </row>
    <row r="809" spans="1:10">
      <c r="A809" s="67"/>
      <c r="B809" s="66"/>
      <c r="C809" s="132" t="s">
        <v>590</v>
      </c>
      <c r="D809" s="133" t="s">
        <v>617</v>
      </c>
      <c r="E809" s="102" t="str">
        <f>" - "&amp;'Giá VL'!E33</f>
        <v xml:space="preserve"> - Nước</v>
      </c>
      <c r="F809" s="66" t="str">
        <f>'Giá VL'!F33</f>
        <v>lít</v>
      </c>
      <c r="G809" s="134">
        <f>PTVT!G809</f>
        <v>185.745</v>
      </c>
      <c r="H809" s="135">
        <f>'Giá VL'!V33</f>
        <v>15</v>
      </c>
      <c r="I809" s="144">
        <f>'5.Tiên lượng'!V195</f>
        <v>1</v>
      </c>
      <c r="J809" s="135">
        <f t="shared" si="109"/>
        <v>2786.1750000000002</v>
      </c>
    </row>
    <row r="810" spans="1:10">
      <c r="A810" s="67"/>
      <c r="B810" s="66"/>
      <c r="C810" s="132" t="s">
        <v>590</v>
      </c>
      <c r="D810" s="133" t="s">
        <v>620</v>
      </c>
      <c r="E810" s="102" t="s">
        <v>621</v>
      </c>
      <c r="F810" s="66" t="s">
        <v>37</v>
      </c>
      <c r="G810" s="134">
        <f>PTVT!G810</f>
        <v>0.5</v>
      </c>
      <c r="H810" s="135">
        <f>(G806*H806+G807*H807+G808*H808+G809*H809)/100</f>
        <v>11652.721586785306</v>
      </c>
      <c r="I810" s="144">
        <f>'5.Tiên lượng'!V195</f>
        <v>1</v>
      </c>
      <c r="J810" s="135">
        <f t="shared" si="109"/>
        <v>5826.3607933926532</v>
      </c>
    </row>
    <row r="811" spans="1:10">
      <c r="A811" s="126"/>
      <c r="B811" s="127"/>
      <c r="C811" s="128" t="s">
        <v>590</v>
      </c>
      <c r="D811" s="128" t="s">
        <v>590</v>
      </c>
      <c r="E811" s="129" t="s">
        <v>265</v>
      </c>
      <c r="F811" s="127" t="s">
        <v>266</v>
      </c>
      <c r="G811" s="130"/>
      <c r="H811" s="131"/>
      <c r="I811" s="143"/>
      <c r="J811" s="131">
        <f>SUM(J812:J812)</f>
        <v>476532.44</v>
      </c>
    </row>
    <row r="812" spans="1:10">
      <c r="A812" s="67"/>
      <c r="B812" s="66"/>
      <c r="C812" s="132" t="s">
        <v>590</v>
      </c>
      <c r="D812" s="133" t="s">
        <v>605</v>
      </c>
      <c r="E812" s="102" t="str">
        <f>" - "&amp;'Giá NC'!E8</f>
        <v xml:space="preserve"> - Nhân công bậc 3,0/7 - Nhóm 2</v>
      </c>
      <c r="F812" s="66" t="str">
        <f>'Giá NC'!F8</f>
        <v>công</v>
      </c>
      <c r="G812" s="134">
        <f>PTVT!G812</f>
        <v>1.93</v>
      </c>
      <c r="H812" s="135">
        <f>'Giá NC'!K8</f>
        <v>246908</v>
      </c>
      <c r="I812" s="144">
        <f>'5.Tiên lượng'!W195</f>
        <v>1</v>
      </c>
      <c r="J812" s="135">
        <f>PRODUCT(G812,H812,I812)</f>
        <v>476532.44</v>
      </c>
    </row>
    <row r="813" spans="1:10">
      <c r="A813" s="126"/>
      <c r="B813" s="127"/>
      <c r="C813" s="128" t="s">
        <v>590</v>
      </c>
      <c r="D813" s="128" t="s">
        <v>590</v>
      </c>
      <c r="E813" s="129" t="s">
        <v>267</v>
      </c>
      <c r="F813" s="127" t="s">
        <v>268</v>
      </c>
      <c r="G813" s="130"/>
      <c r="H813" s="131"/>
      <c r="I813" s="143"/>
      <c r="J813" s="131">
        <f>SUM(J814:J814)</f>
        <v>30999.068921274997</v>
      </c>
    </row>
    <row r="814" spans="1:10">
      <c r="A814" s="104"/>
      <c r="B814" s="105"/>
      <c r="C814" s="136" t="s">
        <v>590</v>
      </c>
      <c r="D814" s="137" t="s">
        <v>623</v>
      </c>
      <c r="E814" s="106" t="str">
        <f>" - "&amp;'Giá Máy'!E27</f>
        <v xml:space="preserve"> - Máy trộn bê tông 250 lít</v>
      </c>
      <c r="F814" s="105" t="str">
        <f>'Giá Máy'!F27</f>
        <v>ca</v>
      </c>
      <c r="G814" s="138">
        <f>PTVT!G814</f>
        <v>9.5000000000000001E-2</v>
      </c>
      <c r="H814" s="139">
        <f>'Giá Máy'!O27</f>
        <v>326305.98864499998</v>
      </c>
      <c r="I814" s="145">
        <f>'5.Tiên lượng'!X195</f>
        <v>1</v>
      </c>
      <c r="J814" s="139">
        <f>PRODUCT(G814,H814,I814)</f>
        <v>30999.068921274997</v>
      </c>
    </row>
    <row r="815" spans="1:10">
      <c r="A815" s="121"/>
      <c r="B815" s="122">
        <v>93</v>
      </c>
      <c r="C815" s="121" t="str">
        <f>'5.Tiên lượng'!C196</f>
        <v>AG.41610</v>
      </c>
      <c r="D815" s="121" t="str">
        <f>'5.Tiên lượng'!C196</f>
        <v>AG.41610</v>
      </c>
      <c r="E815" s="123" t="str">
        <f>'5.Tiên lượng'!D196</f>
        <v>Lắp đặt tấm bản mặt bằng cần cẩu</v>
      </c>
      <c r="F815" s="122" t="str">
        <f>'5.Tiên lượng'!E196</f>
        <v>1cấu kiện</v>
      </c>
      <c r="G815" s="124"/>
      <c r="H815" s="125"/>
      <c r="I815" s="141"/>
      <c r="J815" s="142">
        <f>J816+J818</f>
        <v>63168.780999999988</v>
      </c>
    </row>
    <row r="816" spans="1:10">
      <c r="A816" s="126"/>
      <c r="B816" s="127"/>
      <c r="C816" s="128" t="s">
        <v>590</v>
      </c>
      <c r="D816" s="128" t="s">
        <v>590</v>
      </c>
      <c r="E816" s="129" t="s">
        <v>265</v>
      </c>
      <c r="F816" s="127" t="s">
        <v>266</v>
      </c>
      <c r="G816" s="130"/>
      <c r="H816" s="131"/>
      <c r="I816" s="143"/>
      <c r="J816" s="131">
        <f>SUM(J817:J817)</f>
        <v>14814.48</v>
      </c>
    </row>
    <row r="817" spans="1:10">
      <c r="A817" s="67"/>
      <c r="B817" s="66"/>
      <c r="C817" s="132" t="s">
        <v>590</v>
      </c>
      <c r="D817" s="133" t="s">
        <v>605</v>
      </c>
      <c r="E817" s="102" t="str">
        <f>" - "&amp;'Giá NC'!E8</f>
        <v xml:space="preserve"> - Nhân công bậc 3,0/7 - Nhóm 2</v>
      </c>
      <c r="F817" s="66" t="str">
        <f>'Giá NC'!F8</f>
        <v>công</v>
      </c>
      <c r="G817" s="134">
        <f>PTVT!G817</f>
        <v>0.03</v>
      </c>
      <c r="H817" s="135">
        <f>'Giá NC'!K8</f>
        <v>246908</v>
      </c>
      <c r="I817" s="144">
        <f>'5.Tiên lượng'!W196</f>
        <v>2</v>
      </c>
      <c r="J817" s="135">
        <f>PRODUCT(G817,H817,I817)</f>
        <v>14814.48</v>
      </c>
    </row>
    <row r="818" spans="1:10">
      <c r="A818" s="126"/>
      <c r="B818" s="127"/>
      <c r="C818" s="128" t="s">
        <v>590</v>
      </c>
      <c r="D818" s="128" t="s">
        <v>590</v>
      </c>
      <c r="E818" s="129" t="s">
        <v>267</v>
      </c>
      <c r="F818" s="127" t="s">
        <v>268</v>
      </c>
      <c r="G818" s="130"/>
      <c r="H818" s="131"/>
      <c r="I818" s="143"/>
      <c r="J818" s="131">
        <f>SUM(J819:J819)</f>
        <v>48354.300999999992</v>
      </c>
    </row>
    <row r="819" spans="1:10">
      <c r="A819" s="104"/>
      <c r="B819" s="105"/>
      <c r="C819" s="136" t="s">
        <v>590</v>
      </c>
      <c r="D819" s="137" t="s">
        <v>665</v>
      </c>
      <c r="E819" s="106" t="str">
        <f>" - "&amp;'Giá Máy'!E6</f>
        <v xml:space="preserve"> - Cần cẩu bánh hơi 6T</v>
      </c>
      <c r="F819" s="105" t="str">
        <f>'Giá Máy'!F6</f>
        <v>ca</v>
      </c>
      <c r="G819" s="138">
        <f>PTVT!G819</f>
        <v>1.4999999999999999E-2</v>
      </c>
      <c r="H819" s="139">
        <f>'Giá Máy'!O6</f>
        <v>1611810.0333333332</v>
      </c>
      <c r="I819" s="145">
        <f>'5.Tiên lượng'!X196</f>
        <v>2</v>
      </c>
      <c r="J819" s="139">
        <f>PRODUCT(G819,H819,I819)</f>
        <v>48354.300999999992</v>
      </c>
    </row>
    <row r="820" spans="1:10">
      <c r="A820" s="121"/>
      <c r="B820" s="122">
        <v>94</v>
      </c>
      <c r="C820" s="121" t="str">
        <f>'5.Tiên lượng'!C197</f>
        <v>AF.14232</v>
      </c>
      <c r="D820" s="121" t="str">
        <f>'5.Tiên lượng'!C197</f>
        <v>AF.14232</v>
      </c>
      <c r="E820" s="123" t="str">
        <f>'5.Tiên lượng'!D197</f>
        <v>BTCT mũ mố, M200, đá 2x4, PCB40</v>
      </c>
      <c r="F820" s="122" t="str">
        <f>'5.Tiên lượng'!E197</f>
        <v>m3</v>
      </c>
      <c r="G820" s="124"/>
      <c r="H820" s="125"/>
      <c r="I820" s="141"/>
      <c r="J820" s="142">
        <f>J821+J827+J829</f>
        <v>1946738.3203404723</v>
      </c>
    </row>
    <row r="821" spans="1:10">
      <c r="A821" s="126"/>
      <c r="B821" s="127"/>
      <c r="C821" s="128" t="s">
        <v>590</v>
      </c>
      <c r="D821" s="128" t="s">
        <v>590</v>
      </c>
      <c r="E821" s="129" t="s">
        <v>262</v>
      </c>
      <c r="F821" s="127" t="s">
        <v>263</v>
      </c>
      <c r="G821" s="130"/>
      <c r="H821" s="131"/>
      <c r="I821" s="143"/>
      <c r="J821" s="131">
        <f>SUM(J822:J826)</f>
        <v>1100441.6140463396</v>
      </c>
    </row>
    <row r="822" spans="1:10">
      <c r="A822" s="67"/>
      <c r="B822" s="66"/>
      <c r="C822" s="132" t="s">
        <v>590</v>
      </c>
      <c r="D822" s="133" t="s">
        <v>614</v>
      </c>
      <c r="E822" s="102" t="str">
        <f>" - "&amp;'Giá VL'!E45</f>
        <v xml:space="preserve"> - Xi măng PCB40</v>
      </c>
      <c r="F822" s="66" t="str">
        <f>'Giá VL'!F45</f>
        <v>kg</v>
      </c>
      <c r="G822" s="134">
        <f>PTVT!G822</f>
        <v>250.1</v>
      </c>
      <c r="H822" s="135">
        <f>'Giá VL'!V45</f>
        <v>1730</v>
      </c>
      <c r="I822" s="144">
        <f>'5.Tiên lượng'!V197</f>
        <v>1</v>
      </c>
      <c r="J822" s="135">
        <f t="shared" ref="J822:J826" si="110">PRODUCT(G822,H822,I822)</f>
        <v>432673</v>
      </c>
    </row>
    <row r="823" spans="1:10">
      <c r="A823" s="67"/>
      <c r="B823" s="66"/>
      <c r="C823" s="132" t="s">
        <v>590</v>
      </c>
      <c r="D823" s="133" t="s">
        <v>615</v>
      </c>
      <c r="E823" s="102" t="str">
        <f>" - "&amp;'Giá VL'!E17</f>
        <v xml:space="preserve"> - Cát vàng</v>
      </c>
      <c r="F823" s="66" t="str">
        <f>'Giá VL'!F17</f>
        <v>m3</v>
      </c>
      <c r="G823" s="134">
        <f>PTVT!G823</f>
        <v>0.55349999999999999</v>
      </c>
      <c r="H823" s="135">
        <f>'Giá VL'!V17</f>
        <v>659026.49526849983</v>
      </c>
      <c r="I823" s="144">
        <f>'5.Tiên lượng'!V197</f>
        <v>1</v>
      </c>
      <c r="J823" s="135">
        <f t="shared" si="110"/>
        <v>364771.16513111466</v>
      </c>
    </row>
    <row r="824" spans="1:10">
      <c r="A824" s="67"/>
      <c r="B824" s="66"/>
      <c r="C824" s="132" t="s">
        <v>590</v>
      </c>
      <c r="D824" s="133" t="s">
        <v>616</v>
      </c>
      <c r="E824" s="102" t="str">
        <f>" - "&amp;'Giá VL'!E19</f>
        <v xml:space="preserve"> - Đá 2x4</v>
      </c>
      <c r="F824" s="66" t="str">
        <f>'Giá VL'!F19</f>
        <v>m3</v>
      </c>
      <c r="G824" s="134">
        <f>PTVT!G824</f>
        <v>0.89790000000000003</v>
      </c>
      <c r="H824" s="135">
        <f>'Giá VL'!V19</f>
        <v>310458.0547558713</v>
      </c>
      <c r="I824" s="144">
        <f>'5.Tiên lượng'!V197</f>
        <v>1</v>
      </c>
      <c r="J824" s="135">
        <f t="shared" si="110"/>
        <v>278760.28736529686</v>
      </c>
    </row>
    <row r="825" spans="1:10">
      <c r="A825" s="67"/>
      <c r="B825" s="66"/>
      <c r="C825" s="132" t="s">
        <v>590</v>
      </c>
      <c r="D825" s="133" t="s">
        <v>617</v>
      </c>
      <c r="E825" s="102" t="str">
        <f>" - "&amp;'Giá VL'!E33</f>
        <v xml:space="preserve"> - Nước</v>
      </c>
      <c r="F825" s="66" t="str">
        <f>'Giá VL'!F33</f>
        <v>lít</v>
      </c>
      <c r="G825" s="134">
        <f>PTVT!G825</f>
        <v>177.32499999999999</v>
      </c>
      <c r="H825" s="135">
        <f>'Giá VL'!V33</f>
        <v>15</v>
      </c>
      <c r="I825" s="144">
        <f>'5.Tiên lượng'!V197</f>
        <v>1</v>
      </c>
      <c r="J825" s="135">
        <f t="shared" si="110"/>
        <v>2659.875</v>
      </c>
    </row>
    <row r="826" spans="1:10">
      <c r="A826" s="67"/>
      <c r="B826" s="66"/>
      <c r="C826" s="132" t="s">
        <v>590</v>
      </c>
      <c r="D826" s="133" t="s">
        <v>620</v>
      </c>
      <c r="E826" s="102" t="s">
        <v>621</v>
      </c>
      <c r="F826" s="66" t="s">
        <v>37</v>
      </c>
      <c r="G826" s="134">
        <f>PTVT!G826</f>
        <v>2</v>
      </c>
      <c r="H826" s="135">
        <f>(G822*H822+G823*H823+G824*H824+G825*H825)/100</f>
        <v>10788.643274964115</v>
      </c>
      <c r="I826" s="144">
        <f>'5.Tiên lượng'!V197</f>
        <v>1</v>
      </c>
      <c r="J826" s="135">
        <f t="shared" si="110"/>
        <v>21577.286549928231</v>
      </c>
    </row>
    <row r="827" spans="1:10">
      <c r="A827" s="126"/>
      <c r="B827" s="127"/>
      <c r="C827" s="128" t="s">
        <v>590</v>
      </c>
      <c r="D827" s="128" t="s">
        <v>590</v>
      </c>
      <c r="E827" s="129" t="s">
        <v>265</v>
      </c>
      <c r="F827" s="127" t="s">
        <v>266</v>
      </c>
      <c r="G827" s="130"/>
      <c r="H827" s="131"/>
      <c r="I827" s="143"/>
      <c r="J827" s="131">
        <f>SUM(J828:J828)</f>
        <v>696600</v>
      </c>
    </row>
    <row r="828" spans="1:10">
      <c r="A828" s="67"/>
      <c r="B828" s="66"/>
      <c r="C828" s="132" t="s">
        <v>590</v>
      </c>
      <c r="D828" s="133" t="s">
        <v>622</v>
      </c>
      <c r="E828" s="102" t="str">
        <f>" - "&amp;'Giá NC'!E9</f>
        <v xml:space="preserve"> - Nhân công bậc 3,5/7 - Nhóm 2</v>
      </c>
      <c r="F828" s="66" t="str">
        <f>'Giá NC'!F9</f>
        <v>công</v>
      </c>
      <c r="G828" s="134">
        <f>PTVT!G828</f>
        <v>2.58</v>
      </c>
      <c r="H828" s="135">
        <f>'Giá NC'!K9</f>
        <v>270000</v>
      </c>
      <c r="I828" s="144">
        <f>'5.Tiên lượng'!W197</f>
        <v>1</v>
      </c>
      <c r="J828" s="135">
        <f>PRODUCT(G828,H828,I828)</f>
        <v>696600</v>
      </c>
    </row>
    <row r="829" spans="1:10">
      <c r="A829" s="126"/>
      <c r="B829" s="127"/>
      <c r="C829" s="128" t="s">
        <v>590</v>
      </c>
      <c r="D829" s="128" t="s">
        <v>590</v>
      </c>
      <c r="E829" s="129" t="s">
        <v>267</v>
      </c>
      <c r="F829" s="127" t="s">
        <v>268</v>
      </c>
      <c r="G829" s="130"/>
      <c r="H829" s="131"/>
      <c r="I829" s="143"/>
      <c r="J829" s="131">
        <f>SUM(J830:J833)</f>
        <v>149696.7062941326</v>
      </c>
    </row>
    <row r="830" spans="1:10">
      <c r="A830" s="67"/>
      <c r="B830" s="66"/>
      <c r="C830" s="132" t="s">
        <v>590</v>
      </c>
      <c r="D830" s="133" t="s">
        <v>623</v>
      </c>
      <c r="E830" s="102" t="str">
        <f>" - "&amp;'Giá Máy'!E27</f>
        <v xml:space="preserve"> - Máy trộn bê tông 250 lít</v>
      </c>
      <c r="F830" s="66" t="str">
        <f>'Giá Máy'!F27</f>
        <v>ca</v>
      </c>
      <c r="G830" s="134">
        <f>PTVT!G830</f>
        <v>9.5000000000000001E-2</v>
      </c>
      <c r="H830" s="135">
        <f>'Giá Máy'!O27</f>
        <v>326305.98864499998</v>
      </c>
      <c r="I830" s="144">
        <f>'5.Tiên lượng'!X197</f>
        <v>1</v>
      </c>
      <c r="J830" s="135">
        <f t="shared" ref="J830:J833" si="111">PRODUCT(G830,H830,I830)</f>
        <v>30999.068921274997</v>
      </c>
    </row>
    <row r="831" spans="1:10">
      <c r="A831" s="67"/>
      <c r="B831" s="66"/>
      <c r="C831" s="132" t="s">
        <v>590</v>
      </c>
      <c r="D831" s="133" t="s">
        <v>625</v>
      </c>
      <c r="E831" s="102" t="str">
        <f>" - "&amp;'Giá Máy'!E12</f>
        <v xml:space="preserve"> - Máy đầm dùi 1,5kW</v>
      </c>
      <c r="F831" s="66" t="str">
        <f>'Giá Máy'!F12</f>
        <v>ca</v>
      </c>
      <c r="G831" s="134">
        <f>PTVT!G831</f>
        <v>8.8999999999999996E-2</v>
      </c>
      <c r="H831" s="135">
        <f>'Giá Máy'!O12</f>
        <v>281279.30186500004</v>
      </c>
      <c r="I831" s="144">
        <f>'5.Tiên lượng'!X197</f>
        <v>1</v>
      </c>
      <c r="J831" s="135">
        <f t="shared" si="111"/>
        <v>25033.857865985003</v>
      </c>
    </row>
    <row r="832" spans="1:10">
      <c r="A832" s="67"/>
      <c r="B832" s="66"/>
      <c r="C832" s="132" t="s">
        <v>590</v>
      </c>
      <c r="D832" s="133" t="s">
        <v>660</v>
      </c>
      <c r="E832" s="102" t="str">
        <f>" - "&amp;'Giá Máy'!E7</f>
        <v xml:space="preserve"> - Cần cẩu bánh hơi 16T</v>
      </c>
      <c r="F832" s="66" t="str">
        <f>'Giá Máy'!F7</f>
        <v>ca</v>
      </c>
      <c r="G832" s="134">
        <f>PTVT!G832</f>
        <v>4.4999999999999998E-2</v>
      </c>
      <c r="H832" s="135">
        <f>'Giá Máy'!O7</f>
        <v>2048480.7533333334</v>
      </c>
      <c r="I832" s="144">
        <f>'5.Tiên lượng'!X197</f>
        <v>1</v>
      </c>
      <c r="J832" s="135">
        <f t="shared" si="111"/>
        <v>92181.633900000001</v>
      </c>
    </row>
    <row r="833" spans="1:10">
      <c r="A833" s="104"/>
      <c r="B833" s="105"/>
      <c r="C833" s="136" t="s">
        <v>590</v>
      </c>
      <c r="D833" s="137" t="s">
        <v>611</v>
      </c>
      <c r="E833" s="106" t="s">
        <v>612</v>
      </c>
      <c r="F833" s="105" t="s">
        <v>37</v>
      </c>
      <c r="G833" s="138">
        <f>PTVT!G833</f>
        <v>1</v>
      </c>
      <c r="H833" s="139">
        <f>(G830*H830+G831*H831+G832*H832)/100</f>
        <v>1482.1456068726</v>
      </c>
      <c r="I833" s="145">
        <f>'5.Tiên lượng'!X197</f>
        <v>1</v>
      </c>
      <c r="J833" s="139">
        <f t="shared" si="111"/>
        <v>1482.1456068726</v>
      </c>
    </row>
    <row r="834" spans="1:10">
      <c r="A834" s="121"/>
      <c r="B834" s="122">
        <v>95</v>
      </c>
      <c r="C834" s="121" t="str">
        <f>'5.Tiên lượng'!C198</f>
        <v>AG.13231</v>
      </c>
      <c r="D834" s="121" t="str">
        <f>'5.Tiên lượng'!C198</f>
        <v>AG.13231</v>
      </c>
      <c r="E834" s="123" t="str">
        <f>'5.Tiên lượng'!D198</f>
        <v>Cốt thép tấm bản mặt</v>
      </c>
      <c r="F834" s="122" t="str">
        <f>'5.Tiên lượng'!E198</f>
        <v>tấn</v>
      </c>
      <c r="G834" s="124"/>
      <c r="H834" s="125"/>
      <c r="I834" s="141"/>
      <c r="J834" s="142">
        <f>J835+J838+J840</f>
        <v>22762862.112314757</v>
      </c>
    </row>
    <row r="835" spans="1:10">
      <c r="A835" s="126"/>
      <c r="B835" s="127"/>
      <c r="C835" s="128" t="s">
        <v>590</v>
      </c>
      <c r="D835" s="128" t="s">
        <v>590</v>
      </c>
      <c r="E835" s="129" t="s">
        <v>262</v>
      </c>
      <c r="F835" s="127" t="s">
        <v>263</v>
      </c>
      <c r="G835" s="130"/>
      <c r="H835" s="131"/>
      <c r="I835" s="143"/>
      <c r="J835" s="131">
        <f>SUM(J836:J837)</f>
        <v>18260848.267546091</v>
      </c>
    </row>
    <row r="836" spans="1:10">
      <c r="A836" s="67"/>
      <c r="B836" s="66"/>
      <c r="C836" s="132" t="s">
        <v>590</v>
      </c>
      <c r="D836" s="133" t="s">
        <v>666</v>
      </c>
      <c r="E836" s="102" t="str">
        <f>" - "&amp;'Giá VL'!E42</f>
        <v xml:space="preserve"> - Thép tròn</v>
      </c>
      <c r="F836" s="66" t="str">
        <f>'Giá VL'!F42</f>
        <v>kg</v>
      </c>
      <c r="G836" s="134">
        <f>PTVT!G836</f>
        <v>1020</v>
      </c>
      <c r="H836" s="135">
        <f>'Giá VL'!V42</f>
        <v>17587.694379947148</v>
      </c>
      <c r="I836" s="144">
        <f>'5.Tiên lượng'!V198</f>
        <v>1</v>
      </c>
      <c r="J836" s="135">
        <f t="shared" ref="J836:J837" si="112">PRODUCT(G836,H836,I836)</f>
        <v>17939448.267546091</v>
      </c>
    </row>
    <row r="837" spans="1:10">
      <c r="A837" s="67"/>
      <c r="B837" s="66"/>
      <c r="C837" s="132" t="s">
        <v>590</v>
      </c>
      <c r="D837" s="133" t="s">
        <v>662</v>
      </c>
      <c r="E837" s="102" t="str">
        <f>" - "&amp;'Giá VL'!E23</f>
        <v xml:space="preserve"> - Dây thép</v>
      </c>
      <c r="F837" s="66" t="str">
        <f>'Giá VL'!F23</f>
        <v>kg</v>
      </c>
      <c r="G837" s="134">
        <f>PTVT!G837</f>
        <v>16.07</v>
      </c>
      <c r="H837" s="135">
        <f>'Giá VL'!V23</f>
        <v>20000</v>
      </c>
      <c r="I837" s="144">
        <f>'5.Tiên lượng'!V198</f>
        <v>1</v>
      </c>
      <c r="J837" s="135">
        <f t="shared" si="112"/>
        <v>321400</v>
      </c>
    </row>
    <row r="838" spans="1:10">
      <c r="A838" s="126"/>
      <c r="B838" s="127"/>
      <c r="C838" s="128" t="s">
        <v>590</v>
      </c>
      <c r="D838" s="128" t="s">
        <v>590</v>
      </c>
      <c r="E838" s="129" t="s">
        <v>265</v>
      </c>
      <c r="F838" s="127" t="s">
        <v>266</v>
      </c>
      <c r="G838" s="130"/>
      <c r="H838" s="131"/>
      <c r="I838" s="143"/>
      <c r="J838" s="131">
        <f>SUM(J839:J839)</f>
        <v>4387500</v>
      </c>
    </row>
    <row r="839" spans="1:10">
      <c r="A839" s="67"/>
      <c r="B839" s="66"/>
      <c r="C839" s="132" t="s">
        <v>590</v>
      </c>
      <c r="D839" s="133" t="s">
        <v>622</v>
      </c>
      <c r="E839" s="102" t="str">
        <f>" - "&amp;'Giá NC'!E9</f>
        <v xml:space="preserve"> - Nhân công bậc 3,5/7 - Nhóm 2</v>
      </c>
      <c r="F839" s="66" t="str">
        <f>'Giá NC'!F9</f>
        <v>công</v>
      </c>
      <c r="G839" s="134">
        <f>PTVT!G839</f>
        <v>16.25</v>
      </c>
      <c r="H839" s="135">
        <f>'Giá NC'!K9</f>
        <v>270000</v>
      </c>
      <c r="I839" s="144">
        <f>'5.Tiên lượng'!W198</f>
        <v>1</v>
      </c>
      <c r="J839" s="135">
        <f>PRODUCT(G839,H839,I839)</f>
        <v>4387500</v>
      </c>
    </row>
    <row r="840" spans="1:10">
      <c r="A840" s="126"/>
      <c r="B840" s="127"/>
      <c r="C840" s="128" t="s">
        <v>590</v>
      </c>
      <c r="D840" s="128" t="s">
        <v>590</v>
      </c>
      <c r="E840" s="129" t="s">
        <v>267</v>
      </c>
      <c r="F840" s="127" t="s">
        <v>268</v>
      </c>
      <c r="G840" s="130"/>
      <c r="H840" s="131"/>
      <c r="I840" s="143"/>
      <c r="J840" s="131">
        <f>SUM(J841:J841)</f>
        <v>114513.84476866666</v>
      </c>
    </row>
    <row r="841" spans="1:10">
      <c r="A841" s="104"/>
      <c r="B841" s="105"/>
      <c r="C841" s="136" t="s">
        <v>590</v>
      </c>
      <c r="D841" s="137" t="s">
        <v>633</v>
      </c>
      <c r="E841" s="106" t="str">
        <f>" - "&amp;'Giá Máy'!E9</f>
        <v xml:space="preserve"> - Máy cắt uốn cốt thép 5kW</v>
      </c>
      <c r="F841" s="105" t="str">
        <f>'Giá Máy'!F9</f>
        <v>ca</v>
      </c>
      <c r="G841" s="138">
        <f>PTVT!G841</f>
        <v>0.4</v>
      </c>
      <c r="H841" s="139">
        <f>'Giá Máy'!O9</f>
        <v>286284.61192166666</v>
      </c>
      <c r="I841" s="145">
        <f>'5.Tiên lượng'!X198</f>
        <v>1</v>
      </c>
      <c r="J841" s="139">
        <f>PRODUCT(G841,H841,I841)</f>
        <v>114513.84476866666</v>
      </c>
    </row>
    <row r="842" spans="1:10">
      <c r="A842" s="121"/>
      <c r="B842" s="122">
        <v>96</v>
      </c>
      <c r="C842" s="121" t="str">
        <f>'5.Tiên lượng'!C200</f>
        <v>AG.32511</v>
      </c>
      <c r="D842" s="121" t="str">
        <f>'5.Tiên lượng'!C200</f>
        <v>AG.32511</v>
      </c>
      <c r="E842" s="123" t="str">
        <f>'5.Tiên lượng'!D200</f>
        <v>Ván khuôn thép tấm bản</v>
      </c>
      <c r="F842" s="122" t="str">
        <f>'5.Tiên lượng'!E200</f>
        <v>100m2</v>
      </c>
      <c r="G842" s="124"/>
      <c r="H842" s="125"/>
      <c r="I842" s="141"/>
      <c r="J842" s="142">
        <f>J843+J848+J850</f>
        <v>7612298.657053493</v>
      </c>
    </row>
    <row r="843" spans="1:10">
      <c r="A843" s="126"/>
      <c r="B843" s="127"/>
      <c r="C843" s="128" t="s">
        <v>590</v>
      </c>
      <c r="D843" s="128" t="s">
        <v>590</v>
      </c>
      <c r="E843" s="129" t="s">
        <v>262</v>
      </c>
      <c r="F843" s="127" t="s">
        <v>263</v>
      </c>
      <c r="G843" s="130"/>
      <c r="H843" s="131"/>
      <c r="I843" s="143"/>
      <c r="J843" s="131">
        <f>SUM(J844:J847)</f>
        <v>705646.47372225288</v>
      </c>
    </row>
    <row r="844" spans="1:10">
      <c r="A844" s="67"/>
      <c r="B844" s="66"/>
      <c r="C844" s="132" t="s">
        <v>590</v>
      </c>
      <c r="D844" s="133" t="s">
        <v>663</v>
      </c>
      <c r="E844" s="102" t="str">
        <f>" - "&amp;'Giá VL'!E41</f>
        <v xml:space="preserve"> - Thép tấm</v>
      </c>
      <c r="F844" s="66" t="str">
        <f>'Giá VL'!F41</f>
        <v>kg</v>
      </c>
      <c r="G844" s="134">
        <f>PTVT!G844</f>
        <v>23.03</v>
      </c>
      <c r="H844" s="135">
        <f>'Giá VL'!V41</f>
        <v>17587.694379947148</v>
      </c>
      <c r="I844" s="144">
        <f>'5.Tiên lượng'!V200</f>
        <v>1</v>
      </c>
      <c r="J844" s="135">
        <f t="shared" ref="J844:J847" si="113">PRODUCT(G844,H844,I844)</f>
        <v>405044.60157018283</v>
      </c>
    </row>
    <row r="845" spans="1:10">
      <c r="A845" s="67"/>
      <c r="B845" s="66"/>
      <c r="C845" s="132" t="s">
        <v>590</v>
      </c>
      <c r="D845" s="133" t="s">
        <v>664</v>
      </c>
      <c r="E845" s="102" t="str">
        <f>" - "&amp;'Giá VL'!E39</f>
        <v xml:space="preserve"> - Thép hình</v>
      </c>
      <c r="F845" s="66" t="str">
        <f>'Giá VL'!F39</f>
        <v>kg</v>
      </c>
      <c r="G845" s="134">
        <f>PTVT!G845</f>
        <v>13.68</v>
      </c>
      <c r="H845" s="135">
        <f>'Giá VL'!V39</f>
        <v>17587.694379947148</v>
      </c>
      <c r="I845" s="144">
        <f>'5.Tiên lượng'!V200</f>
        <v>1</v>
      </c>
      <c r="J845" s="135">
        <f t="shared" si="113"/>
        <v>240599.65911767699</v>
      </c>
    </row>
    <row r="846" spans="1:10">
      <c r="A846" s="67"/>
      <c r="B846" s="66"/>
      <c r="C846" s="132" t="s">
        <v>590</v>
      </c>
      <c r="D846" s="133" t="s">
        <v>628</v>
      </c>
      <c r="E846" s="102" t="str">
        <f>" - "&amp;'Giá VL'!E37</f>
        <v xml:space="preserve"> - Que hàn</v>
      </c>
      <c r="F846" s="66" t="str">
        <f>'Giá VL'!F37</f>
        <v>kg</v>
      </c>
      <c r="G846" s="134">
        <f>PTVT!G846</f>
        <v>1.2</v>
      </c>
      <c r="H846" s="135">
        <f>'Giá VL'!V37</f>
        <v>22000</v>
      </c>
      <c r="I846" s="144">
        <f>'5.Tiên lượng'!V200</f>
        <v>1</v>
      </c>
      <c r="J846" s="135">
        <f t="shared" si="113"/>
        <v>26400</v>
      </c>
    </row>
    <row r="847" spans="1:10">
      <c r="A847" s="67"/>
      <c r="B847" s="66"/>
      <c r="C847" s="132" t="s">
        <v>590</v>
      </c>
      <c r="D847" s="133" t="s">
        <v>620</v>
      </c>
      <c r="E847" s="102" t="s">
        <v>621</v>
      </c>
      <c r="F847" s="66" t="s">
        <v>37</v>
      </c>
      <c r="G847" s="134">
        <f>PTVT!G847</f>
        <v>5</v>
      </c>
      <c r="H847" s="135">
        <f>(G844*H844+G845*H845+G846*H846)/100</f>
        <v>6720.4426068785988</v>
      </c>
      <c r="I847" s="144">
        <f>'5.Tiên lượng'!V200</f>
        <v>1</v>
      </c>
      <c r="J847" s="135">
        <f t="shared" si="113"/>
        <v>33602.213034392997</v>
      </c>
    </row>
    <row r="848" spans="1:10">
      <c r="A848" s="126"/>
      <c r="B848" s="127"/>
      <c r="C848" s="128" t="s">
        <v>590</v>
      </c>
      <c r="D848" s="128" t="s">
        <v>590</v>
      </c>
      <c r="E848" s="129" t="s">
        <v>265</v>
      </c>
      <c r="F848" s="127" t="s">
        <v>266</v>
      </c>
      <c r="G848" s="130"/>
      <c r="H848" s="131"/>
      <c r="I848" s="143"/>
      <c r="J848" s="131">
        <f>SUM(J849:J849)</f>
        <v>6758701.5199999996</v>
      </c>
    </row>
    <row r="849" spans="1:10">
      <c r="A849" s="67"/>
      <c r="B849" s="66"/>
      <c r="C849" s="132" t="s">
        <v>590</v>
      </c>
      <c r="D849" s="133" t="s">
        <v>629</v>
      </c>
      <c r="E849" s="102" t="str">
        <f>" - "&amp;'Giá NC'!E10</f>
        <v xml:space="preserve"> - Nhân công bậc 4,0/7 - Nhóm 2</v>
      </c>
      <c r="F849" s="66" t="str">
        <f>'Giá NC'!F10</f>
        <v>công</v>
      </c>
      <c r="G849" s="134">
        <f>PTVT!G849</f>
        <v>23.06</v>
      </c>
      <c r="H849" s="135">
        <f>'Giá NC'!K10</f>
        <v>293092</v>
      </c>
      <c r="I849" s="144">
        <f>'5.Tiên lượng'!W200</f>
        <v>1</v>
      </c>
      <c r="J849" s="135">
        <f>PRODUCT(G849,H849,I849)</f>
        <v>6758701.5199999996</v>
      </c>
    </row>
    <row r="850" spans="1:10">
      <c r="A850" s="126"/>
      <c r="B850" s="127"/>
      <c r="C850" s="128" t="s">
        <v>590</v>
      </c>
      <c r="D850" s="128" t="s">
        <v>590</v>
      </c>
      <c r="E850" s="129" t="s">
        <v>267</v>
      </c>
      <c r="F850" s="127" t="s">
        <v>268</v>
      </c>
      <c r="G850" s="130"/>
      <c r="H850" s="131"/>
      <c r="I850" s="143"/>
      <c r="J850" s="131">
        <f>SUM(J851:J852)</f>
        <v>147950.66333124001</v>
      </c>
    </row>
    <row r="851" spans="1:10">
      <c r="A851" s="67"/>
      <c r="B851" s="66"/>
      <c r="C851" s="132" t="s">
        <v>590</v>
      </c>
      <c r="D851" s="133" t="s">
        <v>630</v>
      </c>
      <c r="E851" s="102" t="str">
        <f>" - "&amp;'Giá Máy'!E16</f>
        <v xml:space="preserve"> - Máy hàn điện 23kW</v>
      </c>
      <c r="F851" s="66" t="str">
        <f>'Giá Máy'!F16</f>
        <v>ca</v>
      </c>
      <c r="G851" s="134">
        <f>PTVT!G851</f>
        <v>0.33</v>
      </c>
      <c r="H851" s="135">
        <f>'Giá Máy'!O16</f>
        <v>426986.04135999997</v>
      </c>
      <c r="I851" s="144">
        <f>'5.Tiên lượng'!X200</f>
        <v>1</v>
      </c>
      <c r="J851" s="135">
        <f t="shared" ref="J851:J852" si="114">PRODUCT(G851,H851,I851)</f>
        <v>140905.3936488</v>
      </c>
    </row>
    <row r="852" spans="1:10">
      <c r="A852" s="104"/>
      <c r="B852" s="105"/>
      <c r="C852" s="136" t="s">
        <v>590</v>
      </c>
      <c r="D852" s="137" t="s">
        <v>611</v>
      </c>
      <c r="E852" s="106" t="s">
        <v>612</v>
      </c>
      <c r="F852" s="105" t="s">
        <v>37</v>
      </c>
      <c r="G852" s="138">
        <f>PTVT!G852</f>
        <v>5</v>
      </c>
      <c r="H852" s="139">
        <f>(G851*H851)/100</f>
        <v>1409.0539364880001</v>
      </c>
      <c r="I852" s="145">
        <f>'5.Tiên lượng'!X200</f>
        <v>1</v>
      </c>
      <c r="J852" s="139">
        <f t="shared" si="114"/>
        <v>7045.2696824400009</v>
      </c>
    </row>
    <row r="853" spans="1:10">
      <c r="A853" s="121"/>
      <c r="B853" s="122">
        <v>97</v>
      </c>
      <c r="C853" s="121" t="str">
        <f>'5.Tiên lượng'!C202</f>
        <v>AF.82511</v>
      </c>
      <c r="D853" s="121" t="str">
        <f>'5.Tiên lượng'!C202</f>
        <v>AF.82511</v>
      </c>
      <c r="E853" s="123" t="str">
        <f>'5.Tiên lượng'!D202</f>
        <v>Ván khuôn thép cống</v>
      </c>
      <c r="F853" s="122" t="str">
        <f>'5.Tiên lượng'!E202</f>
        <v>100m2</v>
      </c>
      <c r="G853" s="124"/>
      <c r="H853" s="125"/>
      <c r="I853" s="141"/>
      <c r="J853" s="142">
        <f>J854+J859+J861</f>
        <v>5570909.3658580221</v>
      </c>
    </row>
    <row r="854" spans="1:10">
      <c r="A854" s="126"/>
      <c r="B854" s="127"/>
      <c r="C854" s="128" t="s">
        <v>590</v>
      </c>
      <c r="D854" s="128" t="s">
        <v>590</v>
      </c>
      <c r="E854" s="129" t="s">
        <v>262</v>
      </c>
      <c r="F854" s="127" t="s">
        <v>263</v>
      </c>
      <c r="G854" s="130"/>
      <c r="H854" s="131"/>
      <c r="I854" s="143"/>
      <c r="J854" s="131">
        <f>SUM(J855:J858)</f>
        <v>1623401.2408645179</v>
      </c>
    </row>
    <row r="855" spans="1:10">
      <c r="A855" s="67"/>
      <c r="B855" s="66"/>
      <c r="C855" s="132" t="s">
        <v>590</v>
      </c>
      <c r="D855" s="133" t="s">
        <v>663</v>
      </c>
      <c r="E855" s="102" t="str">
        <f>" - "&amp;'Giá VL'!E41</f>
        <v xml:space="preserve"> - Thép tấm</v>
      </c>
      <c r="F855" s="66" t="str">
        <f>'Giá VL'!F41</f>
        <v>kg</v>
      </c>
      <c r="G855" s="134">
        <f>PTVT!G855</f>
        <v>51.81</v>
      </c>
      <c r="H855" s="135">
        <f>'Giá VL'!V41</f>
        <v>17587.694379947148</v>
      </c>
      <c r="I855" s="144">
        <f>'5.Tiên lượng'!V202</f>
        <v>1</v>
      </c>
      <c r="J855" s="135">
        <f t="shared" ref="J855:J858" si="115">PRODUCT(G855,H855,I855)</f>
        <v>911218.44582506176</v>
      </c>
    </row>
    <row r="856" spans="1:10">
      <c r="A856" s="67"/>
      <c r="B856" s="66"/>
      <c r="C856" s="132" t="s">
        <v>590</v>
      </c>
      <c r="D856" s="133" t="s">
        <v>664</v>
      </c>
      <c r="E856" s="102" t="str">
        <f>" - "&amp;'Giá VL'!E39</f>
        <v xml:space="preserve"> - Thép hình</v>
      </c>
      <c r="F856" s="66" t="str">
        <f>'Giá VL'!F39</f>
        <v>kg</v>
      </c>
      <c r="G856" s="134">
        <f>PTVT!G856</f>
        <v>32.020000000000003</v>
      </c>
      <c r="H856" s="135">
        <f>'Giá VL'!V39</f>
        <v>17587.694379947148</v>
      </c>
      <c r="I856" s="144">
        <f>'5.Tiên lượng'!V202</f>
        <v>1</v>
      </c>
      <c r="J856" s="135">
        <f t="shared" si="115"/>
        <v>563157.97404590773</v>
      </c>
    </row>
    <row r="857" spans="1:10">
      <c r="A857" s="67"/>
      <c r="B857" s="66"/>
      <c r="C857" s="132" t="s">
        <v>590</v>
      </c>
      <c r="D857" s="133" t="s">
        <v>628</v>
      </c>
      <c r="E857" s="102" t="str">
        <f>" - "&amp;'Giá VL'!E37</f>
        <v xml:space="preserve"> - Que hàn</v>
      </c>
      <c r="F857" s="66" t="str">
        <f>'Giá VL'!F37</f>
        <v>kg</v>
      </c>
      <c r="G857" s="134">
        <f>PTVT!G857</f>
        <v>3.26</v>
      </c>
      <c r="H857" s="135">
        <f>'Giá VL'!V37</f>
        <v>22000</v>
      </c>
      <c r="I857" s="144">
        <f>'5.Tiên lượng'!V202</f>
        <v>1</v>
      </c>
      <c r="J857" s="135">
        <f t="shared" si="115"/>
        <v>71720</v>
      </c>
    </row>
    <row r="858" spans="1:10">
      <c r="A858" s="67"/>
      <c r="B858" s="66"/>
      <c r="C858" s="132" t="s">
        <v>590</v>
      </c>
      <c r="D858" s="133" t="s">
        <v>620</v>
      </c>
      <c r="E858" s="102" t="s">
        <v>621</v>
      </c>
      <c r="F858" s="66" t="s">
        <v>37</v>
      </c>
      <c r="G858" s="134">
        <f>PTVT!G858</f>
        <v>5</v>
      </c>
      <c r="H858" s="135">
        <f>(G855*H855+G856*H856+G857*H857)/100</f>
        <v>15460.964198709693</v>
      </c>
      <c r="I858" s="144">
        <f>'5.Tiên lượng'!V202</f>
        <v>1</v>
      </c>
      <c r="J858" s="135">
        <f t="shared" si="115"/>
        <v>77304.820993548463</v>
      </c>
    </row>
    <row r="859" spans="1:10">
      <c r="A859" s="126"/>
      <c r="B859" s="127"/>
      <c r="C859" s="128" t="s">
        <v>590</v>
      </c>
      <c r="D859" s="128" t="s">
        <v>590</v>
      </c>
      <c r="E859" s="129" t="s">
        <v>265</v>
      </c>
      <c r="F859" s="127" t="s">
        <v>266</v>
      </c>
      <c r="G859" s="130"/>
      <c r="H859" s="131"/>
      <c r="I859" s="143"/>
      <c r="J859" s="131">
        <f>SUM(J860:J860)</f>
        <v>3590377</v>
      </c>
    </row>
    <row r="860" spans="1:10">
      <c r="A860" s="67"/>
      <c r="B860" s="66"/>
      <c r="C860" s="132" t="s">
        <v>590</v>
      </c>
      <c r="D860" s="133" t="s">
        <v>629</v>
      </c>
      <c r="E860" s="102" t="str">
        <f>" - "&amp;'Giá NC'!E10</f>
        <v xml:space="preserve"> - Nhân công bậc 4,0/7 - Nhóm 2</v>
      </c>
      <c r="F860" s="66" t="str">
        <f>'Giá NC'!F10</f>
        <v>công</v>
      </c>
      <c r="G860" s="134">
        <f>PTVT!G860</f>
        <v>12.25</v>
      </c>
      <c r="H860" s="135">
        <f>'Giá NC'!K10</f>
        <v>293092</v>
      </c>
      <c r="I860" s="144">
        <f>'5.Tiên lượng'!W202</f>
        <v>1</v>
      </c>
      <c r="J860" s="135">
        <f>PRODUCT(G860,H860,I860)</f>
        <v>3590377</v>
      </c>
    </row>
    <row r="861" spans="1:10">
      <c r="A861" s="126"/>
      <c r="B861" s="127"/>
      <c r="C861" s="128" t="s">
        <v>590</v>
      </c>
      <c r="D861" s="128" t="s">
        <v>590</v>
      </c>
      <c r="E861" s="129" t="s">
        <v>267</v>
      </c>
      <c r="F861" s="127" t="s">
        <v>268</v>
      </c>
      <c r="G861" s="130"/>
      <c r="H861" s="131"/>
      <c r="I861" s="143"/>
      <c r="J861" s="131">
        <f>SUM(J862:J863)</f>
        <v>357131.12499350397</v>
      </c>
    </row>
    <row r="862" spans="1:10">
      <c r="A862" s="67"/>
      <c r="B862" s="66"/>
      <c r="C862" s="132" t="s">
        <v>590</v>
      </c>
      <c r="D862" s="133" t="s">
        <v>630</v>
      </c>
      <c r="E862" s="102" t="str">
        <f>" - "&amp;'Giá Máy'!E16</f>
        <v xml:space="preserve"> - Máy hàn điện 23kW</v>
      </c>
      <c r="F862" s="66" t="str">
        <f>'Giá Máy'!F16</f>
        <v>ca</v>
      </c>
      <c r="G862" s="134">
        <f>PTVT!G862</f>
        <v>0.82</v>
      </c>
      <c r="H862" s="135">
        <f>'Giá Máy'!O16</f>
        <v>426986.04135999997</v>
      </c>
      <c r="I862" s="144">
        <f>'5.Tiên lượng'!X202</f>
        <v>1</v>
      </c>
      <c r="J862" s="135">
        <f t="shared" ref="J862:J863" si="116">PRODUCT(G862,H862,I862)</f>
        <v>350128.55391519994</v>
      </c>
    </row>
    <row r="863" spans="1:10">
      <c r="A863" s="104"/>
      <c r="B863" s="105"/>
      <c r="C863" s="136" t="s">
        <v>590</v>
      </c>
      <c r="D863" s="137" t="s">
        <v>611</v>
      </c>
      <c r="E863" s="106" t="s">
        <v>612</v>
      </c>
      <c r="F863" s="105" t="s">
        <v>37</v>
      </c>
      <c r="G863" s="138">
        <f>PTVT!G863</f>
        <v>2</v>
      </c>
      <c r="H863" s="139">
        <f>(G862*H862)/100</f>
        <v>3501.2855391519993</v>
      </c>
      <c r="I863" s="145">
        <f>'5.Tiên lượng'!X202</f>
        <v>1</v>
      </c>
      <c r="J863" s="139">
        <f t="shared" si="116"/>
        <v>7002.5710783039985</v>
      </c>
    </row>
    <row r="864" spans="1:10">
      <c r="A864" s="121"/>
      <c r="B864" s="122">
        <v>98</v>
      </c>
      <c r="C864" s="121" t="str">
        <f>'5.Tiên lượng'!C204</f>
        <v>AG.41610</v>
      </c>
      <c r="D864" s="121" t="str">
        <f>'5.Tiên lượng'!C204</f>
        <v>AG.41610</v>
      </c>
      <c r="E864" s="123" t="str">
        <f>'5.Tiên lượng'!D204</f>
        <v>Tháo dỡ tấm bản mặt cầu cũ bằng cần cẩu</v>
      </c>
      <c r="F864" s="122" t="str">
        <f>'5.Tiên lượng'!E204</f>
        <v>1cấu kiện</v>
      </c>
      <c r="G864" s="124"/>
      <c r="H864" s="125"/>
      <c r="I864" s="141"/>
      <c r="J864" s="142">
        <f>J865+J867</f>
        <v>18950.634299999998</v>
      </c>
    </row>
    <row r="865" spans="1:10">
      <c r="A865" s="126"/>
      <c r="B865" s="127"/>
      <c r="C865" s="128" t="s">
        <v>590</v>
      </c>
      <c r="D865" s="128" t="s">
        <v>590</v>
      </c>
      <c r="E865" s="129" t="s">
        <v>265</v>
      </c>
      <c r="F865" s="127" t="s">
        <v>266</v>
      </c>
      <c r="G865" s="130"/>
      <c r="H865" s="131"/>
      <c r="I865" s="143"/>
      <c r="J865" s="131">
        <f>SUM(J866:J866)</f>
        <v>4444.3440000000001</v>
      </c>
    </row>
    <row r="866" spans="1:10">
      <c r="A866" s="67"/>
      <c r="B866" s="66"/>
      <c r="C866" s="132" t="s">
        <v>590</v>
      </c>
      <c r="D866" s="133" t="s">
        <v>605</v>
      </c>
      <c r="E866" s="102" t="str">
        <f>" - "&amp;'Giá NC'!E8</f>
        <v xml:space="preserve"> - Nhân công bậc 3,0/7 - Nhóm 2</v>
      </c>
      <c r="F866" s="66" t="str">
        <f>'Giá NC'!F8</f>
        <v>công</v>
      </c>
      <c r="G866" s="134">
        <f>PTVT!G866</f>
        <v>0.03</v>
      </c>
      <c r="H866" s="135">
        <f>'Giá NC'!K8</f>
        <v>246908</v>
      </c>
      <c r="I866" s="144">
        <f>'5.Tiên lượng'!W204</f>
        <v>0.6</v>
      </c>
      <c r="J866" s="135">
        <f>PRODUCT(G866,H866,I866)</f>
        <v>4444.3440000000001</v>
      </c>
    </row>
    <row r="867" spans="1:10">
      <c r="A867" s="126"/>
      <c r="B867" s="127"/>
      <c r="C867" s="128" t="s">
        <v>590</v>
      </c>
      <c r="D867" s="128" t="s">
        <v>590</v>
      </c>
      <c r="E867" s="129" t="s">
        <v>267</v>
      </c>
      <c r="F867" s="127" t="s">
        <v>268</v>
      </c>
      <c r="G867" s="130"/>
      <c r="H867" s="131"/>
      <c r="I867" s="143"/>
      <c r="J867" s="131">
        <f>SUM(J868:J868)</f>
        <v>14506.290299999997</v>
      </c>
    </row>
    <row r="868" spans="1:10">
      <c r="A868" s="104"/>
      <c r="B868" s="105"/>
      <c r="C868" s="136" t="s">
        <v>590</v>
      </c>
      <c r="D868" s="137" t="s">
        <v>665</v>
      </c>
      <c r="E868" s="106" t="str">
        <f>" - "&amp;'Giá Máy'!E6</f>
        <v xml:space="preserve"> - Cần cẩu bánh hơi 6T</v>
      </c>
      <c r="F868" s="105" t="str">
        <f>'Giá Máy'!F6</f>
        <v>ca</v>
      </c>
      <c r="G868" s="138">
        <f>PTVT!G868</f>
        <v>1.4999999999999999E-2</v>
      </c>
      <c r="H868" s="139">
        <f>'Giá Máy'!O6</f>
        <v>1611810.0333333332</v>
      </c>
      <c r="I868" s="145">
        <f>'5.Tiên lượng'!X204</f>
        <v>0.6</v>
      </c>
      <c r="J868" s="139">
        <f>PRODUCT(G868,H868,I868)</f>
        <v>14506.290299999997</v>
      </c>
    </row>
    <row r="869" spans="1:10">
      <c r="A869" s="121"/>
      <c r="B869" s="122">
        <v>99</v>
      </c>
      <c r="C869" s="121" t="str">
        <f>'5.Tiên lượng'!C205</f>
        <v>BB.11211VD</v>
      </c>
      <c r="D869" s="121" t="str">
        <f>'5.Tiên lượng'!C205</f>
        <v>BB.11211VD</v>
      </c>
      <c r="E869" s="123" t="str">
        <f>'5.Tiên lượng'!D205</f>
        <v>Tháo dỡ ống bê tông bằng cần cẩu, đoạn ống dài 1m - Đường kính 400mm</v>
      </c>
      <c r="F869" s="122" t="str">
        <f>'5.Tiên lượng'!E205</f>
        <v>1 đoạn ống</v>
      </c>
      <c r="G869" s="124"/>
      <c r="H869" s="125"/>
      <c r="I869" s="141"/>
      <c r="J869" s="142">
        <f>J870+J872</f>
        <v>132818.81979499999</v>
      </c>
    </row>
    <row r="870" spans="1:10">
      <c r="A870" s="126"/>
      <c r="B870" s="127"/>
      <c r="C870" s="128" t="s">
        <v>590</v>
      </c>
      <c r="D870" s="128" t="s">
        <v>590</v>
      </c>
      <c r="E870" s="129" t="s">
        <v>265</v>
      </c>
      <c r="F870" s="127" t="s">
        <v>266</v>
      </c>
      <c r="G870" s="130"/>
      <c r="H870" s="131"/>
      <c r="I870" s="143"/>
      <c r="J870" s="131">
        <f>SUM(J871:J871)</f>
        <v>70200</v>
      </c>
    </row>
    <row r="871" spans="1:10">
      <c r="A871" s="67"/>
      <c r="B871" s="66"/>
      <c r="C871" s="132" t="s">
        <v>590</v>
      </c>
      <c r="D871" s="133" t="s">
        <v>622</v>
      </c>
      <c r="E871" s="102" t="str">
        <f>" - "&amp;'Giá NC'!E9</f>
        <v xml:space="preserve"> - Nhân công bậc 3,5/7 - Nhóm 2</v>
      </c>
      <c r="F871" s="66" t="str">
        <f>'Giá NC'!F9</f>
        <v>công</v>
      </c>
      <c r="G871" s="134">
        <f>PTVT!G871</f>
        <v>0.26</v>
      </c>
      <c r="H871" s="135">
        <f>'Giá NC'!K9</f>
        <v>270000</v>
      </c>
      <c r="I871" s="144">
        <f>'5.Tiên lượng'!W205</f>
        <v>1</v>
      </c>
      <c r="J871" s="135">
        <f>PRODUCT(G871,H871,I871)</f>
        <v>70200</v>
      </c>
    </row>
    <row r="872" spans="1:10">
      <c r="A872" s="126"/>
      <c r="B872" s="127"/>
      <c r="C872" s="128" t="s">
        <v>590</v>
      </c>
      <c r="D872" s="128" t="s">
        <v>590</v>
      </c>
      <c r="E872" s="129" t="s">
        <v>267</v>
      </c>
      <c r="F872" s="127" t="s">
        <v>268</v>
      </c>
      <c r="G872" s="130"/>
      <c r="H872" s="131"/>
      <c r="I872" s="143"/>
      <c r="J872" s="131">
        <f>SUM(J873:J874)</f>
        <v>62618.819794999989</v>
      </c>
    </row>
    <row r="873" spans="1:10">
      <c r="A873" s="67"/>
      <c r="B873" s="66"/>
      <c r="C873" s="132" t="s">
        <v>590</v>
      </c>
      <c r="D873" s="133" t="s">
        <v>665</v>
      </c>
      <c r="E873" s="102" t="str">
        <f>" - "&amp;'Giá Máy'!E6</f>
        <v xml:space="preserve"> - Cần cẩu bánh hơi 6T</v>
      </c>
      <c r="F873" s="66" t="str">
        <f>'Giá Máy'!F6</f>
        <v>ca</v>
      </c>
      <c r="G873" s="134">
        <f>PTVT!G873</f>
        <v>3.6999999999999998E-2</v>
      </c>
      <c r="H873" s="135">
        <f>'Giá Máy'!O6</f>
        <v>1611810.0333333332</v>
      </c>
      <c r="I873" s="144">
        <f>'5.Tiên lượng'!X205</f>
        <v>1</v>
      </c>
      <c r="J873" s="135">
        <f t="shared" ref="J873:J874" si="117">PRODUCT(G873,H873,I873)</f>
        <v>59636.971233333323</v>
      </c>
    </row>
    <row r="874" spans="1:10">
      <c r="A874" s="104"/>
      <c r="B874" s="105"/>
      <c r="C874" s="136" t="s">
        <v>590</v>
      </c>
      <c r="D874" s="137" t="s">
        <v>611</v>
      </c>
      <c r="E874" s="106" t="s">
        <v>612</v>
      </c>
      <c r="F874" s="105" t="s">
        <v>37</v>
      </c>
      <c r="G874" s="138">
        <f>PTVT!G874</f>
        <v>5</v>
      </c>
      <c r="H874" s="139">
        <f>(G873*H873)/100</f>
        <v>596.36971233333327</v>
      </c>
      <c r="I874" s="145">
        <f>'5.Tiên lượng'!X205</f>
        <v>1</v>
      </c>
      <c r="J874" s="139">
        <f t="shared" si="117"/>
        <v>2981.8485616666662</v>
      </c>
    </row>
    <row r="875" spans="1:10">
      <c r="A875" s="121"/>
      <c r="B875" s="122">
        <v>100</v>
      </c>
      <c r="C875" s="121" t="str">
        <f>'5.Tiên lượng'!C206</f>
        <v>AA.22121</v>
      </c>
      <c r="D875" s="121" t="str">
        <f>'5.Tiên lượng'!C206</f>
        <v>AA.22121</v>
      </c>
      <c r="E875" s="123" t="str">
        <f>'5.Tiên lượng'!D206</f>
        <v>Phá dỡ kết cấu gạch đá bằng búa căn khí nén 3m3/ph</v>
      </c>
      <c r="F875" s="122" t="str">
        <f>'5.Tiên lượng'!E206</f>
        <v>m3</v>
      </c>
      <c r="G875" s="124"/>
      <c r="H875" s="125"/>
      <c r="I875" s="141"/>
      <c r="J875" s="142">
        <f>J876+J878</f>
        <v>135762.02666666667</v>
      </c>
    </row>
    <row r="876" spans="1:10">
      <c r="A876" s="126"/>
      <c r="B876" s="127"/>
      <c r="C876" s="128" t="s">
        <v>590</v>
      </c>
      <c r="D876" s="128" t="s">
        <v>590</v>
      </c>
      <c r="E876" s="129" t="s">
        <v>265</v>
      </c>
      <c r="F876" s="127" t="s">
        <v>266</v>
      </c>
      <c r="G876" s="130"/>
      <c r="H876" s="131"/>
      <c r="I876" s="143"/>
      <c r="J876" s="131">
        <f>SUM(J877:J877)</f>
        <v>45723.600000000006</v>
      </c>
    </row>
    <row r="877" spans="1:10">
      <c r="A877" s="67"/>
      <c r="B877" s="66"/>
      <c r="C877" s="132" t="s">
        <v>590</v>
      </c>
      <c r="D877" s="133" t="s">
        <v>598</v>
      </c>
      <c r="E877" s="102" t="str">
        <f>" - "&amp;'Giá NC'!E5</f>
        <v xml:space="preserve"> - Nhân công bậc 3,0/7 - Nhóm 1</v>
      </c>
      <c r="F877" s="66" t="str">
        <f>'Giá NC'!F5</f>
        <v>công</v>
      </c>
      <c r="G877" s="134">
        <f>PTVT!G877</f>
        <v>0.2</v>
      </c>
      <c r="H877" s="135">
        <f>'Giá NC'!K5</f>
        <v>228618</v>
      </c>
      <c r="I877" s="144">
        <f>'5.Tiên lượng'!W206</f>
        <v>1</v>
      </c>
      <c r="J877" s="135">
        <f>PRODUCT(G877,H877,I877)</f>
        <v>45723.600000000006</v>
      </c>
    </row>
    <row r="878" spans="1:10">
      <c r="A878" s="126"/>
      <c r="B878" s="127"/>
      <c r="C878" s="128" t="s">
        <v>590</v>
      </c>
      <c r="D878" s="128" t="s">
        <v>590</v>
      </c>
      <c r="E878" s="129" t="s">
        <v>267</v>
      </c>
      <c r="F878" s="127" t="s">
        <v>268</v>
      </c>
      <c r="G878" s="130"/>
      <c r="H878" s="131"/>
      <c r="I878" s="143"/>
      <c r="J878" s="131">
        <f>SUM(J879:J880)</f>
        <v>90038.426666666666</v>
      </c>
    </row>
    <row r="879" spans="1:10">
      <c r="A879" s="67"/>
      <c r="B879" s="66"/>
      <c r="C879" s="132" t="s">
        <v>590</v>
      </c>
      <c r="D879" s="133" t="s">
        <v>673</v>
      </c>
      <c r="E879" s="102" t="str">
        <f>" - "&amp;'Giá Máy'!E5</f>
        <v xml:space="preserve"> - Búa căn khí nén 3m3/ph</v>
      </c>
      <c r="F879" s="66" t="str">
        <f>'Giá Máy'!F5</f>
        <v>ca</v>
      </c>
      <c r="G879" s="134">
        <f>PTVT!G879</f>
        <v>0.15</v>
      </c>
      <c r="H879" s="135">
        <f>'Giá Máy'!O5</f>
        <v>21146.666666666668</v>
      </c>
      <c r="I879" s="144">
        <f>'5.Tiên lượng'!X206</f>
        <v>1</v>
      </c>
      <c r="J879" s="135">
        <f t="shared" ref="J879:J880" si="118">PRODUCT(G879,H879,I879)</f>
        <v>3172</v>
      </c>
    </row>
    <row r="880" spans="1:10">
      <c r="A880" s="104"/>
      <c r="B880" s="105"/>
      <c r="C880" s="136" t="s">
        <v>590</v>
      </c>
      <c r="D880" s="137" t="s">
        <v>674</v>
      </c>
      <c r="E880" s="106" t="str">
        <f>" - "&amp;'Giá Máy'!E21</f>
        <v xml:space="preserve"> - Máy nén khí diezel 360m3/h</v>
      </c>
      <c r="F880" s="105" t="str">
        <f>'Giá Máy'!F21</f>
        <v>ca</v>
      </c>
      <c r="G880" s="138">
        <f>PTVT!G880</f>
        <v>7.4999999999999997E-2</v>
      </c>
      <c r="H880" s="139">
        <f>'Giá Máy'!O21</f>
        <v>1158219.0222222223</v>
      </c>
      <c r="I880" s="145">
        <f>'5.Tiên lượng'!X206</f>
        <v>1</v>
      </c>
      <c r="J880" s="139">
        <f t="shared" si="118"/>
        <v>86866.426666666666</v>
      </c>
    </row>
    <row r="881" spans="1:10">
      <c r="A881" s="121"/>
      <c r="B881" s="122">
        <v>101</v>
      </c>
      <c r="C881" s="121" t="str">
        <f>'5.Tiên lượng'!C209</f>
        <v>AB.41432</v>
      </c>
      <c r="D881" s="121" t="str">
        <f>'5.Tiên lượng'!C209</f>
        <v>AB.41432</v>
      </c>
      <c r="E881" s="123" t="str">
        <f>'5.Tiên lượng'!D209</f>
        <v>Vận chuyển đất bằng ô tô tự đổ 10T, phạm vi ≤1000m - Cấp đất II</v>
      </c>
      <c r="F881" s="122" t="str">
        <f>'5.Tiên lượng'!E209</f>
        <v>100m3</v>
      </c>
      <c r="G881" s="124"/>
      <c r="H881" s="125"/>
      <c r="I881" s="141"/>
      <c r="J881" s="142">
        <f>J882</f>
        <v>1518125.1906057145</v>
      </c>
    </row>
    <row r="882" spans="1:10">
      <c r="A882" s="126"/>
      <c r="B882" s="127"/>
      <c r="C882" s="128" t="s">
        <v>590</v>
      </c>
      <c r="D882" s="128" t="s">
        <v>590</v>
      </c>
      <c r="E882" s="129" t="s">
        <v>267</v>
      </c>
      <c r="F882" s="127" t="s">
        <v>268</v>
      </c>
      <c r="G882" s="130"/>
      <c r="H882" s="131"/>
      <c r="I882" s="143"/>
      <c r="J882" s="131">
        <f>SUM(J883:J883)</f>
        <v>1518125.1906057145</v>
      </c>
    </row>
    <row r="883" spans="1:10">
      <c r="A883" s="104"/>
      <c r="B883" s="105"/>
      <c r="C883" s="136" t="s">
        <v>590</v>
      </c>
      <c r="D883" s="137" t="s">
        <v>683</v>
      </c>
      <c r="E883" s="106" t="str">
        <f>" - "&amp;'Giá Máy'!E31</f>
        <v xml:space="preserve"> - Ô tô tự đổ 10T</v>
      </c>
      <c r="F883" s="105" t="str">
        <f>'Giá Máy'!F31</f>
        <v>ca</v>
      </c>
      <c r="G883" s="138">
        <f>PTVT!G883</f>
        <v>0.76900000000000002</v>
      </c>
      <c r="H883" s="139">
        <f>'Giá Máy'!O31</f>
        <v>1974154.9942857143</v>
      </c>
      <c r="I883" s="145">
        <f>'5.Tiên lượng'!X209</f>
        <v>1</v>
      </c>
      <c r="J883" s="139">
        <f>PRODUCT(G883,H883,I883)</f>
        <v>1518125.1906057145</v>
      </c>
    </row>
    <row r="884" spans="1:10">
      <c r="A884" s="121"/>
      <c r="B884" s="122">
        <v>102</v>
      </c>
      <c r="C884" s="121" t="str">
        <f>'5.Tiên lượng'!C211</f>
        <v>AB.53431</v>
      </c>
      <c r="D884" s="121" t="str">
        <f>'5.Tiên lượng'!C211</f>
        <v>AB.53431</v>
      </c>
      <c r="E884" s="123" t="str">
        <f>'5.Tiên lượng'!D211</f>
        <v>Vận chuyển đá sau nổ mìn bằng ô tô tự đổ 10T trong phạm vi ≤1000m</v>
      </c>
      <c r="F884" s="122" t="str">
        <f>'5.Tiên lượng'!E211</f>
        <v>100m3</v>
      </c>
      <c r="G884" s="124"/>
      <c r="H884" s="125"/>
      <c r="I884" s="141"/>
      <c r="J884" s="142">
        <f>J885</f>
        <v>2773214.8127005701</v>
      </c>
    </row>
    <row r="885" spans="1:10">
      <c r="A885" s="126"/>
      <c r="B885" s="127"/>
      <c r="C885" s="128" t="s">
        <v>590</v>
      </c>
      <c r="D885" s="128" t="s">
        <v>590</v>
      </c>
      <c r="E885" s="129" t="s">
        <v>267</v>
      </c>
      <c r="F885" s="127" t="s">
        <v>268</v>
      </c>
      <c r="G885" s="130"/>
      <c r="H885" s="131"/>
      <c r="I885" s="143"/>
      <c r="J885" s="131">
        <v>2773214.8127005701</v>
      </c>
    </row>
    <row r="886" spans="1:10">
      <c r="A886" s="104"/>
      <c r="B886" s="105"/>
      <c r="C886" s="136" t="s">
        <v>590</v>
      </c>
      <c r="D886" s="137" t="s">
        <v>683</v>
      </c>
      <c r="E886" s="106" t="str">
        <f>" - "&amp;'Giá Máy'!E31</f>
        <v xml:space="preserve"> - Ô tô tự đổ 10T</v>
      </c>
      <c r="F886" s="105" t="str">
        <f>'Giá Máy'!F31</f>
        <v>ca</v>
      </c>
      <c r="G886" s="138">
        <f>PTVT!G886</f>
        <v>1.4370000000000001</v>
      </c>
      <c r="H886" s="139">
        <f>'Giá Máy'!O31</f>
        <v>1974154.9942857143</v>
      </c>
      <c r="I886" s="145">
        <f>'5.Tiên lượng'!X211</f>
        <v>1</v>
      </c>
      <c r="J886" s="139">
        <f>PRODUCT(G886,H886,I886)</f>
        <v>2836860.7267885716</v>
      </c>
    </row>
  </sheetData>
  <mergeCells count="4">
    <mergeCell ref="A1:J1"/>
    <mergeCell ref="A2:J2"/>
    <mergeCell ref="A3:J3"/>
    <mergeCell ref="A4:J4"/>
  </mergeCells>
  <conditionalFormatting sqref="I1:I886">
    <cfRule type="cellIs" dxfId="0" priority="1" stopIfTrue="1" operator="equal">
      <formula>1</formula>
    </cfRule>
  </conditionalFormatting>
  <pageMargins left="0.6" right="0.6" top="0.75" bottom="0.75" header="0.3" footer="0.3"/>
  <pageSetup paperSize="9" scale="90" orientation="portrait" useFirstPageNumber="1"/>
  <headerFooter>
    <oddFooter>&amp;CTrang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131"/>
  <sheetViews>
    <sheetView showZeros="0" topLeftCell="B1" workbookViewId="0">
      <selection sqref="A1:P1"/>
    </sheetView>
  </sheetViews>
  <sheetFormatPr defaultColWidth="9" defaultRowHeight="14.4"/>
  <cols>
    <col min="1" max="1" width="8.77734375" hidden="1" customWidth="1"/>
    <col min="2" max="2" width="4.44140625" customWidth="1"/>
    <col min="3" max="3" width="16.77734375" customWidth="1"/>
    <col min="4" max="4" width="12.77734375" customWidth="1"/>
    <col min="5" max="5" width="10" customWidth="1"/>
    <col min="6" max="6" width="10.44140625" customWidth="1"/>
    <col min="7" max="7" width="10" customWidth="1"/>
    <col min="8" max="8" width="8.77734375" hidden="1" customWidth="1"/>
    <col min="9" max="10" width="10" customWidth="1"/>
    <col min="11" max="11" width="8.77734375" hidden="1" customWidth="1"/>
    <col min="12" max="12" width="12.44140625" customWidth="1"/>
    <col min="13" max="13" width="8.77734375" hidden="1" customWidth="1"/>
    <col min="14" max="15" width="11" customWidth="1"/>
    <col min="16" max="16" width="12.44140625" customWidth="1"/>
  </cols>
  <sheetData>
    <row r="1" spans="1:16" ht="17.399999999999999">
      <c r="A1" s="1045" t="s">
        <v>1015</v>
      </c>
      <c r="B1" s="1045"/>
      <c r="C1" s="1045"/>
      <c r="D1" s="1046"/>
      <c r="E1" s="1045"/>
      <c r="F1" s="1047"/>
      <c r="G1" s="1048"/>
      <c r="H1" s="1048"/>
      <c r="I1" s="1048"/>
      <c r="J1" s="1048"/>
      <c r="K1" s="1048"/>
      <c r="L1" s="1048"/>
      <c r="M1" s="1048"/>
      <c r="N1" s="1048"/>
      <c r="O1" s="1048"/>
      <c r="P1" s="1048"/>
    </row>
    <row r="2" spans="1:16">
      <c r="A2" s="1049" t="s">
        <v>254</v>
      </c>
      <c r="B2" s="1049"/>
      <c r="C2" s="1049"/>
      <c r="D2" s="1049"/>
      <c r="E2" s="1049"/>
      <c r="F2" s="1050"/>
      <c r="G2" s="1051"/>
      <c r="H2" s="1051"/>
      <c r="I2" s="1051"/>
      <c r="J2" s="1051"/>
      <c r="K2" s="1051"/>
      <c r="L2" s="1051"/>
      <c r="M2" s="1051"/>
      <c r="N2" s="1051"/>
      <c r="O2" s="1051"/>
      <c r="P2" s="1051"/>
    </row>
    <row r="3" spans="1:16">
      <c r="A3" s="1052" t="s">
        <v>763</v>
      </c>
      <c r="B3" s="1052"/>
      <c r="C3" s="1052"/>
      <c r="D3" s="1049"/>
      <c r="E3" s="1052"/>
      <c r="F3" s="1053"/>
      <c r="G3" s="1054"/>
      <c r="H3" s="1054"/>
      <c r="I3" s="1054"/>
      <c r="J3" s="1054"/>
      <c r="K3" s="1054"/>
      <c r="L3" s="1054"/>
      <c r="M3" s="1054"/>
      <c r="N3" s="1054"/>
      <c r="O3" s="1054"/>
      <c r="P3" s="1054"/>
    </row>
    <row r="4" spans="1:16">
      <c r="A4" s="1052"/>
      <c r="B4" s="1052"/>
      <c r="C4" s="1052"/>
      <c r="D4" s="1049"/>
      <c r="E4" s="1052"/>
      <c r="F4" s="1053"/>
      <c r="G4" s="1054"/>
      <c r="H4" s="1054"/>
      <c r="I4" s="1054"/>
      <c r="J4" s="1054"/>
      <c r="K4" s="1054"/>
      <c r="L4" s="1054"/>
      <c r="M4" s="1054"/>
      <c r="N4" s="1054"/>
      <c r="O4" s="1054"/>
      <c r="P4" s="1054"/>
    </row>
    <row r="5" spans="1:16">
      <c r="A5" s="99"/>
      <c r="B5" s="1056" t="s">
        <v>5</v>
      </c>
      <c r="C5" s="1056" t="s">
        <v>591</v>
      </c>
      <c r="D5" s="956" t="s">
        <v>321</v>
      </c>
      <c r="E5" s="1056" t="s">
        <v>594</v>
      </c>
      <c r="F5" s="1057" t="s">
        <v>325</v>
      </c>
      <c r="G5" s="1055" t="s">
        <v>326</v>
      </c>
      <c r="H5" s="1055"/>
      <c r="I5" s="1055"/>
      <c r="J5" s="1055"/>
      <c r="K5" s="101" t="s">
        <v>326</v>
      </c>
      <c r="L5" s="1055" t="s">
        <v>261</v>
      </c>
      <c r="M5" s="1055"/>
      <c r="N5" s="1055"/>
      <c r="O5" s="1055"/>
      <c r="P5" s="1055" t="s">
        <v>1243</v>
      </c>
    </row>
    <row r="6" spans="1:16">
      <c r="A6" s="99"/>
      <c r="B6" s="1056"/>
      <c r="C6" s="1056"/>
      <c r="D6" s="956"/>
      <c r="E6" s="1056"/>
      <c r="F6" s="1057"/>
      <c r="G6" s="101" t="s">
        <v>262</v>
      </c>
      <c r="H6" s="101" t="s">
        <v>334</v>
      </c>
      <c r="I6" s="101" t="s">
        <v>265</v>
      </c>
      <c r="J6" s="101" t="s">
        <v>335</v>
      </c>
      <c r="K6" s="101"/>
      <c r="L6" s="101" t="s">
        <v>262</v>
      </c>
      <c r="M6" s="101" t="s">
        <v>334</v>
      </c>
      <c r="N6" s="101" t="s">
        <v>265</v>
      </c>
      <c r="O6" s="101" t="s">
        <v>335</v>
      </c>
      <c r="P6" s="1055"/>
    </row>
    <row r="7" spans="1:16">
      <c r="A7" s="67"/>
      <c r="B7" s="66">
        <v>0</v>
      </c>
      <c r="C7" s="67" t="s">
        <v>339</v>
      </c>
      <c r="D7" s="102" t="s">
        <v>340</v>
      </c>
      <c r="E7" s="66"/>
      <c r="F7" s="103">
        <v>0</v>
      </c>
      <c r="G7" s="71"/>
      <c r="H7" s="71"/>
      <c r="I7" s="71"/>
      <c r="J7" s="71"/>
      <c r="K7" s="71">
        <v>0</v>
      </c>
      <c r="L7" s="71">
        <v>0</v>
      </c>
      <c r="M7" s="71">
        <v>0</v>
      </c>
      <c r="N7" s="71">
        <v>0</v>
      </c>
      <c r="O7" s="71">
        <v>0</v>
      </c>
      <c r="P7" s="71">
        <v>0</v>
      </c>
    </row>
    <row r="8" spans="1:16" ht="27.6">
      <c r="A8" s="67"/>
      <c r="B8" s="66">
        <v>0</v>
      </c>
      <c r="C8" s="67" t="s">
        <v>339</v>
      </c>
      <c r="D8" s="102" t="s">
        <v>341</v>
      </c>
      <c r="E8" s="66"/>
      <c r="F8" s="103">
        <v>0</v>
      </c>
      <c r="G8" s="71"/>
      <c r="H8" s="71"/>
      <c r="I8" s="71"/>
      <c r="J8" s="71"/>
      <c r="K8" s="71">
        <v>0</v>
      </c>
      <c r="L8" s="71">
        <v>0</v>
      </c>
      <c r="M8" s="71">
        <v>0</v>
      </c>
      <c r="N8" s="71">
        <v>0</v>
      </c>
      <c r="O8" s="71">
        <v>0</v>
      </c>
      <c r="P8" s="71">
        <v>0</v>
      </c>
    </row>
    <row r="9" spans="1:16" ht="69">
      <c r="A9" s="67"/>
      <c r="B9" s="66">
        <v>1</v>
      </c>
      <c r="C9" s="67" t="str">
        <f>'5.Tiên lượng'!C12</f>
        <v>AB.31132</v>
      </c>
      <c r="D9" s="102" t="str">
        <f>'5.Tiên lượng'!D12</f>
        <v>Đào nền đường bằng máy đào 1,25m3 - Cấp đất II</v>
      </c>
      <c r="E9" s="66" t="str">
        <f>'5.Tiên lượng'!E12</f>
        <v>100m3</v>
      </c>
      <c r="F9" s="103">
        <f>'5.Tiên lượng'!M12</f>
        <v>0.95230000000000004</v>
      </c>
      <c r="G9" s="71"/>
      <c r="H9" s="71"/>
      <c r="I9" s="71">
        <f>'Chiết tính rút gọn'!J9</f>
        <v>775015.02</v>
      </c>
      <c r="J9" s="71">
        <f>'Chiết tính rút gọn'!J11</f>
        <v>986868.38985857158</v>
      </c>
      <c r="K9" s="71">
        <f t="shared" ref="K9:K19" si="0">SUM(G9:J9)</f>
        <v>1761883.4098585716</v>
      </c>
      <c r="L9" s="71">
        <f t="shared" ref="L9:L19" si="1">F9*G9</f>
        <v>0</v>
      </c>
      <c r="M9" s="71">
        <f t="shared" ref="M9:M19" si="2">F9*H9</f>
        <v>0</v>
      </c>
      <c r="N9" s="71">
        <f t="shared" ref="N9:N19" si="3">F9*I9</f>
        <v>738046.80354600004</v>
      </c>
      <c r="O9" s="71">
        <f t="shared" ref="O9:O19" si="4">F9*J9</f>
        <v>939794.76766231772</v>
      </c>
      <c r="P9" s="71">
        <f t="shared" ref="P9:P19" si="5">SUM(L9:O9)</f>
        <v>1677841.5712083178</v>
      </c>
    </row>
    <row r="10" spans="1:16" ht="69">
      <c r="A10" s="67"/>
      <c r="B10" s="66">
        <v>2</v>
      </c>
      <c r="C10" s="67" t="str">
        <f>'5.Tiên lượng'!C14</f>
        <v>AB.31133</v>
      </c>
      <c r="D10" s="102" t="str">
        <f>'5.Tiên lượng'!D14</f>
        <v>Đào nền đường bằng máy đào 1,25m3 - Cấp đất III</v>
      </c>
      <c r="E10" s="66" t="str">
        <f>'5.Tiên lượng'!E14</f>
        <v>100m3</v>
      </c>
      <c r="F10" s="103">
        <f>'5.Tiên lượng'!M14</f>
        <v>2.7511999999999999</v>
      </c>
      <c r="G10" s="71"/>
      <c r="H10" s="71"/>
      <c r="I10" s="71">
        <f>'Chiết tính rút gọn'!J15</f>
        <v>928189.08</v>
      </c>
      <c r="J10" s="71">
        <f>'Chiết tính rút gọn'!J17</f>
        <v>1160321.1908914286</v>
      </c>
      <c r="K10" s="71">
        <f t="shared" si="0"/>
        <v>2088510.2708914285</v>
      </c>
      <c r="L10" s="71">
        <f t="shared" si="1"/>
        <v>0</v>
      </c>
      <c r="M10" s="71">
        <f t="shared" si="2"/>
        <v>0</v>
      </c>
      <c r="N10" s="71">
        <f t="shared" si="3"/>
        <v>2553633.7968959999</v>
      </c>
      <c r="O10" s="71">
        <f t="shared" si="4"/>
        <v>3192275.660380498</v>
      </c>
      <c r="P10" s="71">
        <f t="shared" si="5"/>
        <v>5745909.457276498</v>
      </c>
    </row>
    <row r="11" spans="1:16" ht="69">
      <c r="A11" s="67"/>
      <c r="B11" s="66">
        <v>3</v>
      </c>
      <c r="C11" s="67" t="str">
        <f>'5.Tiên lượng'!C16</f>
        <v>AB.31134</v>
      </c>
      <c r="D11" s="102" t="str">
        <f>'5.Tiên lượng'!D16</f>
        <v>Đào nền đường bằng máy đào 1,25m3 - Cấp đất IV</v>
      </c>
      <c r="E11" s="66" t="str">
        <f>'5.Tiên lượng'!E16</f>
        <v>100m3</v>
      </c>
      <c r="F11" s="103">
        <f>'5.Tiên lượng'!M16</f>
        <v>1.4199999999999999E-2</v>
      </c>
      <c r="G11" s="71"/>
      <c r="H11" s="71"/>
      <c r="I11" s="71">
        <f>'Chiết tính rút gọn'!J21</f>
        <v>1099652.5799999998</v>
      </c>
      <c r="J11" s="71">
        <f>'Chiết tính rút gọn'!J23</f>
        <v>1588223.1451285714</v>
      </c>
      <c r="K11" s="71">
        <f t="shared" si="0"/>
        <v>2687875.7251285715</v>
      </c>
      <c r="L11" s="71">
        <f t="shared" si="1"/>
        <v>0</v>
      </c>
      <c r="M11" s="71">
        <f t="shared" si="2"/>
        <v>0</v>
      </c>
      <c r="N11" s="71">
        <f t="shared" si="3"/>
        <v>15615.066635999996</v>
      </c>
      <c r="O11" s="71">
        <f t="shared" si="4"/>
        <v>22552.768660825714</v>
      </c>
      <c r="P11" s="71">
        <f t="shared" si="5"/>
        <v>38167.83529682571</v>
      </c>
    </row>
    <row r="12" spans="1:16" ht="55.2">
      <c r="A12" s="67"/>
      <c r="B12" s="66">
        <v>4</v>
      </c>
      <c r="C12" s="67" t="str">
        <f>'5.Tiên lượng'!C18</f>
        <v>MD.QĐ792</v>
      </c>
      <c r="D12" s="102" t="str">
        <f>'5.Tiên lượng'!D18</f>
        <v>Đào nền đường đá cấp IV bằng máy đào 1,6m3</v>
      </c>
      <c r="E12" s="66" t="str">
        <f>'5.Tiên lượng'!E18</f>
        <v>m3</v>
      </c>
      <c r="F12" s="103">
        <f>'5.Tiên lượng'!M18</f>
        <v>88.07</v>
      </c>
      <c r="G12" s="71"/>
      <c r="H12" s="71"/>
      <c r="I12" s="71">
        <f>'Chiết tính rút gọn'!J27</f>
        <v>10107.5</v>
      </c>
      <c r="J12" s="71">
        <f>'Chiết tính rút gọn'!J29</f>
        <v>48751.108796099994</v>
      </c>
      <c r="K12" s="71">
        <f t="shared" si="0"/>
        <v>58858.608796099994</v>
      </c>
      <c r="L12" s="71">
        <f t="shared" si="1"/>
        <v>0</v>
      </c>
      <c r="M12" s="71">
        <f t="shared" si="2"/>
        <v>0</v>
      </c>
      <c r="N12" s="71">
        <f t="shared" si="3"/>
        <v>890167.52499999991</v>
      </c>
      <c r="O12" s="71">
        <f t="shared" si="4"/>
        <v>4293510.1516725263</v>
      </c>
      <c r="P12" s="71">
        <f t="shared" si="5"/>
        <v>5183677.6766725257</v>
      </c>
    </row>
    <row r="13" spans="1:16" ht="55.2">
      <c r="A13" s="67"/>
      <c r="B13" s="66">
        <v>5</v>
      </c>
      <c r="C13" s="67" t="str">
        <f>'5.Tiên lượng'!C19</f>
        <v>AB.31134VD</v>
      </c>
      <c r="D13" s="102" t="str">
        <f>'5.Tiên lượng'!D19</f>
        <v>Đào đường cũ cấp phối bằng máy đào 1,25m3</v>
      </c>
      <c r="E13" s="66" t="str">
        <f>'5.Tiên lượng'!E19</f>
        <v>m3</v>
      </c>
      <c r="F13" s="103">
        <f>'5.Tiên lượng'!M19</f>
        <v>0</v>
      </c>
      <c r="G13" s="71"/>
      <c r="H13" s="71"/>
      <c r="I13" s="71">
        <f>'Chiết tính rút gọn'!J33</f>
        <v>10996.525799999999</v>
      </c>
      <c r="J13" s="71">
        <f>'Chiết tính rút gọn'!J35</f>
        <v>15882.231451285714</v>
      </c>
      <c r="K13" s="71">
        <f t="shared" si="0"/>
        <v>26878.757251285715</v>
      </c>
      <c r="L13" s="71">
        <f t="shared" si="1"/>
        <v>0</v>
      </c>
      <c r="M13" s="71">
        <f t="shared" si="2"/>
        <v>0</v>
      </c>
      <c r="N13" s="71">
        <f t="shared" si="3"/>
        <v>0</v>
      </c>
      <c r="O13" s="71">
        <f t="shared" si="4"/>
        <v>0</v>
      </c>
      <c r="P13" s="71">
        <f t="shared" si="5"/>
        <v>0</v>
      </c>
    </row>
    <row r="14" spans="1:16" ht="55.2">
      <c r="A14" s="67"/>
      <c r="B14" s="66">
        <v>6</v>
      </c>
      <c r="C14" s="67" t="str">
        <f>'5.Tiên lượng'!C21</f>
        <v>AB.31132(VD)</v>
      </c>
      <c r="D14" s="102" t="str">
        <f>'5.Tiên lượng'!D21</f>
        <v>Đào rãnh bằng máy đào 1,25m3 - Cấp đất II</v>
      </c>
      <c r="E14" s="66" t="str">
        <f>'5.Tiên lượng'!E21</f>
        <v>100m3</v>
      </c>
      <c r="F14" s="103">
        <f>'5.Tiên lượng'!M21</f>
        <v>7.2900000000000006E-2</v>
      </c>
      <c r="G14" s="71"/>
      <c r="H14" s="71"/>
      <c r="I14" s="71">
        <f>'Chiết tính rút gọn'!J39</f>
        <v>775015.02</v>
      </c>
      <c r="J14" s="71">
        <f>'Chiết tính rút gọn'!J41</f>
        <v>986868.38985857158</v>
      </c>
      <c r="K14" s="71">
        <f t="shared" si="0"/>
        <v>1761883.4098585716</v>
      </c>
      <c r="L14" s="71">
        <f t="shared" si="1"/>
        <v>0</v>
      </c>
      <c r="M14" s="71">
        <f t="shared" si="2"/>
        <v>0</v>
      </c>
      <c r="N14" s="71">
        <f t="shared" si="3"/>
        <v>56498.594958000009</v>
      </c>
      <c r="O14" s="71">
        <f t="shared" si="4"/>
        <v>71942.705620689871</v>
      </c>
      <c r="P14" s="71">
        <f t="shared" si="5"/>
        <v>128441.30057868987</v>
      </c>
    </row>
    <row r="15" spans="1:16" ht="55.2">
      <c r="A15" s="67"/>
      <c r="B15" s="66">
        <v>7</v>
      </c>
      <c r="C15" s="67" t="str">
        <f>'5.Tiên lượng'!C23</f>
        <v>AB.31133(VD)</v>
      </c>
      <c r="D15" s="102" t="str">
        <f>'5.Tiên lượng'!D23</f>
        <v>Đào rãnh bằng máy đào 1,25m3 - Cấp đất III</v>
      </c>
      <c r="E15" s="66" t="str">
        <f>'5.Tiên lượng'!E23</f>
        <v>100m3</v>
      </c>
      <c r="F15" s="103">
        <f>'5.Tiên lượng'!M23</f>
        <v>0.88529999999999998</v>
      </c>
      <c r="G15" s="71"/>
      <c r="H15" s="71"/>
      <c r="I15" s="71">
        <f>'Chiết tính rút gọn'!J45</f>
        <v>928189.08</v>
      </c>
      <c r="J15" s="71">
        <f>'Chiết tính rút gọn'!J47</f>
        <v>1160321.1908914286</v>
      </c>
      <c r="K15" s="71">
        <f t="shared" si="0"/>
        <v>2088510.2708914285</v>
      </c>
      <c r="L15" s="71">
        <f t="shared" si="1"/>
        <v>0</v>
      </c>
      <c r="M15" s="71">
        <f t="shared" si="2"/>
        <v>0</v>
      </c>
      <c r="N15" s="71">
        <f t="shared" si="3"/>
        <v>821725.79252399993</v>
      </c>
      <c r="O15" s="71">
        <f t="shared" si="4"/>
        <v>1027232.3502961817</v>
      </c>
      <c r="P15" s="71">
        <f t="shared" si="5"/>
        <v>1848958.1428201818</v>
      </c>
    </row>
    <row r="16" spans="1:16" ht="55.2">
      <c r="A16" s="67"/>
      <c r="B16" s="66">
        <v>8</v>
      </c>
      <c r="C16" s="67" t="str">
        <f>'5.Tiên lượng'!C25</f>
        <v>AB.31134(VD)</v>
      </c>
      <c r="D16" s="102" t="str">
        <f>'5.Tiên lượng'!D25</f>
        <v>Đào rãnh bằng máy đào 1,25m3 - Cấp đất IV</v>
      </c>
      <c r="E16" s="66" t="str">
        <f>'5.Tiên lượng'!E25</f>
        <v>100m3</v>
      </c>
      <c r="F16" s="103">
        <f>'5.Tiên lượng'!M25</f>
        <v>1.1000000000000001E-3</v>
      </c>
      <c r="G16" s="71"/>
      <c r="H16" s="71"/>
      <c r="I16" s="71">
        <f>'Chiết tính rút gọn'!J51</f>
        <v>1099652.5799999998</v>
      </c>
      <c r="J16" s="71">
        <f>'Chiết tính rút gọn'!J53</f>
        <v>1588223.1451285714</v>
      </c>
      <c r="K16" s="71">
        <f t="shared" si="0"/>
        <v>2687875.7251285715</v>
      </c>
      <c r="L16" s="71">
        <f t="shared" si="1"/>
        <v>0</v>
      </c>
      <c r="M16" s="71">
        <f t="shared" si="2"/>
        <v>0</v>
      </c>
      <c r="N16" s="71">
        <f t="shared" si="3"/>
        <v>1209.6178379999999</v>
      </c>
      <c r="O16" s="71">
        <f t="shared" si="4"/>
        <v>1747.0454596414286</v>
      </c>
      <c r="P16" s="71">
        <f t="shared" si="5"/>
        <v>2956.6632976414285</v>
      </c>
    </row>
    <row r="17" spans="1:16" ht="55.2">
      <c r="A17" s="67"/>
      <c r="B17" s="66">
        <v>9</v>
      </c>
      <c r="C17" s="67" t="str">
        <f>'5.Tiên lượng'!C27</f>
        <v>MD.QĐ792</v>
      </c>
      <c r="D17" s="102" t="str">
        <f>'5.Tiên lượng'!D27</f>
        <v>Đào rãnh đá cấp IV bằng máy đào 1,6m3</v>
      </c>
      <c r="E17" s="66" t="str">
        <f>'5.Tiên lượng'!E27</f>
        <v>m3</v>
      </c>
      <c r="F17" s="103">
        <f>'5.Tiên lượng'!M27</f>
        <v>13.28</v>
      </c>
      <c r="G17" s="71"/>
      <c r="H17" s="71"/>
      <c r="I17" s="71">
        <f>'Chiết tính rút gọn'!J57</f>
        <v>10107.5</v>
      </c>
      <c r="J17" s="71">
        <f>'Chiết tính rút gọn'!J59</f>
        <v>48114.351264599994</v>
      </c>
      <c r="K17" s="71">
        <f t="shared" si="0"/>
        <v>58221.851264599994</v>
      </c>
      <c r="L17" s="71">
        <f t="shared" si="1"/>
        <v>0</v>
      </c>
      <c r="M17" s="71">
        <f t="shared" si="2"/>
        <v>0</v>
      </c>
      <c r="N17" s="71">
        <f t="shared" si="3"/>
        <v>134227.6</v>
      </c>
      <c r="O17" s="71">
        <f t="shared" si="4"/>
        <v>638958.58479388792</v>
      </c>
      <c r="P17" s="71">
        <f t="shared" si="5"/>
        <v>773186.18479388789</v>
      </c>
    </row>
    <row r="18" spans="1:16" ht="55.2">
      <c r="A18" s="67"/>
      <c r="B18" s="66">
        <v>10</v>
      </c>
      <c r="C18" s="67" t="str">
        <f>'5.Tiên lượng'!C29</f>
        <v>AB.31132(VD)</v>
      </c>
      <c r="D18" s="102" t="str">
        <f>'5.Tiên lượng'!D29</f>
        <v>Đào cấp bằng máy đào 1,25m3 - Cấp đất II</v>
      </c>
      <c r="E18" s="66" t="str">
        <f>'5.Tiên lượng'!E29</f>
        <v>100m3</v>
      </c>
      <c r="F18" s="103">
        <f>'5.Tiên lượng'!M29</f>
        <v>0.86290000000000011</v>
      </c>
      <c r="G18" s="71"/>
      <c r="H18" s="71"/>
      <c r="I18" s="71">
        <f>'Chiết tính rút gọn'!J62</f>
        <v>775015.02</v>
      </c>
      <c r="J18" s="71">
        <f>'Chiết tính rút gọn'!J64</f>
        <v>986868.38985857158</v>
      </c>
      <c r="K18" s="71">
        <f t="shared" si="0"/>
        <v>1761883.4098585716</v>
      </c>
      <c r="L18" s="71">
        <f t="shared" si="1"/>
        <v>0</v>
      </c>
      <c r="M18" s="71">
        <f t="shared" si="2"/>
        <v>0</v>
      </c>
      <c r="N18" s="71">
        <f t="shared" si="3"/>
        <v>668760.46075800015</v>
      </c>
      <c r="O18" s="71">
        <f t="shared" si="4"/>
        <v>851568.73360896157</v>
      </c>
      <c r="P18" s="71">
        <f t="shared" si="5"/>
        <v>1520329.1943669617</v>
      </c>
    </row>
    <row r="19" spans="1:16" ht="55.2">
      <c r="A19" s="67"/>
      <c r="B19" s="66">
        <v>11</v>
      </c>
      <c r="C19" s="67" t="str">
        <f>'5.Tiên lượng'!C31</f>
        <v>AB.31132</v>
      </c>
      <c r="D19" s="102" t="str">
        <f>'5.Tiên lượng'!D31</f>
        <v>Đào hữu cơ bằng máy đào 1,25m3 - Cấp đất II</v>
      </c>
      <c r="E19" s="66" t="str">
        <f>'5.Tiên lượng'!E31</f>
        <v>100m3</v>
      </c>
      <c r="F19" s="103">
        <f>'5.Tiên lượng'!M31</f>
        <v>3.8552999999999997</v>
      </c>
      <c r="G19" s="71"/>
      <c r="H19" s="71"/>
      <c r="I19" s="71">
        <f>'Chiết tính rút gọn'!J68</f>
        <v>775015.02</v>
      </c>
      <c r="J19" s="71">
        <f>'Chiết tính rút gọn'!J70</f>
        <v>961125.91015457199</v>
      </c>
      <c r="K19" s="71">
        <f t="shared" si="0"/>
        <v>1736140.930154572</v>
      </c>
      <c r="L19" s="71">
        <f t="shared" si="1"/>
        <v>0</v>
      </c>
      <c r="M19" s="71">
        <f t="shared" si="2"/>
        <v>0</v>
      </c>
      <c r="N19" s="71">
        <f t="shared" si="3"/>
        <v>2987915.4066059999</v>
      </c>
      <c r="O19" s="71">
        <f t="shared" si="4"/>
        <v>3705428.7214189209</v>
      </c>
      <c r="P19" s="71">
        <f t="shared" si="5"/>
        <v>6693344.1280249208</v>
      </c>
    </row>
    <row r="20" spans="1:16">
      <c r="A20" s="67"/>
      <c r="B20" s="66">
        <v>0</v>
      </c>
      <c r="C20" s="67" t="s">
        <v>339</v>
      </c>
      <c r="D20" s="102" t="s">
        <v>376</v>
      </c>
      <c r="E20" s="66"/>
      <c r="F20" s="103">
        <v>0</v>
      </c>
      <c r="G20" s="71"/>
      <c r="H20" s="71"/>
      <c r="I20" s="71"/>
      <c r="J20" s="71"/>
      <c r="K20" s="71">
        <v>0</v>
      </c>
      <c r="L20" s="71">
        <v>0</v>
      </c>
      <c r="M20" s="71">
        <v>0</v>
      </c>
      <c r="N20" s="71">
        <v>0</v>
      </c>
      <c r="O20" s="71">
        <v>0</v>
      </c>
      <c r="P20" s="71">
        <v>0</v>
      </c>
    </row>
    <row r="21" spans="1:16" ht="55.2">
      <c r="A21" s="67"/>
      <c r="B21" s="66">
        <v>12</v>
      </c>
      <c r="C21" s="67" t="str">
        <f>'5.Tiên lượng'!C34</f>
        <v>AB.67110</v>
      </c>
      <c r="D21" s="102" t="str">
        <f>'5.Tiên lượng'!D34</f>
        <v>Đắp đá hỗn hợp công trình bằng máy ủi 180CV</v>
      </c>
      <c r="E21" s="66" t="str">
        <f>'5.Tiên lượng'!E34</f>
        <v>100m3</v>
      </c>
      <c r="F21" s="103">
        <f>'5.Tiên lượng'!M34</f>
        <v>0</v>
      </c>
      <c r="G21" s="71"/>
      <c r="H21" s="71"/>
      <c r="I21" s="71">
        <f>'Chiết tính rút gọn'!J75</f>
        <v>857317.5</v>
      </c>
      <c r="J21" s="71">
        <f>'Chiết tính rút gọn'!J77</f>
        <v>3453228.9288000008</v>
      </c>
      <c r="K21" s="71">
        <f t="shared" ref="K21:K23" si="6">SUM(G21:J21)</f>
        <v>4310546.4288000008</v>
      </c>
      <c r="L21" s="71">
        <f t="shared" ref="L21:L23" si="7">F21*G21</f>
        <v>0</v>
      </c>
      <c r="M21" s="71">
        <f t="shared" ref="M21:M23" si="8">F21*H21</f>
        <v>0</v>
      </c>
      <c r="N21" s="71">
        <f t="shared" ref="N21:N23" si="9">F21*I21</f>
        <v>0</v>
      </c>
      <c r="O21" s="71">
        <f t="shared" ref="O21:O23" si="10">F21*J21</f>
        <v>0</v>
      </c>
      <c r="P21" s="71">
        <f t="shared" ref="P21:P23" si="11">SUM(L21:O21)</f>
        <v>0</v>
      </c>
    </row>
    <row r="22" spans="1:16" ht="41.4">
      <c r="A22" s="67"/>
      <c r="B22" s="66">
        <v>13</v>
      </c>
      <c r="C22" s="67" t="str">
        <f>'5.Tiên lượng'!C36</f>
        <v>AD.11212</v>
      </c>
      <c r="D22" s="102" t="str">
        <f>'5.Tiên lượng'!D36</f>
        <v>Thi công đắp cấp phối đá dăm loại 2</v>
      </c>
      <c r="E22" s="66" t="str">
        <f>'5.Tiên lượng'!E36</f>
        <v>100m3</v>
      </c>
      <c r="F22" s="103">
        <f>'5.Tiên lượng'!M36</f>
        <v>9.2337371681415927</v>
      </c>
      <c r="G22" s="71">
        <f>'Chiết tính rút gọn'!J80</f>
        <v>32221379.337286752</v>
      </c>
      <c r="H22" s="71"/>
      <c r="I22" s="71">
        <f>'Chiết tính rút gọn'!J82</f>
        <v>770352.96000000008</v>
      </c>
      <c r="J22" s="71">
        <f>'Chiết tính rút gọn'!J84</f>
        <v>2369565.459726376</v>
      </c>
      <c r="K22" s="71">
        <f t="shared" si="6"/>
        <v>35361297.757013127</v>
      </c>
      <c r="L22" s="71">
        <f t="shared" si="7"/>
        <v>297523747.99549419</v>
      </c>
      <c r="M22" s="71">
        <f t="shared" si="8"/>
        <v>0</v>
      </c>
      <c r="N22" s="71">
        <f t="shared" si="9"/>
        <v>7113236.7593398942</v>
      </c>
      <c r="O22" s="71">
        <f t="shared" si="10"/>
        <v>21879944.657819957</v>
      </c>
      <c r="P22" s="71">
        <f t="shared" si="11"/>
        <v>326516929.41265404</v>
      </c>
    </row>
    <row r="23" spans="1:16" ht="110.4">
      <c r="A23" s="67"/>
      <c r="B23" s="66">
        <v>14</v>
      </c>
      <c r="C23" s="67" t="str">
        <f>'5.Tiên lượng'!C38</f>
        <v>AB.64123</v>
      </c>
      <c r="D23" s="102" t="str">
        <f>'5.Tiên lượng'!D38</f>
        <v>Đắp nền đường bằng máy lu bánh thép 16T, máy ủi 110CV, độ chặt Y/C K = 0,95</v>
      </c>
      <c r="E23" s="66" t="str">
        <f>'5.Tiên lượng'!E38</f>
        <v>100m3</v>
      </c>
      <c r="F23" s="103">
        <f>'5.Tiên lượng'!M38</f>
        <v>4.593362831858407</v>
      </c>
      <c r="G23" s="71"/>
      <c r="H23" s="71"/>
      <c r="I23" s="71">
        <f>'Chiết tính rút gọn'!J92</f>
        <v>331496.09999999998</v>
      </c>
      <c r="J23" s="71">
        <f>'Chiết tính rút gọn'!J94</f>
        <v>746549.74885454495</v>
      </c>
      <c r="K23" s="71">
        <f t="shared" si="6"/>
        <v>1078045.848854545</v>
      </c>
      <c r="L23" s="71">
        <f t="shared" si="7"/>
        <v>0</v>
      </c>
      <c r="M23" s="71">
        <f t="shared" si="8"/>
        <v>0</v>
      </c>
      <c r="N23" s="71">
        <f t="shared" si="9"/>
        <v>1522681.8646460176</v>
      </c>
      <c r="O23" s="71">
        <f t="shared" si="10"/>
        <v>3429173.868521695</v>
      </c>
      <c r="P23" s="71">
        <f t="shared" si="11"/>
        <v>4951855.7331677126</v>
      </c>
    </row>
    <row r="24" spans="1:16" ht="27.6">
      <c r="A24" s="67"/>
      <c r="B24" s="66">
        <v>0</v>
      </c>
      <c r="C24" s="67" t="s">
        <v>339</v>
      </c>
      <c r="D24" s="102" t="s">
        <v>387</v>
      </c>
      <c r="E24" s="66"/>
      <c r="F24" s="103">
        <v>0</v>
      </c>
      <c r="G24" s="71"/>
      <c r="H24" s="71"/>
      <c r="I24" s="71"/>
      <c r="J24" s="71"/>
      <c r="K24" s="71">
        <v>0</v>
      </c>
      <c r="L24" s="71">
        <v>0</v>
      </c>
      <c r="M24" s="71">
        <v>0</v>
      </c>
      <c r="N24" s="71">
        <v>0</v>
      </c>
      <c r="O24" s="71">
        <v>0</v>
      </c>
      <c r="P24" s="71">
        <v>0</v>
      </c>
    </row>
    <row r="25" spans="1:16" ht="27.6">
      <c r="A25" s="67"/>
      <c r="B25" s="66">
        <v>0</v>
      </c>
      <c r="C25" s="67" t="s">
        <v>339</v>
      </c>
      <c r="D25" s="102" t="s">
        <v>388</v>
      </c>
      <c r="E25" s="66"/>
      <c r="F25" s="103">
        <v>0</v>
      </c>
      <c r="G25" s="71"/>
      <c r="H25" s="71"/>
      <c r="I25" s="71"/>
      <c r="J25" s="71"/>
      <c r="K25" s="71">
        <v>0</v>
      </c>
      <c r="L25" s="71">
        <v>0</v>
      </c>
      <c r="M25" s="71">
        <v>0</v>
      </c>
      <c r="N25" s="71">
        <v>0</v>
      </c>
      <c r="O25" s="71">
        <v>0</v>
      </c>
      <c r="P25" s="71">
        <v>0</v>
      </c>
    </row>
    <row r="26" spans="1:16" ht="69">
      <c r="A26" s="67"/>
      <c r="B26" s="66">
        <v>15</v>
      </c>
      <c r="C26" s="67" t="str">
        <f>'5.Tiên lượng'!C42</f>
        <v>AB.31134VD</v>
      </c>
      <c r="D26" s="102" t="str">
        <f>'5.Tiên lượng'!D42</f>
        <v>Đào khuôn đường cũ cấp phối bằng máy đào 1,25m3</v>
      </c>
      <c r="E26" s="66" t="str">
        <f>'5.Tiên lượng'!E42</f>
        <v>m3</v>
      </c>
      <c r="F26" s="103">
        <f>'5.Tiên lượng'!M42</f>
        <v>90.77</v>
      </c>
      <c r="G26" s="71"/>
      <c r="H26" s="71"/>
      <c r="I26" s="71">
        <f>'Chiết tính rút gọn'!J101</f>
        <v>10996.525799999999</v>
      </c>
      <c r="J26" s="71">
        <f>'Chiết tính rút gọn'!J103</f>
        <v>15882.231451285714</v>
      </c>
      <c r="K26" s="71">
        <f t="shared" ref="K26:K27" si="12">SUM(G26:J26)</f>
        <v>26878.757251285715</v>
      </c>
      <c r="L26" s="71">
        <f t="shared" ref="L26:L27" si="13">F26*G26</f>
        <v>0</v>
      </c>
      <c r="M26" s="71">
        <f t="shared" ref="M26:M27" si="14">F26*H26</f>
        <v>0</v>
      </c>
      <c r="N26" s="71">
        <f t="shared" ref="N26:N27" si="15">F26*I26</f>
        <v>998154.64686599991</v>
      </c>
      <c r="O26" s="71">
        <f t="shared" ref="O26:O27" si="16">F26*J26</f>
        <v>1441630.1488332041</v>
      </c>
      <c r="P26" s="71">
        <f t="shared" ref="P26:P27" si="17">SUM(L26:O26)</f>
        <v>2439784.7956992039</v>
      </c>
    </row>
    <row r="27" spans="1:16" ht="69">
      <c r="A27" s="67"/>
      <c r="B27" s="66">
        <v>16</v>
      </c>
      <c r="C27" s="67" t="str">
        <f>'5.Tiên lượng'!C43</f>
        <v>AB.31133</v>
      </c>
      <c r="D27" s="102" t="str">
        <f>'5.Tiên lượng'!D43</f>
        <v>Đào nền đường bằng máy đào 1,25m3 - Cấp đất III</v>
      </c>
      <c r="E27" s="66" t="str">
        <f>'5.Tiên lượng'!E43</f>
        <v>100m3</v>
      </c>
      <c r="F27" s="103">
        <f>'5.Tiên lượng'!M43</f>
        <v>1.2237</v>
      </c>
      <c r="G27" s="71"/>
      <c r="H27" s="71"/>
      <c r="I27" s="71">
        <f>'Chiết tính rút gọn'!J107</f>
        <v>928189.08</v>
      </c>
      <c r="J27" s="71">
        <f>'Chiết tính rút gọn'!J109</f>
        <v>1130070.5079954299</v>
      </c>
      <c r="K27" s="71">
        <f t="shared" si="12"/>
        <v>2058259.58799543</v>
      </c>
      <c r="L27" s="71">
        <f t="shared" si="13"/>
        <v>0</v>
      </c>
      <c r="M27" s="71">
        <f t="shared" si="14"/>
        <v>0</v>
      </c>
      <c r="N27" s="71">
        <f t="shared" si="15"/>
        <v>1135824.9771960001</v>
      </c>
      <c r="O27" s="71">
        <f t="shared" si="16"/>
        <v>1382867.2806340076</v>
      </c>
      <c r="P27" s="71">
        <f t="shared" si="17"/>
        <v>2518692.2578300079</v>
      </c>
    </row>
    <row r="28" spans="1:16" ht="27.6">
      <c r="A28" s="67"/>
      <c r="B28" s="66">
        <v>0</v>
      </c>
      <c r="C28" s="67" t="s">
        <v>339</v>
      </c>
      <c r="D28" s="102" t="s">
        <v>391</v>
      </c>
      <c r="E28" s="66"/>
      <c r="F28" s="103">
        <v>0</v>
      </c>
      <c r="G28" s="71"/>
      <c r="H28" s="71"/>
      <c r="I28" s="71"/>
      <c r="J28" s="71"/>
      <c r="K28" s="71">
        <v>0</v>
      </c>
      <c r="L28" s="71">
        <v>0</v>
      </c>
      <c r="M28" s="71">
        <v>0</v>
      </c>
      <c r="N28" s="71">
        <v>0</v>
      </c>
      <c r="O28" s="71">
        <v>0</v>
      </c>
      <c r="P28" s="71">
        <v>0</v>
      </c>
    </row>
    <row r="29" spans="1:16" ht="165.6">
      <c r="A29" s="67"/>
      <c r="B29" s="66">
        <v>17</v>
      </c>
      <c r="C29" s="67" t="str">
        <f>'5.Tiên lượng'!C46</f>
        <v>AF.15433</v>
      </c>
      <c r="D29" s="102" t="str">
        <f>'5.Tiên lượng'!D46</f>
        <v>Bê tông sản xuất bằng máy trộn và đổ bằng thủ công, bê tông mặt đường dày mặt đường ≤25cm, bê tông M250, đá 2x4, PCB40</v>
      </c>
      <c r="E29" s="66" t="str">
        <f>'5.Tiên lượng'!E46</f>
        <v>m3</v>
      </c>
      <c r="F29" s="103">
        <f>'5.Tiên lượng'!M46</f>
        <v>900.03599999999994</v>
      </c>
      <c r="G29" s="71">
        <f>'Chiết tính rút gọn'!J114</f>
        <v>1244486.1695588657</v>
      </c>
      <c r="H29" s="71"/>
      <c r="I29" s="71">
        <f>'Chiết tính rút gọn'!J122</f>
        <v>332910</v>
      </c>
      <c r="J29" s="71">
        <f>'Chiết tính rút gọn'!J124</f>
        <v>82287.912777365709</v>
      </c>
      <c r="K29" s="71">
        <f t="shared" ref="K29:K33" si="18">SUM(G29:J29)</f>
        <v>1659684.0823362314</v>
      </c>
      <c r="L29" s="71">
        <f t="shared" ref="L29:L33" si="19">F29*G29</f>
        <v>1120082354.1050832</v>
      </c>
      <c r="M29" s="71">
        <f t="shared" ref="M29:M33" si="20">F29*H29</f>
        <v>0</v>
      </c>
      <c r="N29" s="71">
        <f t="shared" ref="N29:N33" si="21">F29*I29</f>
        <v>299630984.75999999</v>
      </c>
      <c r="O29" s="71">
        <f t="shared" ref="O29:O33" si="22">F29*J29</f>
        <v>74062083.864489123</v>
      </c>
      <c r="P29" s="71">
        <f t="shared" ref="P29:P33" si="23">SUM(L29:O29)</f>
        <v>1493775422.7295723</v>
      </c>
    </row>
    <row r="30" spans="1:16" ht="27.6">
      <c r="A30" s="67"/>
      <c r="B30" s="66">
        <v>18</v>
      </c>
      <c r="C30" s="67" t="str">
        <f>'5.Tiên lượng'!C49</f>
        <v>AL.16201</v>
      </c>
      <c r="D30" s="102" t="str">
        <f>'5.Tiên lượng'!D49</f>
        <v>Ni lông chống thấm</v>
      </c>
      <c r="E30" s="66" t="str">
        <f>'5.Tiên lượng'!E49</f>
        <v>100m2</v>
      </c>
      <c r="F30" s="103">
        <f>'5.Tiên lượng'!M49</f>
        <v>45.001800000000003</v>
      </c>
      <c r="G30" s="71">
        <f>'Chiết tính rút gọn'!J130</f>
        <v>220440</v>
      </c>
      <c r="H30" s="71"/>
      <c r="I30" s="71">
        <f>'Chiết tính rút gọn'!J133</f>
        <v>40500</v>
      </c>
      <c r="J30" s="71"/>
      <c r="K30" s="71">
        <f t="shared" si="18"/>
        <v>260940</v>
      </c>
      <c r="L30" s="71">
        <f t="shared" si="19"/>
        <v>9920196.7920000013</v>
      </c>
      <c r="M30" s="71">
        <f t="shared" si="20"/>
        <v>0</v>
      </c>
      <c r="N30" s="71">
        <f t="shared" si="21"/>
        <v>1822572.9000000001</v>
      </c>
      <c r="O30" s="71">
        <f t="shared" si="22"/>
        <v>0</v>
      </c>
      <c r="P30" s="71">
        <f t="shared" si="23"/>
        <v>11742769.692000002</v>
      </c>
    </row>
    <row r="31" spans="1:16" ht="55.2">
      <c r="A31" s="67"/>
      <c r="B31" s="66">
        <v>19</v>
      </c>
      <c r="C31" s="67" t="str">
        <f>'5.Tiên lượng'!C51</f>
        <v>AD.11212</v>
      </c>
      <c r="D31" s="102" t="str">
        <f>'5.Tiên lượng'!D51</f>
        <v xml:space="preserve">Thi công móng cấp phối đá dăm lớp dưới </v>
      </c>
      <c r="E31" s="66" t="str">
        <f>'5.Tiên lượng'!E51</f>
        <v>100m3</v>
      </c>
      <c r="F31" s="103">
        <f>'5.Tiên lượng'!M51</f>
        <v>1.3379759999999998</v>
      </c>
      <c r="G31" s="71">
        <f>'Chiết tính rút gọn'!J136</f>
        <v>32221379.337286752</v>
      </c>
      <c r="H31" s="71"/>
      <c r="I31" s="71">
        <f>'Chiết tính rút gọn'!J138</f>
        <v>770352.96000000008</v>
      </c>
      <c r="J31" s="71">
        <f>'Chiết tính rút gọn'!J140</f>
        <v>2369565.459726376</v>
      </c>
      <c r="K31" s="71">
        <f t="shared" si="18"/>
        <v>35361297.757013127</v>
      </c>
      <c r="L31" s="71">
        <f t="shared" si="19"/>
        <v>43111432.240185574</v>
      </c>
      <c r="M31" s="71">
        <f t="shared" si="20"/>
        <v>0</v>
      </c>
      <c r="N31" s="71">
        <f t="shared" si="21"/>
        <v>1030713.77200896</v>
      </c>
      <c r="O31" s="71">
        <f t="shared" si="22"/>
        <v>3170421.7155428571</v>
      </c>
      <c r="P31" s="71">
        <f t="shared" si="23"/>
        <v>47312567.727737397</v>
      </c>
    </row>
    <row r="32" spans="1:16" ht="55.2">
      <c r="A32" s="67"/>
      <c r="B32" s="66">
        <v>20</v>
      </c>
      <c r="C32" s="67" t="str">
        <f>'5.Tiên lượng'!C53</f>
        <v>AD.11212</v>
      </c>
      <c r="D32" s="102" t="str">
        <f>'5.Tiên lượng'!D53</f>
        <v xml:space="preserve">Thi công móng cấp phối đá dăm lớp dưới </v>
      </c>
      <c r="E32" s="66" t="str">
        <f>'5.Tiên lượng'!E53</f>
        <v>100m3</v>
      </c>
      <c r="F32" s="103">
        <f>'5.Tiên lượng'!M53</f>
        <v>1.7016</v>
      </c>
      <c r="G32" s="71">
        <f>'Chiết tính rút gọn'!J148</f>
        <v>32221379.337286752</v>
      </c>
      <c r="H32" s="71"/>
      <c r="I32" s="71">
        <f>'Chiết tính rút gọn'!J150</f>
        <v>770352.96000000008</v>
      </c>
      <c r="J32" s="71">
        <f>'Chiết tính rút gọn'!J152</f>
        <v>2369565.459726376</v>
      </c>
      <c r="K32" s="71">
        <f t="shared" si="18"/>
        <v>35361297.757013127</v>
      </c>
      <c r="L32" s="71">
        <f t="shared" si="19"/>
        <v>54827899.080327138</v>
      </c>
      <c r="M32" s="71">
        <f t="shared" si="20"/>
        <v>0</v>
      </c>
      <c r="N32" s="71">
        <f t="shared" si="21"/>
        <v>1310832.5967360002</v>
      </c>
      <c r="O32" s="71">
        <f t="shared" si="22"/>
        <v>4032052.5862704013</v>
      </c>
      <c r="P32" s="71">
        <f t="shared" si="23"/>
        <v>60170784.263333537</v>
      </c>
    </row>
    <row r="33" spans="1:16" ht="41.4">
      <c r="A33" s="67"/>
      <c r="B33" s="66">
        <v>21</v>
      </c>
      <c r="C33" s="67" t="str">
        <f>'5.Tiên lượng'!C56</f>
        <v>AF.82411</v>
      </c>
      <c r="D33" s="102" t="str">
        <f>'5.Tiên lượng'!D56</f>
        <v>Ván khuôn thép mặt đường bê tông</v>
      </c>
      <c r="E33" s="66" t="str">
        <f>'5.Tiên lượng'!E56</f>
        <v>100m2</v>
      </c>
      <c r="F33" s="103">
        <f>'5.Tiên lượng'!M56</f>
        <v>3.6397000000000004</v>
      </c>
      <c r="G33" s="71">
        <f>'Chiết tính rút gọn'!J160</f>
        <v>618210.99161675188</v>
      </c>
      <c r="H33" s="71"/>
      <c r="I33" s="71">
        <f>'Chiết tính rút gọn'!J164</f>
        <v>3370558</v>
      </c>
      <c r="J33" s="71">
        <f>'Chiết tính rút gọn'!J166</f>
        <v>168279.29389555199</v>
      </c>
      <c r="K33" s="71">
        <f t="shared" si="18"/>
        <v>4157048.2855123039</v>
      </c>
      <c r="L33" s="71">
        <f t="shared" si="19"/>
        <v>2250102.5461874921</v>
      </c>
      <c r="M33" s="71">
        <f t="shared" si="20"/>
        <v>0</v>
      </c>
      <c r="N33" s="71">
        <f t="shared" si="21"/>
        <v>12267819.9526</v>
      </c>
      <c r="O33" s="71">
        <f t="shared" si="22"/>
        <v>612486.14599164063</v>
      </c>
      <c r="P33" s="71">
        <f t="shared" si="23"/>
        <v>15130408.644779133</v>
      </c>
    </row>
    <row r="34" spans="1:16" ht="41.4">
      <c r="A34" s="67"/>
      <c r="B34" s="66">
        <v>0</v>
      </c>
      <c r="C34" s="67" t="s">
        <v>339</v>
      </c>
      <c r="D34" s="102" t="s">
        <v>406</v>
      </c>
      <c r="E34" s="66"/>
      <c r="F34" s="103">
        <v>0</v>
      </c>
      <c r="G34" s="71"/>
      <c r="H34" s="71"/>
      <c r="I34" s="71"/>
      <c r="J34" s="71"/>
      <c r="K34" s="71">
        <v>0</v>
      </c>
      <c r="L34" s="71">
        <v>0</v>
      </c>
      <c r="M34" s="71">
        <v>0</v>
      </c>
      <c r="N34" s="71">
        <v>0</v>
      </c>
      <c r="O34" s="71">
        <v>0</v>
      </c>
      <c r="P34" s="71">
        <v>0</v>
      </c>
    </row>
    <row r="35" spans="1:16" ht="165.6">
      <c r="A35" s="67"/>
      <c r="B35" s="66">
        <v>22</v>
      </c>
      <c r="C35" s="67" t="str">
        <f>'5.Tiên lượng'!C59</f>
        <v>AF.15433</v>
      </c>
      <c r="D35" s="102" t="str">
        <f>'5.Tiên lượng'!D59</f>
        <v>Bê tông sản xuất bằng máy trộn và đổ bằng thủ công, bê tông mặt đường dày mặt đường ≤25cm, bê tông M250, đá 2x4, PCB40</v>
      </c>
      <c r="E35" s="66" t="str">
        <f>'5.Tiên lượng'!E59</f>
        <v>m3</v>
      </c>
      <c r="F35" s="103">
        <f>'5.Tiên lượng'!M59</f>
        <v>12.764000000000001</v>
      </c>
      <c r="G35" s="71">
        <f>'Chiết tính rút gọn'!J171</f>
        <v>1244486.1695588657</v>
      </c>
      <c r="H35" s="71"/>
      <c r="I35" s="71">
        <f>'Chiết tính rút gọn'!J179</f>
        <v>332910</v>
      </c>
      <c r="J35" s="71">
        <f>'Chiết tính rút gọn'!J181</f>
        <v>82287.912777365709</v>
      </c>
      <c r="K35" s="71">
        <f t="shared" ref="K35:K42" si="24">SUM(G35:J35)</f>
        <v>1659684.0823362314</v>
      </c>
      <c r="L35" s="71">
        <f t="shared" ref="L35:L42" si="25">F35*G35</f>
        <v>15884621.468249364</v>
      </c>
      <c r="M35" s="71">
        <f t="shared" ref="M35:M42" si="26">F35*H35</f>
        <v>0</v>
      </c>
      <c r="N35" s="71">
        <f t="shared" ref="N35:N42" si="27">F35*I35</f>
        <v>4249263.24</v>
      </c>
      <c r="O35" s="71">
        <f t="shared" ref="O35:O42" si="28">F35*J35</f>
        <v>1050322.9186902959</v>
      </c>
      <c r="P35" s="71">
        <f t="shared" ref="P35:P42" si="29">SUM(L35:O35)</f>
        <v>21184207.626939662</v>
      </c>
    </row>
    <row r="36" spans="1:16" ht="27.6">
      <c r="A36" s="67"/>
      <c r="B36" s="66">
        <v>23</v>
      </c>
      <c r="C36" s="67" t="str">
        <f>'5.Tiên lượng'!C61</f>
        <v>AL.16201</v>
      </c>
      <c r="D36" s="102" t="str">
        <f>'5.Tiên lượng'!D61</f>
        <v>Rải giấy dầu lớp cách ly</v>
      </c>
      <c r="E36" s="66" t="str">
        <f>'5.Tiên lượng'!E61</f>
        <v>100m2</v>
      </c>
      <c r="F36" s="103">
        <f>'5.Tiên lượng'!M61</f>
        <v>0.63819999999999999</v>
      </c>
      <c r="G36" s="71">
        <f>'Chiết tính rút gọn'!J187</f>
        <v>220440</v>
      </c>
      <c r="H36" s="71"/>
      <c r="I36" s="71">
        <f>'Chiết tính rút gọn'!J190</f>
        <v>40500</v>
      </c>
      <c r="J36" s="71"/>
      <c r="K36" s="71">
        <f t="shared" si="24"/>
        <v>260940</v>
      </c>
      <c r="L36" s="71">
        <f t="shared" si="25"/>
        <v>140684.80799999999</v>
      </c>
      <c r="M36" s="71">
        <f t="shared" si="26"/>
        <v>0</v>
      </c>
      <c r="N36" s="71">
        <f t="shared" si="27"/>
        <v>25847.1</v>
      </c>
      <c r="O36" s="71">
        <f t="shared" si="28"/>
        <v>0</v>
      </c>
      <c r="P36" s="71">
        <f t="shared" si="29"/>
        <v>166531.908</v>
      </c>
    </row>
    <row r="37" spans="1:16" ht="55.2">
      <c r="A37" s="67"/>
      <c r="B37" s="66">
        <v>24</v>
      </c>
      <c r="C37" s="67" t="str">
        <f>'5.Tiên lượng'!C63</f>
        <v>AD.11212</v>
      </c>
      <c r="D37" s="102" t="str">
        <f>'5.Tiên lượng'!D63</f>
        <v xml:space="preserve">Thi công móng cấp phối đá dăm lớp dưới </v>
      </c>
      <c r="E37" s="66" t="str">
        <f>'5.Tiên lượng'!E63</f>
        <v>100m3</v>
      </c>
      <c r="F37" s="103">
        <f>'5.Tiên lượng'!M63</f>
        <v>7.6583999999999999E-2</v>
      </c>
      <c r="G37" s="71">
        <f>'Chiết tính rút gọn'!J193</f>
        <v>32221379.337286752</v>
      </c>
      <c r="H37" s="71"/>
      <c r="I37" s="71">
        <f>'Chiết tính rút gọn'!J195</f>
        <v>770352.96000000008</v>
      </c>
      <c r="J37" s="71">
        <f>'Chiết tính rút gọn'!J197</f>
        <v>2369565.459726376</v>
      </c>
      <c r="K37" s="71">
        <f t="shared" si="24"/>
        <v>35361297.757013127</v>
      </c>
      <c r="L37" s="71">
        <f t="shared" si="25"/>
        <v>2467642.1151667684</v>
      </c>
      <c r="M37" s="71">
        <f t="shared" si="26"/>
        <v>0</v>
      </c>
      <c r="N37" s="71">
        <f t="shared" si="27"/>
        <v>58996.711088640004</v>
      </c>
      <c r="O37" s="71">
        <f t="shared" si="28"/>
        <v>181470.80116768478</v>
      </c>
      <c r="P37" s="71">
        <f t="shared" si="29"/>
        <v>2708109.6274230932</v>
      </c>
    </row>
    <row r="38" spans="1:16" ht="41.4">
      <c r="A38" s="67"/>
      <c r="B38" s="66">
        <v>25</v>
      </c>
      <c r="C38" s="67" t="str">
        <f>'5.Tiên lượng'!C65</f>
        <v>AF.82411</v>
      </c>
      <c r="D38" s="102" t="str">
        <f>'5.Tiên lượng'!D65</f>
        <v>Ván khuôn thép mặt đường bê tông</v>
      </c>
      <c r="E38" s="66" t="str">
        <f>'5.Tiên lượng'!E65</f>
        <v>100m2</v>
      </c>
      <c r="F38" s="103">
        <f>'5.Tiên lượng'!M65</f>
        <v>0.14080000000000001</v>
      </c>
      <c r="G38" s="71">
        <f>'Chiết tính rút gọn'!J205</f>
        <v>618210.99161675188</v>
      </c>
      <c r="H38" s="71"/>
      <c r="I38" s="71">
        <f>'Chiết tính rút gọn'!J209</f>
        <v>3370558</v>
      </c>
      <c r="J38" s="71">
        <f>'Chiết tính rút gọn'!J211</f>
        <v>182920.82011862399</v>
      </c>
      <c r="K38" s="71">
        <f t="shared" si="24"/>
        <v>4171689.8117353758</v>
      </c>
      <c r="L38" s="71">
        <f t="shared" si="25"/>
        <v>87044.107619638671</v>
      </c>
      <c r="M38" s="71">
        <f t="shared" si="26"/>
        <v>0</v>
      </c>
      <c r="N38" s="71">
        <f t="shared" si="27"/>
        <v>474574.56640000001</v>
      </c>
      <c r="O38" s="71">
        <f t="shared" si="28"/>
        <v>25755.251472702261</v>
      </c>
      <c r="P38" s="71">
        <f t="shared" si="29"/>
        <v>587373.92549234093</v>
      </c>
    </row>
    <row r="39" spans="1:16" ht="41.4">
      <c r="A39" s="67"/>
      <c r="B39" s="66">
        <v>26</v>
      </c>
      <c r="C39" s="67" t="str">
        <f>'5.Tiên lượng'!C67</f>
        <v>AL.24111</v>
      </c>
      <c r="D39" s="102" t="str">
        <f>'5.Tiên lượng'!D67</f>
        <v>Thi công khe co không có thanh TL</v>
      </c>
      <c r="E39" s="66" t="str">
        <f>'5.Tiên lượng'!E67</f>
        <v>m</v>
      </c>
      <c r="F39" s="103">
        <f>'5.Tiên lượng'!M67</f>
        <v>1026</v>
      </c>
      <c r="G39" s="71">
        <f>'Chiết tính rút gọn'!J215</f>
        <v>77759.339445135047</v>
      </c>
      <c r="H39" s="71"/>
      <c r="I39" s="71">
        <f>'Chiết tính rút gọn'!J220</f>
        <v>24300</v>
      </c>
      <c r="J39" s="71">
        <f>'Chiết tính rút gọn'!J222</f>
        <v>11745.2296420813</v>
      </c>
      <c r="K39" s="71">
        <f t="shared" si="24"/>
        <v>113804.56908721634</v>
      </c>
      <c r="L39" s="71">
        <f t="shared" si="25"/>
        <v>79781082.270708561</v>
      </c>
      <c r="M39" s="71">
        <f t="shared" si="26"/>
        <v>0</v>
      </c>
      <c r="N39" s="71">
        <f t="shared" si="27"/>
        <v>24931800</v>
      </c>
      <c r="O39" s="71">
        <f t="shared" si="28"/>
        <v>12050605.612775413</v>
      </c>
      <c r="P39" s="71">
        <f t="shared" si="29"/>
        <v>116763487.88348398</v>
      </c>
    </row>
    <row r="40" spans="1:16" ht="27.6">
      <c r="A40" s="67"/>
      <c r="B40" s="66">
        <v>27</v>
      </c>
      <c r="C40" s="67" t="str">
        <f>'5.Tiên lượng'!C68</f>
        <v>AL.24112(VD)</v>
      </c>
      <c r="D40" s="102" t="str">
        <f>'5.Tiên lượng'!D68</f>
        <v>Thi công khe giãn</v>
      </c>
      <c r="E40" s="66" t="str">
        <f>'5.Tiên lượng'!E68</f>
        <v>m</v>
      </c>
      <c r="F40" s="103">
        <f>'5.Tiên lượng'!M68</f>
        <v>103.46</v>
      </c>
      <c r="G40" s="71">
        <f>'Chiết tính rút gọn'!J227</f>
        <v>214684.29908605226</v>
      </c>
      <c r="H40" s="71"/>
      <c r="I40" s="71">
        <f>'Chiết tính rút gọn'!J235</f>
        <v>59400</v>
      </c>
      <c r="J40" s="71">
        <f>'Chiết tính rút gọn'!J237</f>
        <v>15541.363596162601</v>
      </c>
      <c r="K40" s="71">
        <f t="shared" si="24"/>
        <v>289625.66268221481</v>
      </c>
      <c r="L40" s="71">
        <f t="shared" si="25"/>
        <v>22211237.583442964</v>
      </c>
      <c r="M40" s="71">
        <f t="shared" si="26"/>
        <v>0</v>
      </c>
      <c r="N40" s="71">
        <f t="shared" si="27"/>
        <v>6145524</v>
      </c>
      <c r="O40" s="71">
        <f t="shared" si="28"/>
        <v>1607909.4776589826</v>
      </c>
      <c r="P40" s="71">
        <f t="shared" si="29"/>
        <v>29964671.061101947</v>
      </c>
    </row>
    <row r="41" spans="1:16" ht="27.6">
      <c r="A41" s="67"/>
      <c r="B41" s="66">
        <v>28</v>
      </c>
      <c r="C41" s="67" t="str">
        <f>'5.Tiên lượng'!C69</f>
        <v>AL.24113(VD)</v>
      </c>
      <c r="D41" s="102" t="str">
        <f>'5.Tiên lượng'!D69</f>
        <v>Thi công  khe dọc</v>
      </c>
      <c r="E41" s="66" t="str">
        <f>'5.Tiên lượng'!E69</f>
        <v>m</v>
      </c>
      <c r="F41" s="103">
        <f>'5.Tiên lượng'!M69</f>
        <v>1000.04</v>
      </c>
      <c r="G41" s="71">
        <f>'Chiết tính rút gọn'!J242</f>
        <v>23463.787008838957</v>
      </c>
      <c r="H41" s="71"/>
      <c r="I41" s="71">
        <f>'Chiết tính rút gọn'!J246</f>
        <v>16200</v>
      </c>
      <c r="J41" s="71">
        <f>'Chiết tính rút gọn'!J248</f>
        <v>10869.198729601001</v>
      </c>
      <c r="K41" s="71">
        <f t="shared" si="24"/>
        <v>50532.985738439966</v>
      </c>
      <c r="L41" s="71">
        <f t="shared" si="25"/>
        <v>23464725.560319308</v>
      </c>
      <c r="M41" s="71">
        <f t="shared" si="26"/>
        <v>0</v>
      </c>
      <c r="N41" s="71">
        <f t="shared" si="27"/>
        <v>16200648</v>
      </c>
      <c r="O41" s="71">
        <f t="shared" si="28"/>
        <v>10869633.497550184</v>
      </c>
      <c r="P41" s="71">
        <f t="shared" si="29"/>
        <v>50535007.057869487</v>
      </c>
    </row>
    <row r="42" spans="1:16">
      <c r="A42" s="67"/>
      <c r="B42" s="66">
        <v>29</v>
      </c>
      <c r="C42" s="67" t="str">
        <f>'5.Tiên lượng'!C70</f>
        <v>AL.24310</v>
      </c>
      <c r="D42" s="102" t="str">
        <f>'5.Tiên lượng'!D70</f>
        <v>Cắt khe</v>
      </c>
      <c r="E42" s="66" t="str">
        <f>'5.Tiên lượng'!E70</f>
        <v>100m</v>
      </c>
      <c r="F42" s="103">
        <f>'5.Tiên lượng'!M70</f>
        <v>21.295000000000002</v>
      </c>
      <c r="G42" s="71">
        <f>'Chiết tính rút gọn'!J253</f>
        <v>2432.6999999999998</v>
      </c>
      <c r="H42" s="71"/>
      <c r="I42" s="71">
        <f>'Chiết tính rút gọn'!J256</f>
        <v>288900</v>
      </c>
      <c r="J42" s="71">
        <f>'Chiết tính rút gọn'!J258</f>
        <v>120588.29635104</v>
      </c>
      <c r="K42" s="71">
        <f t="shared" si="24"/>
        <v>411920.99635104003</v>
      </c>
      <c r="L42" s="71">
        <f t="shared" si="25"/>
        <v>51804.3465</v>
      </c>
      <c r="M42" s="71">
        <f t="shared" si="26"/>
        <v>0</v>
      </c>
      <c r="N42" s="71">
        <f t="shared" si="27"/>
        <v>6152125.5000000009</v>
      </c>
      <c r="O42" s="71">
        <f t="shared" si="28"/>
        <v>2567927.770795397</v>
      </c>
      <c r="P42" s="71">
        <f t="shared" si="29"/>
        <v>8771857.6172953974</v>
      </c>
    </row>
    <row r="43" spans="1:16">
      <c r="A43" s="67"/>
      <c r="B43" s="66">
        <v>0</v>
      </c>
      <c r="C43" s="67" t="s">
        <v>339</v>
      </c>
      <c r="D43" s="102" t="s">
        <v>340</v>
      </c>
      <c r="E43" s="66"/>
      <c r="F43" s="103">
        <v>0</v>
      </c>
      <c r="G43" s="71"/>
      <c r="H43" s="71"/>
      <c r="I43" s="71"/>
      <c r="J43" s="71"/>
      <c r="K43" s="71">
        <v>0</v>
      </c>
      <c r="L43" s="71">
        <v>0</v>
      </c>
      <c r="M43" s="71">
        <v>0</v>
      </c>
      <c r="N43" s="71">
        <v>0</v>
      </c>
      <c r="O43" s="71">
        <v>0</v>
      </c>
      <c r="P43" s="71">
        <v>0</v>
      </c>
    </row>
    <row r="44" spans="1:16" ht="27.6">
      <c r="A44" s="67"/>
      <c r="B44" s="66">
        <v>0</v>
      </c>
      <c r="C44" s="67" t="s">
        <v>339</v>
      </c>
      <c r="D44" s="102" t="s">
        <v>341</v>
      </c>
      <c r="E44" s="66"/>
      <c r="F44" s="103">
        <v>0</v>
      </c>
      <c r="G44" s="71"/>
      <c r="H44" s="71"/>
      <c r="I44" s="71"/>
      <c r="J44" s="71"/>
      <c r="K44" s="71">
        <v>0</v>
      </c>
      <c r="L44" s="71">
        <v>0</v>
      </c>
      <c r="M44" s="71">
        <v>0</v>
      </c>
      <c r="N44" s="71">
        <v>0</v>
      </c>
      <c r="O44" s="71">
        <v>0</v>
      </c>
      <c r="P44" s="71">
        <v>0</v>
      </c>
    </row>
    <row r="45" spans="1:16" ht="69">
      <c r="A45" s="67"/>
      <c r="B45" s="66">
        <v>30</v>
      </c>
      <c r="C45" s="67" t="str">
        <f>'5.Tiên lượng'!C76</f>
        <v>AB.31132</v>
      </c>
      <c r="D45" s="102" t="str">
        <f>'5.Tiên lượng'!D76</f>
        <v>Đào nền đường bằng máy đào 1,25m3 - Cấp đất II</v>
      </c>
      <c r="E45" s="66" t="str">
        <f>'5.Tiên lượng'!E76</f>
        <v>100m3</v>
      </c>
      <c r="F45" s="103">
        <f>'5.Tiên lượng'!M76</f>
        <v>1.2262999999999999</v>
      </c>
      <c r="G45" s="71"/>
      <c r="H45" s="71"/>
      <c r="I45" s="71">
        <f>'Chiết tính rút gọn'!J264</f>
        <v>775015.02</v>
      </c>
      <c r="J45" s="71">
        <f>'Chiết tính rút gọn'!J266</f>
        <v>986868.38985857158</v>
      </c>
      <c r="K45" s="71">
        <f t="shared" ref="K45:K53" si="30">SUM(G45:J45)</f>
        <v>1761883.4098585716</v>
      </c>
      <c r="L45" s="71">
        <f t="shared" ref="L45:L53" si="31">F45*G45</f>
        <v>0</v>
      </c>
      <c r="M45" s="71">
        <f t="shared" ref="M45:M53" si="32">F45*H45</f>
        <v>0</v>
      </c>
      <c r="N45" s="71">
        <f t="shared" ref="N45:N53" si="33">F45*I45</f>
        <v>950400.91902599996</v>
      </c>
      <c r="O45" s="71">
        <f t="shared" ref="O45:O53" si="34">F45*J45</f>
        <v>1210196.7064835662</v>
      </c>
      <c r="P45" s="71">
        <f t="shared" ref="P45:P53" si="35">SUM(L45:O45)</f>
        <v>2160597.6255095662</v>
      </c>
    </row>
    <row r="46" spans="1:16" ht="69">
      <c r="A46" s="67"/>
      <c r="B46" s="66">
        <v>31</v>
      </c>
      <c r="C46" s="67" t="str">
        <f>'5.Tiên lượng'!C78</f>
        <v>AB.31133</v>
      </c>
      <c r="D46" s="102" t="str">
        <f>'5.Tiên lượng'!D78</f>
        <v>Đào nền đường bằng máy đào 1,25m3 - Cấp đất III</v>
      </c>
      <c r="E46" s="66" t="str">
        <f>'5.Tiên lượng'!E78</f>
        <v>100m3</v>
      </c>
      <c r="F46" s="103">
        <f>'5.Tiên lượng'!M78</f>
        <v>3.6326000000000001</v>
      </c>
      <c r="G46" s="71"/>
      <c r="H46" s="71"/>
      <c r="I46" s="71">
        <f>'Chiết tính rút gọn'!J270</f>
        <v>928189.08</v>
      </c>
      <c r="J46" s="71">
        <f>'Chiết tính rút gọn'!J272</f>
        <v>1160321.1908914286</v>
      </c>
      <c r="K46" s="71">
        <f t="shared" si="30"/>
        <v>2088510.2708914285</v>
      </c>
      <c r="L46" s="71">
        <f t="shared" si="31"/>
        <v>0</v>
      </c>
      <c r="M46" s="71">
        <f t="shared" si="32"/>
        <v>0</v>
      </c>
      <c r="N46" s="71">
        <f t="shared" si="33"/>
        <v>3371739.6520079998</v>
      </c>
      <c r="O46" s="71">
        <f t="shared" si="34"/>
        <v>4214982.7580322037</v>
      </c>
      <c r="P46" s="71">
        <f t="shared" si="35"/>
        <v>7586722.4100402035</v>
      </c>
    </row>
    <row r="47" spans="1:16" ht="69">
      <c r="A47" s="67"/>
      <c r="B47" s="66">
        <v>32</v>
      </c>
      <c r="C47" s="67" t="str">
        <f>'5.Tiên lượng'!C80</f>
        <v>AB.31134</v>
      </c>
      <c r="D47" s="102" t="str">
        <f>'5.Tiên lượng'!D80</f>
        <v>Đào nền đường bằng máy đào 1,25m3 - Cấp đất IV</v>
      </c>
      <c r="E47" s="66" t="str">
        <f>'5.Tiên lượng'!E80</f>
        <v>100m3</v>
      </c>
      <c r="F47" s="103">
        <f>'5.Tiên lượng'!M80</f>
        <v>0.48090000000000005</v>
      </c>
      <c r="G47" s="71"/>
      <c r="H47" s="71"/>
      <c r="I47" s="71">
        <f>'Chiết tính rút gọn'!J276</f>
        <v>1099652.5799999998</v>
      </c>
      <c r="J47" s="71">
        <f>'Chiết tính rút gọn'!J278</f>
        <v>1588223.1451285714</v>
      </c>
      <c r="K47" s="71">
        <f t="shared" si="30"/>
        <v>2687875.7251285715</v>
      </c>
      <c r="L47" s="71">
        <f t="shared" si="31"/>
        <v>0</v>
      </c>
      <c r="M47" s="71">
        <f t="shared" si="32"/>
        <v>0</v>
      </c>
      <c r="N47" s="71">
        <f t="shared" si="33"/>
        <v>528822.92572199996</v>
      </c>
      <c r="O47" s="71">
        <f t="shared" si="34"/>
        <v>763776.51049233007</v>
      </c>
      <c r="P47" s="71">
        <f t="shared" si="35"/>
        <v>1292599.4362143301</v>
      </c>
    </row>
    <row r="48" spans="1:16" ht="55.2">
      <c r="A48" s="67"/>
      <c r="B48" s="66">
        <v>33</v>
      </c>
      <c r="C48" s="67" t="str">
        <f>'5.Tiên lượng'!C82</f>
        <v>AB.31134VD</v>
      </c>
      <c r="D48" s="102" t="str">
        <f>'5.Tiên lượng'!D82</f>
        <v>Đào đường cũ cấp phối bằng máy đào 1,25m3</v>
      </c>
      <c r="E48" s="66" t="str">
        <f>'5.Tiên lượng'!E82</f>
        <v>m3</v>
      </c>
      <c r="F48" s="103">
        <f>'5.Tiên lượng'!M82</f>
        <v>32.340000000000003</v>
      </c>
      <c r="G48" s="71"/>
      <c r="H48" s="71"/>
      <c r="I48" s="71">
        <f>'Chiết tính rút gọn'!J282</f>
        <v>10996.525799999999</v>
      </c>
      <c r="J48" s="71">
        <f>'Chiết tính rút gọn'!J284</f>
        <v>15882.231451285714</v>
      </c>
      <c r="K48" s="71">
        <f t="shared" si="30"/>
        <v>26878.757251285715</v>
      </c>
      <c r="L48" s="71">
        <f t="shared" si="31"/>
        <v>0</v>
      </c>
      <c r="M48" s="71">
        <f t="shared" si="32"/>
        <v>0</v>
      </c>
      <c r="N48" s="71">
        <f t="shared" si="33"/>
        <v>355627.64437200001</v>
      </c>
      <c r="O48" s="71">
        <f t="shared" si="34"/>
        <v>513631.36513458006</v>
      </c>
      <c r="P48" s="71">
        <f t="shared" si="35"/>
        <v>869259.00950658007</v>
      </c>
    </row>
    <row r="49" spans="1:16" ht="55.2">
      <c r="A49" s="67"/>
      <c r="B49" s="66">
        <v>34</v>
      </c>
      <c r="C49" s="67" t="str">
        <f>'5.Tiên lượng'!C85</f>
        <v>AB.31132(VD)</v>
      </c>
      <c r="D49" s="102" t="str">
        <f>'5.Tiên lượng'!D85</f>
        <v>Đào rãnh bằng máy đào 1,25m3 - Cấp đất II</v>
      </c>
      <c r="E49" s="66" t="str">
        <f>'5.Tiên lượng'!E85</f>
        <v>100m3</v>
      </c>
      <c r="F49" s="103">
        <f>'5.Tiên lượng'!M85</f>
        <v>0.2107</v>
      </c>
      <c r="G49" s="71"/>
      <c r="H49" s="71"/>
      <c r="I49" s="71">
        <f>'Chiết tính rút gọn'!J288</f>
        <v>775015.02</v>
      </c>
      <c r="J49" s="71">
        <f>'Chiết tính rút gọn'!J290</f>
        <v>986868.38985857158</v>
      </c>
      <c r="K49" s="71">
        <f t="shared" si="30"/>
        <v>1761883.4098585716</v>
      </c>
      <c r="L49" s="71">
        <f t="shared" si="31"/>
        <v>0</v>
      </c>
      <c r="M49" s="71">
        <f t="shared" si="32"/>
        <v>0</v>
      </c>
      <c r="N49" s="71">
        <f t="shared" si="33"/>
        <v>163295.66471400001</v>
      </c>
      <c r="O49" s="71">
        <f t="shared" si="34"/>
        <v>207933.16974320103</v>
      </c>
      <c r="P49" s="71">
        <f t="shared" si="35"/>
        <v>371228.83445720107</v>
      </c>
    </row>
    <row r="50" spans="1:16" ht="55.2">
      <c r="A50" s="67"/>
      <c r="B50" s="66">
        <v>35</v>
      </c>
      <c r="C50" s="67" t="str">
        <f>'5.Tiên lượng'!C87</f>
        <v>AB.31133(VD)</v>
      </c>
      <c r="D50" s="102" t="str">
        <f>'5.Tiên lượng'!D87</f>
        <v>Đào rãnh bằng máy đào 1,25m3 - Cấp đất III</v>
      </c>
      <c r="E50" s="66" t="str">
        <f>'5.Tiên lượng'!E87</f>
        <v>100m3</v>
      </c>
      <c r="F50" s="103">
        <f>'5.Tiên lượng'!M87</f>
        <v>2.9964</v>
      </c>
      <c r="G50" s="71"/>
      <c r="H50" s="71"/>
      <c r="I50" s="71">
        <f>'Chiết tính rút gọn'!J294</f>
        <v>928189.08</v>
      </c>
      <c r="J50" s="71">
        <f>'Chiết tính rút gọn'!J296</f>
        <v>1160321.1908914286</v>
      </c>
      <c r="K50" s="71">
        <f t="shared" si="30"/>
        <v>2088510.2708914285</v>
      </c>
      <c r="L50" s="71">
        <f t="shared" si="31"/>
        <v>0</v>
      </c>
      <c r="M50" s="71">
        <f t="shared" si="32"/>
        <v>0</v>
      </c>
      <c r="N50" s="71">
        <f t="shared" si="33"/>
        <v>2781225.7593119997</v>
      </c>
      <c r="O50" s="71">
        <f t="shared" si="34"/>
        <v>3476786.4163870765</v>
      </c>
      <c r="P50" s="71">
        <f t="shared" si="35"/>
        <v>6258012.1756990757</v>
      </c>
    </row>
    <row r="51" spans="1:16" ht="55.2">
      <c r="A51" s="67"/>
      <c r="B51" s="66">
        <v>36</v>
      </c>
      <c r="C51" s="67" t="str">
        <f>'5.Tiên lượng'!C89</f>
        <v>AB.31134(VD)</v>
      </c>
      <c r="D51" s="102" t="str">
        <f>'5.Tiên lượng'!D89</f>
        <v>Đào rãnh bằng máy đào 1,25m3 - Cấp đất IV</v>
      </c>
      <c r="E51" s="66" t="str">
        <f>'5.Tiên lượng'!E89</f>
        <v>100m3</v>
      </c>
      <c r="F51" s="103">
        <f>'5.Tiên lượng'!M89</f>
        <v>6.1699999999999998E-2</v>
      </c>
      <c r="G51" s="71"/>
      <c r="H51" s="71"/>
      <c r="I51" s="71">
        <f>'Chiết tính rút gọn'!J300</f>
        <v>1099652.5799999998</v>
      </c>
      <c r="J51" s="71">
        <f>'Chiết tính rút gọn'!J302</f>
        <v>1588223.1451285714</v>
      </c>
      <c r="K51" s="71">
        <f t="shared" si="30"/>
        <v>2687875.7251285715</v>
      </c>
      <c r="L51" s="71">
        <f t="shared" si="31"/>
        <v>0</v>
      </c>
      <c r="M51" s="71">
        <f t="shared" si="32"/>
        <v>0</v>
      </c>
      <c r="N51" s="71">
        <f t="shared" si="33"/>
        <v>67848.564185999989</v>
      </c>
      <c r="O51" s="71">
        <f t="shared" si="34"/>
        <v>97993.368054432853</v>
      </c>
      <c r="P51" s="71">
        <f t="shared" si="35"/>
        <v>165841.93224043283</v>
      </c>
    </row>
    <row r="52" spans="1:16" ht="55.2">
      <c r="A52" s="67"/>
      <c r="B52" s="66">
        <v>37</v>
      </c>
      <c r="C52" s="67" t="str">
        <f>'5.Tiên lượng'!C92</f>
        <v>AB.31132(VD)</v>
      </c>
      <c r="D52" s="102" t="str">
        <f>'5.Tiên lượng'!D92</f>
        <v>Đào cấp bằng máy đào 1,25m3 - Cấp đất II</v>
      </c>
      <c r="E52" s="66" t="str">
        <f>'5.Tiên lượng'!E92</f>
        <v>100m3</v>
      </c>
      <c r="F52" s="103">
        <f>'5.Tiên lượng'!M92</f>
        <v>0.92680000000000007</v>
      </c>
      <c r="G52" s="71"/>
      <c r="H52" s="71"/>
      <c r="I52" s="71">
        <f>'Chiết tính rút gọn'!J306</f>
        <v>775015.02</v>
      </c>
      <c r="J52" s="71">
        <f>'Chiết tính rút gọn'!J308</f>
        <v>986868.38985857158</v>
      </c>
      <c r="K52" s="71">
        <f t="shared" si="30"/>
        <v>1761883.4098585716</v>
      </c>
      <c r="L52" s="71">
        <f t="shared" si="31"/>
        <v>0</v>
      </c>
      <c r="M52" s="71">
        <f t="shared" si="32"/>
        <v>0</v>
      </c>
      <c r="N52" s="71">
        <f t="shared" si="33"/>
        <v>718283.92053600005</v>
      </c>
      <c r="O52" s="71">
        <f t="shared" si="34"/>
        <v>914629.62372092425</v>
      </c>
      <c r="P52" s="71">
        <f t="shared" si="35"/>
        <v>1632913.5442569242</v>
      </c>
    </row>
    <row r="53" spans="1:16" ht="55.2">
      <c r="A53" s="67"/>
      <c r="B53" s="66">
        <v>38</v>
      </c>
      <c r="C53" s="67" t="str">
        <f>'5.Tiên lượng'!C94</f>
        <v>AB.31132</v>
      </c>
      <c r="D53" s="102" t="str">
        <f>'5.Tiên lượng'!D94</f>
        <v>Đào hữu cơ bằng máy đào 1,25m3 - Cấp đất II</v>
      </c>
      <c r="E53" s="66" t="str">
        <f>'5.Tiên lượng'!E94</f>
        <v>100m3</v>
      </c>
      <c r="F53" s="103">
        <f>'5.Tiên lượng'!M94</f>
        <v>1.2434000000000001</v>
      </c>
      <c r="G53" s="71"/>
      <c r="H53" s="71"/>
      <c r="I53" s="71">
        <f>'Chiết tính rút gọn'!J312</f>
        <v>775015.02</v>
      </c>
      <c r="J53" s="71">
        <f>'Chiết tính rút gọn'!J314</f>
        <v>961125.91015457199</v>
      </c>
      <c r="K53" s="71">
        <f t="shared" si="30"/>
        <v>1736140.930154572</v>
      </c>
      <c r="L53" s="71">
        <f t="shared" si="31"/>
        <v>0</v>
      </c>
      <c r="M53" s="71">
        <f t="shared" si="32"/>
        <v>0</v>
      </c>
      <c r="N53" s="71">
        <f t="shared" si="33"/>
        <v>963653.67586800002</v>
      </c>
      <c r="O53" s="71">
        <f t="shared" si="34"/>
        <v>1195063.956686195</v>
      </c>
      <c r="P53" s="71">
        <f t="shared" si="35"/>
        <v>2158717.6325541949</v>
      </c>
    </row>
    <row r="54" spans="1:16">
      <c r="A54" s="67"/>
      <c r="B54" s="66">
        <v>0</v>
      </c>
      <c r="C54" s="67" t="s">
        <v>339</v>
      </c>
      <c r="D54" s="102" t="s">
        <v>376</v>
      </c>
      <c r="E54" s="66"/>
      <c r="F54" s="103">
        <v>0</v>
      </c>
      <c r="G54" s="71"/>
      <c r="H54" s="71"/>
      <c r="I54" s="71"/>
      <c r="J54" s="71"/>
      <c r="K54" s="71">
        <v>0</v>
      </c>
      <c r="L54" s="71">
        <v>0</v>
      </c>
      <c r="M54" s="71">
        <v>0</v>
      </c>
      <c r="N54" s="71">
        <v>0</v>
      </c>
      <c r="O54" s="71">
        <v>0</v>
      </c>
      <c r="P54" s="71">
        <v>0</v>
      </c>
    </row>
    <row r="55" spans="1:16" ht="55.2">
      <c r="A55" s="67"/>
      <c r="B55" s="66">
        <v>39</v>
      </c>
      <c r="C55" s="67" t="str">
        <f>'5.Tiên lượng'!C97</f>
        <v>AB.67110</v>
      </c>
      <c r="D55" s="102" t="str">
        <f>'5.Tiên lượng'!D97</f>
        <v>Đắp đá hỗn hợp công trình bằng máy ủi 180CV</v>
      </c>
      <c r="E55" s="66" t="str">
        <f>'5.Tiên lượng'!E97</f>
        <v>100m3</v>
      </c>
      <c r="F55" s="103">
        <f>'5.Tiên lượng'!M97</f>
        <v>0</v>
      </c>
      <c r="G55" s="71"/>
      <c r="H55" s="71"/>
      <c r="I55" s="71">
        <f>'Chiết tính rút gọn'!J319</f>
        <v>857317.5</v>
      </c>
      <c r="J55" s="71">
        <f>'Chiết tính rút gọn'!J321</f>
        <v>3453228.9288000008</v>
      </c>
      <c r="K55" s="71">
        <f t="shared" ref="K55:K57" si="36">SUM(G55:J55)</f>
        <v>4310546.4288000008</v>
      </c>
      <c r="L55" s="71">
        <f t="shared" ref="L55:L57" si="37">F55*G55</f>
        <v>0</v>
      </c>
      <c r="M55" s="71">
        <f t="shared" ref="M55:M57" si="38">F55*H55</f>
        <v>0</v>
      </c>
      <c r="N55" s="71">
        <f t="shared" ref="N55:N57" si="39">F55*I55</f>
        <v>0</v>
      </c>
      <c r="O55" s="71">
        <f t="shared" ref="O55:O57" si="40">F55*J55</f>
        <v>0</v>
      </c>
      <c r="P55" s="71">
        <f t="shared" ref="P55:P57" si="41">SUM(L55:O55)</f>
        <v>0</v>
      </c>
    </row>
    <row r="56" spans="1:16" ht="55.2">
      <c r="A56" s="67"/>
      <c r="B56" s="66">
        <v>40</v>
      </c>
      <c r="C56" s="67" t="str">
        <f>'5.Tiên lượng'!C99</f>
        <v>AD.11212</v>
      </c>
      <c r="D56" s="102" t="str">
        <f>'5.Tiên lượng'!D99</f>
        <v xml:space="preserve">Thi công móng cấp phối đá dăm lớp dưới </v>
      </c>
      <c r="E56" s="66" t="str">
        <f>'5.Tiên lượng'!E99</f>
        <v>100m3</v>
      </c>
      <c r="F56" s="103">
        <f>'5.Tiên lượng'!M99</f>
        <v>4.3350070000000001</v>
      </c>
      <c r="G56" s="71">
        <f>'Chiết tính rút gọn'!J324</f>
        <v>32221379.337286752</v>
      </c>
      <c r="H56" s="71"/>
      <c r="I56" s="71">
        <f>'Chiết tính rút gọn'!J326</f>
        <v>770352.96000000008</v>
      </c>
      <c r="J56" s="71">
        <f>'Chiết tính rút gọn'!J328</f>
        <v>2369565.459726376</v>
      </c>
      <c r="K56" s="71">
        <f t="shared" si="36"/>
        <v>35361297.757013127</v>
      </c>
      <c r="L56" s="71">
        <f t="shared" si="37"/>
        <v>139679904.97679344</v>
      </c>
      <c r="M56" s="71">
        <f t="shared" si="38"/>
        <v>0</v>
      </c>
      <c r="N56" s="71">
        <f t="shared" si="39"/>
        <v>3339485.4740707204</v>
      </c>
      <c r="O56" s="71">
        <f t="shared" si="40"/>
        <v>10272082.854872059</v>
      </c>
      <c r="P56" s="71">
        <f t="shared" si="41"/>
        <v>153291473.30573621</v>
      </c>
    </row>
    <row r="57" spans="1:16" ht="96.6">
      <c r="A57" s="67"/>
      <c r="B57" s="66">
        <v>41</v>
      </c>
      <c r="C57" s="67" t="str">
        <f>'5.Tiên lượng'!C101</f>
        <v>AB.64113</v>
      </c>
      <c r="D57" s="102" t="str">
        <f>'5.Tiên lượng'!D101</f>
        <v>Đắp nền đường bằng máy lu bánh thép 9T, máy ủi 110CV, độ chặt Y/C K = 0,95</v>
      </c>
      <c r="E57" s="66" t="str">
        <f>'5.Tiên lượng'!E101</f>
        <v>100m3</v>
      </c>
      <c r="F57" s="103">
        <f>'5.Tiên lượng'!M101</f>
        <v>8.2415929999999999</v>
      </c>
      <c r="G57" s="71"/>
      <c r="H57" s="71"/>
      <c r="I57" s="71">
        <f>'Chiết tính rút gọn'!J336</f>
        <v>377219.69999999995</v>
      </c>
      <c r="J57" s="71">
        <f>'Chiết tính rút gọn'!J338</f>
        <v>786591.09942629898</v>
      </c>
      <c r="K57" s="71">
        <f t="shared" si="36"/>
        <v>1163810.7994262991</v>
      </c>
      <c r="L57" s="71">
        <f t="shared" si="37"/>
        <v>0</v>
      </c>
      <c r="M57" s="71">
        <f t="shared" si="38"/>
        <v>0</v>
      </c>
      <c r="N57" s="71">
        <f t="shared" si="39"/>
        <v>3108891.2389820996</v>
      </c>
      <c r="O57" s="71">
        <f t="shared" si="40"/>
        <v>6482763.69889409</v>
      </c>
      <c r="P57" s="71">
        <f t="shared" si="41"/>
        <v>9591654.9378761891</v>
      </c>
    </row>
    <row r="58" spans="1:16" ht="27.6">
      <c r="A58" s="67"/>
      <c r="B58" s="66">
        <v>0</v>
      </c>
      <c r="C58" s="67" t="s">
        <v>339</v>
      </c>
      <c r="D58" s="102" t="s">
        <v>387</v>
      </c>
      <c r="E58" s="66"/>
      <c r="F58" s="103">
        <v>0</v>
      </c>
      <c r="G58" s="71"/>
      <c r="H58" s="71"/>
      <c r="I58" s="71"/>
      <c r="J58" s="71"/>
      <c r="K58" s="71">
        <v>0</v>
      </c>
      <c r="L58" s="71">
        <v>0</v>
      </c>
      <c r="M58" s="71">
        <v>0</v>
      </c>
      <c r="N58" s="71">
        <v>0</v>
      </c>
      <c r="O58" s="71">
        <v>0</v>
      </c>
      <c r="P58" s="71">
        <v>0</v>
      </c>
    </row>
    <row r="59" spans="1:16" ht="55.2">
      <c r="A59" s="67"/>
      <c r="B59" s="66">
        <v>0</v>
      </c>
      <c r="C59" s="67" t="s">
        <v>339</v>
      </c>
      <c r="D59" s="102" t="s">
        <v>438</v>
      </c>
      <c r="E59" s="66"/>
      <c r="F59" s="103">
        <v>0</v>
      </c>
      <c r="G59" s="71"/>
      <c r="H59" s="71"/>
      <c r="I59" s="71"/>
      <c r="J59" s="71"/>
      <c r="K59" s="71">
        <v>0</v>
      </c>
      <c r="L59" s="71">
        <v>0</v>
      </c>
      <c r="M59" s="71">
        <v>0</v>
      </c>
      <c r="N59" s="71">
        <v>0</v>
      </c>
      <c r="O59" s="71">
        <v>0</v>
      </c>
      <c r="P59" s="71">
        <v>0</v>
      </c>
    </row>
    <row r="60" spans="1:16" ht="96.6">
      <c r="A60" s="67"/>
      <c r="B60" s="66">
        <v>42</v>
      </c>
      <c r="C60" s="67" t="str">
        <f>'5.Tiên lượng'!C105</f>
        <v>AD.11212(VD)</v>
      </c>
      <c r="D60" s="102" t="str">
        <f>'5.Tiên lượng'!D105</f>
        <v>Bù vật liệu (trên mặt đường cũ lồi lõm) bằng cấp phối đá dăm loại 2 (không lu)</v>
      </c>
      <c r="E60" s="66" t="str">
        <f>'5.Tiên lượng'!E105</f>
        <v>100m3</v>
      </c>
      <c r="F60" s="103">
        <f>'5.Tiên lượng'!M105</f>
        <v>10.24</v>
      </c>
      <c r="G60" s="71">
        <f>'Chiết tính rút gọn'!J345</f>
        <v>32221379.337286752</v>
      </c>
      <c r="H60" s="71"/>
      <c r="I60" s="71">
        <f>'Chiết tính rút gọn'!J347</f>
        <v>770352.96000000008</v>
      </c>
      <c r="J60" s="71">
        <f>'Chiết tính rút gọn'!J349</f>
        <v>2369565.459726376</v>
      </c>
      <c r="K60" s="71">
        <f t="shared" ref="K60:K65" si="42">SUM(G60:J60)</f>
        <v>35361297.757013127</v>
      </c>
      <c r="L60" s="71">
        <f t="shared" ref="L60:L65" si="43">F60*G60</f>
        <v>329946924.41381633</v>
      </c>
      <c r="M60" s="71">
        <f t="shared" ref="M60:M65" si="44">F60*H60</f>
        <v>0</v>
      </c>
      <c r="N60" s="71">
        <f t="shared" ref="N60:N65" si="45">F60*I60</f>
        <v>7888414.3104000008</v>
      </c>
      <c r="O60" s="71">
        <f t="shared" ref="O60:O65" si="46">F60*J60</f>
        <v>24264350.307598092</v>
      </c>
      <c r="P60" s="71">
        <f t="shared" ref="P60:P65" si="47">SUM(L60:O60)</f>
        <v>362099689.03181446</v>
      </c>
    </row>
    <row r="61" spans="1:16" ht="69">
      <c r="A61" s="67"/>
      <c r="B61" s="66">
        <v>43</v>
      </c>
      <c r="C61" s="67" t="str">
        <f>'5.Tiên lượng'!C107</f>
        <v>AB.31133</v>
      </c>
      <c r="D61" s="102" t="str">
        <f>'5.Tiên lượng'!D107</f>
        <v>Đào đất phần cạp mở rộng bằng máy đào 1,25m3 - Cấp đất III</v>
      </c>
      <c r="E61" s="66" t="str">
        <f>'5.Tiên lượng'!E107</f>
        <v>100m3</v>
      </c>
      <c r="F61" s="103">
        <f>'5.Tiên lượng'!M107</f>
        <v>2.1415000000000002</v>
      </c>
      <c r="G61" s="71"/>
      <c r="H61" s="71"/>
      <c r="I61" s="71">
        <f>'Chiết tính rút gọn'!J357</f>
        <v>928189.08</v>
      </c>
      <c r="J61" s="71">
        <f>'Chiết tính rút gọn'!J359</f>
        <v>1160321.1908914286</v>
      </c>
      <c r="K61" s="71">
        <f t="shared" si="42"/>
        <v>2088510.2708914285</v>
      </c>
      <c r="L61" s="71">
        <f t="shared" si="43"/>
        <v>0</v>
      </c>
      <c r="M61" s="71">
        <f t="shared" si="44"/>
        <v>0</v>
      </c>
      <c r="N61" s="71">
        <f t="shared" si="45"/>
        <v>1987716.9148200001</v>
      </c>
      <c r="O61" s="71">
        <f t="shared" si="46"/>
        <v>2484827.8302939944</v>
      </c>
      <c r="P61" s="71">
        <f t="shared" si="47"/>
        <v>4472544.7451139949</v>
      </c>
    </row>
    <row r="62" spans="1:16" ht="96.6">
      <c r="A62" s="67"/>
      <c r="B62" s="66">
        <v>44</v>
      </c>
      <c r="C62" s="67" t="str">
        <f>'5.Tiên lượng'!C109</f>
        <v>AD.11212</v>
      </c>
      <c r="D62" s="102" t="str">
        <f>'5.Tiên lượng'!D109</f>
        <v>Bù trả vật liệu phần cạp mở rộng bằng cấp phối đá dăm loại 2 dày 18cm (không lu)</v>
      </c>
      <c r="E62" s="66" t="str">
        <f>'5.Tiên lượng'!E109</f>
        <v>100m3</v>
      </c>
      <c r="F62" s="103">
        <f>'5.Tiên lượng'!M109</f>
        <v>4.8311000000000002</v>
      </c>
      <c r="G62" s="71">
        <f>'Chiết tính rút gọn'!J363</f>
        <v>32221379.337286752</v>
      </c>
      <c r="H62" s="71"/>
      <c r="I62" s="71">
        <f>'Chiết tính rút gọn'!J365</f>
        <v>770352.96000000008</v>
      </c>
      <c r="J62" s="71">
        <f>'Chiết tính rút gọn'!J367</f>
        <v>2369565.459726376</v>
      </c>
      <c r="K62" s="71">
        <f t="shared" si="42"/>
        <v>35361297.757013127</v>
      </c>
      <c r="L62" s="71">
        <f t="shared" si="43"/>
        <v>155664705.71636602</v>
      </c>
      <c r="M62" s="71">
        <f t="shared" si="44"/>
        <v>0</v>
      </c>
      <c r="N62" s="71">
        <f t="shared" si="45"/>
        <v>3721652.1850560005</v>
      </c>
      <c r="O62" s="71">
        <f t="shared" si="46"/>
        <v>11447607.692484096</v>
      </c>
      <c r="P62" s="71">
        <f t="shared" si="47"/>
        <v>170833965.5939061</v>
      </c>
    </row>
    <row r="63" spans="1:16" ht="151.80000000000001">
      <c r="A63" s="67"/>
      <c r="B63" s="66">
        <v>45</v>
      </c>
      <c r="C63" s="67" t="str">
        <f>'5.Tiên lượng'!C111</f>
        <v>LS.11110(ĐM.1322)</v>
      </c>
      <c r="D63" s="102" t="str">
        <f>'5.Tiên lượng'!D111</f>
        <v>Cào bóc tái sinh nguội tại chỗ bằng máy cào bóc tái sinh WR2400 trên mặt đường láng nhựa, chiều dày 18cm (4% xi măng rải thủ công)</v>
      </c>
      <c r="E63" s="66" t="str">
        <f>'5.Tiên lượng'!E111</f>
        <v>100m3</v>
      </c>
      <c r="F63" s="103">
        <f>'5.Tiên lượng'!M111</f>
        <v>19.253299999999999</v>
      </c>
      <c r="G63" s="71">
        <f>'Chiết tính rút gọn'!J375</f>
        <v>19188881.861584913</v>
      </c>
      <c r="H63" s="71"/>
      <c r="I63" s="71">
        <f>'Chiết tính rút gọn'!J380</f>
        <v>2466402.8760000002</v>
      </c>
      <c r="J63" s="71">
        <f>'Chiết tính rút gọn'!J383</f>
        <v>15451394.796850514</v>
      </c>
      <c r="K63" s="71">
        <f t="shared" si="42"/>
        <v>37106679.534435421</v>
      </c>
      <c r="L63" s="71">
        <f t="shared" si="43"/>
        <v>369449299.14565277</v>
      </c>
      <c r="M63" s="71">
        <f t="shared" si="44"/>
        <v>0</v>
      </c>
      <c r="N63" s="71">
        <f t="shared" si="45"/>
        <v>47486394.492490798</v>
      </c>
      <c r="O63" s="71">
        <f t="shared" si="46"/>
        <v>297490339.44220197</v>
      </c>
      <c r="P63" s="71">
        <f t="shared" si="47"/>
        <v>714426033.08034551</v>
      </c>
    </row>
    <row r="64" spans="1:16" ht="82.8">
      <c r="A64" s="67"/>
      <c r="B64" s="66">
        <v>46</v>
      </c>
      <c r="C64" s="67" t="str">
        <f>'5.Tiên lượng'!C113</f>
        <v>AD.24223</v>
      </c>
      <c r="D64" s="102" t="str">
        <f>'5.Tiên lượng'!D113</f>
        <v>Tưới lớp dính bám mặt đường, nhũ tương CSS1, lượng nhũ tương 1kg/m2</v>
      </c>
      <c r="E64" s="66" t="str">
        <f>'5.Tiên lượng'!E113</f>
        <v>100m2</v>
      </c>
      <c r="F64" s="103">
        <f>'5.Tiên lượng'!M113</f>
        <v>106.9627</v>
      </c>
      <c r="G64" s="71">
        <f>'Chiết tính rút gọn'!J394</f>
        <v>1406043.8394685537</v>
      </c>
      <c r="H64" s="71"/>
      <c r="I64" s="71">
        <f>'Chiết tính rút gọn'!J396</f>
        <v>62100</v>
      </c>
      <c r="J64" s="71">
        <f>'Chiết tính rút gọn'!J398</f>
        <v>259243.05535040001</v>
      </c>
      <c r="K64" s="71">
        <f t="shared" si="42"/>
        <v>1727386.8948189537</v>
      </c>
      <c r="L64" s="71">
        <f t="shared" si="43"/>
        <v>150394245.38792306</v>
      </c>
      <c r="M64" s="71">
        <f t="shared" si="44"/>
        <v>0</v>
      </c>
      <c r="N64" s="71">
        <f t="shared" si="45"/>
        <v>6642383.6699999999</v>
      </c>
      <c r="O64" s="71">
        <f t="shared" si="46"/>
        <v>27729337.156528231</v>
      </c>
      <c r="P64" s="71">
        <f t="shared" si="47"/>
        <v>184765966.21445128</v>
      </c>
    </row>
    <row r="65" spans="1:16" ht="82.8">
      <c r="A65" s="67"/>
      <c r="B65" s="66">
        <v>47</v>
      </c>
      <c r="C65" s="67" t="str">
        <f>'5.Tiên lượng'!C115</f>
        <v>AD.24132</v>
      </c>
      <c r="D65" s="102" t="str">
        <f>'5.Tiên lượng'!D115</f>
        <v>Thi công mặt đường láng nhũ tương 03 lớp - Tiêu chuẩn nhựa 4,5kg/m2</v>
      </c>
      <c r="E65" s="66" t="str">
        <f>'5.Tiên lượng'!E115</f>
        <v>100m2</v>
      </c>
      <c r="F65" s="103">
        <f>'5.Tiên lượng'!M115</f>
        <v>106.9627</v>
      </c>
      <c r="G65" s="71">
        <f>'Chiết tính rút gọn'!J403</f>
        <v>7572500.995428551</v>
      </c>
      <c r="H65" s="71"/>
      <c r="I65" s="71">
        <f>'Chiết tính rút gọn'!J408</f>
        <v>1166400</v>
      </c>
      <c r="J65" s="71">
        <f>'Chiết tính rút gọn'!J410</f>
        <v>800277.14898553898</v>
      </c>
      <c r="K65" s="71">
        <f t="shared" si="42"/>
        <v>9539178.1444140896</v>
      </c>
      <c r="L65" s="71">
        <f t="shared" si="43"/>
        <v>809975152.22372544</v>
      </c>
      <c r="M65" s="71">
        <f t="shared" si="44"/>
        <v>0</v>
      </c>
      <c r="N65" s="71">
        <f t="shared" si="45"/>
        <v>124761293.28</v>
      </c>
      <c r="O65" s="71">
        <f t="shared" si="46"/>
        <v>85599804.603795514</v>
      </c>
      <c r="P65" s="71">
        <f t="shared" si="47"/>
        <v>1020336250.1075209</v>
      </c>
    </row>
    <row r="66" spans="1:16" ht="27.6">
      <c r="A66" s="67"/>
      <c r="B66" s="66">
        <v>0</v>
      </c>
      <c r="C66" s="67" t="s">
        <v>339</v>
      </c>
      <c r="D66" s="102" t="s">
        <v>454</v>
      </c>
      <c r="E66" s="66"/>
      <c r="F66" s="103">
        <v>0</v>
      </c>
      <c r="G66" s="71"/>
      <c r="H66" s="71"/>
      <c r="I66" s="71"/>
      <c r="J66" s="71"/>
      <c r="K66" s="71">
        <v>0</v>
      </c>
      <c r="L66" s="71">
        <v>0</v>
      </c>
      <c r="M66" s="71">
        <v>0</v>
      </c>
      <c r="N66" s="71">
        <v>0</v>
      </c>
      <c r="O66" s="71">
        <v>0</v>
      </c>
      <c r="P66" s="71">
        <v>0</v>
      </c>
    </row>
    <row r="67" spans="1:16" ht="151.80000000000001">
      <c r="A67" s="67"/>
      <c r="B67" s="66">
        <v>48</v>
      </c>
      <c r="C67" s="67" t="str">
        <f>'5.Tiên lượng'!C118</f>
        <v>LS.11110(ĐM.1322)</v>
      </c>
      <c r="D67" s="102" t="str">
        <f>'5.Tiên lượng'!D118</f>
        <v>Cào bóc tái sinh nguội tại chỗ bằng máy cào bóc tái sinh WR2400 trên mặt đường láng nhựa, chiều dày 18cm (4% xi măng rải thủ công)</v>
      </c>
      <c r="E67" s="66" t="str">
        <f>'5.Tiên lượng'!E118</f>
        <v>100m3</v>
      </c>
      <c r="F67" s="103">
        <f>'5.Tiên lượng'!M118</f>
        <v>0.2389</v>
      </c>
      <c r="G67" s="71">
        <f>'Chiết tính rút gọn'!J416</f>
        <v>19188881.861584913</v>
      </c>
      <c r="H67" s="71"/>
      <c r="I67" s="71">
        <f>'Chiết tính rút gọn'!J421</f>
        <v>2466402.8760000002</v>
      </c>
      <c r="J67" s="71">
        <f>'Chiết tính rút gọn'!J424</f>
        <v>15451394.796850514</v>
      </c>
      <c r="K67" s="71">
        <f t="shared" ref="K67:K69" si="48">SUM(G67:J67)</f>
        <v>37106679.534435421</v>
      </c>
      <c r="L67" s="71">
        <f t="shared" ref="L67:L69" si="49">F67*G67</f>
        <v>4584223.8767326353</v>
      </c>
      <c r="M67" s="71">
        <f t="shared" ref="M67:M69" si="50">F67*H67</f>
        <v>0</v>
      </c>
      <c r="N67" s="71">
        <f t="shared" ref="N67:N69" si="51">F67*I67</f>
        <v>589223.6470764</v>
      </c>
      <c r="O67" s="71">
        <f t="shared" ref="O67:O69" si="52">F67*J67</f>
        <v>3691338.2169675878</v>
      </c>
      <c r="P67" s="71">
        <f t="shared" ref="P67:P69" si="53">SUM(L67:O67)</f>
        <v>8864785.7407766227</v>
      </c>
    </row>
    <row r="68" spans="1:16" ht="82.8">
      <c r="A68" s="67"/>
      <c r="B68" s="66">
        <v>49</v>
      </c>
      <c r="C68" s="67" t="str">
        <f>'5.Tiên lượng'!C120</f>
        <v>AD.24223</v>
      </c>
      <c r="D68" s="102" t="str">
        <f>'5.Tiên lượng'!D120</f>
        <v>Tưới lớp dính bám mặt đường, nhũ tương CSS1, lượng nhũ tương 1kg/m2</v>
      </c>
      <c r="E68" s="66" t="str">
        <f>'5.Tiên lượng'!E120</f>
        <v>100m2</v>
      </c>
      <c r="F68" s="103">
        <f>'5.Tiên lượng'!M120</f>
        <v>1.3271999999999999</v>
      </c>
      <c r="G68" s="71">
        <f>'Chiết tính rút gọn'!J435</f>
        <v>1406043.8394685537</v>
      </c>
      <c r="H68" s="71"/>
      <c r="I68" s="71">
        <f>'Chiết tính rút gọn'!J437</f>
        <v>62100</v>
      </c>
      <c r="J68" s="71">
        <f>'Chiết tính rút gọn'!J439</f>
        <v>259243.05535040001</v>
      </c>
      <c r="K68" s="71">
        <f t="shared" si="48"/>
        <v>1727386.8948189537</v>
      </c>
      <c r="L68" s="71">
        <f t="shared" si="49"/>
        <v>1866101.3837426642</v>
      </c>
      <c r="M68" s="71">
        <f t="shared" si="50"/>
        <v>0</v>
      </c>
      <c r="N68" s="71">
        <f t="shared" si="51"/>
        <v>82419.12</v>
      </c>
      <c r="O68" s="71">
        <f t="shared" si="52"/>
        <v>344067.3830610509</v>
      </c>
      <c r="P68" s="71">
        <f t="shared" si="53"/>
        <v>2292587.886803715</v>
      </c>
    </row>
    <row r="69" spans="1:16" ht="82.8">
      <c r="A69" s="67"/>
      <c r="B69" s="66">
        <v>50</v>
      </c>
      <c r="C69" s="67" t="str">
        <f>'5.Tiên lượng'!C122</f>
        <v>AD.24132</v>
      </c>
      <c r="D69" s="102" t="str">
        <f>'5.Tiên lượng'!D122</f>
        <v>Thi công mặt đường láng nhũ tương 03 lớp - Tiêu chuẩn nhựa 4,5kg/m2</v>
      </c>
      <c r="E69" s="66" t="str">
        <f>'5.Tiên lượng'!E122</f>
        <v>100m2</v>
      </c>
      <c r="F69" s="103">
        <f>'5.Tiên lượng'!M122</f>
        <v>1.3271999999999999</v>
      </c>
      <c r="G69" s="71">
        <f>'Chiết tính rút gọn'!J444</f>
        <v>7572500.995428551</v>
      </c>
      <c r="H69" s="71"/>
      <c r="I69" s="71">
        <f>'Chiết tính rút gọn'!J449</f>
        <v>1166400</v>
      </c>
      <c r="J69" s="71">
        <f>'Chiết tính rút gọn'!J451</f>
        <v>800277.14898553898</v>
      </c>
      <c r="K69" s="71">
        <f t="shared" si="48"/>
        <v>9539178.1444140896</v>
      </c>
      <c r="L69" s="71">
        <f t="shared" si="49"/>
        <v>10050223.321132772</v>
      </c>
      <c r="M69" s="71">
        <f t="shared" si="50"/>
        <v>0</v>
      </c>
      <c r="N69" s="71">
        <f t="shared" si="51"/>
        <v>1548046.0799999998</v>
      </c>
      <c r="O69" s="71">
        <f t="shared" si="52"/>
        <v>1062127.8321336072</v>
      </c>
      <c r="P69" s="71">
        <f t="shared" si="53"/>
        <v>12660397.23326638</v>
      </c>
    </row>
    <row r="70" spans="1:16" ht="41.4">
      <c r="A70" s="67"/>
      <c r="B70" s="66">
        <v>0</v>
      </c>
      <c r="C70" s="67" t="s">
        <v>339</v>
      </c>
      <c r="D70" s="102" t="s">
        <v>457</v>
      </c>
      <c r="E70" s="66"/>
      <c r="F70" s="103">
        <v>0</v>
      </c>
      <c r="G70" s="71"/>
      <c r="H70" s="71"/>
      <c r="I70" s="71"/>
      <c r="J70" s="71"/>
      <c r="K70" s="71">
        <v>0</v>
      </c>
      <c r="L70" s="71">
        <v>0</v>
      </c>
      <c r="M70" s="71">
        <v>0</v>
      </c>
      <c r="N70" s="71">
        <v>0</v>
      </c>
      <c r="O70" s="71">
        <v>0</v>
      </c>
      <c r="P70" s="71">
        <v>0</v>
      </c>
    </row>
    <row r="71" spans="1:16" ht="27.6">
      <c r="A71" s="67"/>
      <c r="B71" s="66">
        <v>0</v>
      </c>
      <c r="C71" s="67" t="s">
        <v>339</v>
      </c>
      <c r="D71" s="102" t="s">
        <v>458</v>
      </c>
      <c r="E71" s="66"/>
      <c r="F71" s="103">
        <v>0</v>
      </c>
      <c r="G71" s="71"/>
      <c r="H71" s="71"/>
      <c r="I71" s="71"/>
      <c r="J71" s="71"/>
      <c r="K71" s="71">
        <v>0</v>
      </c>
      <c r="L71" s="71">
        <v>0</v>
      </c>
      <c r="M71" s="71">
        <v>0</v>
      </c>
      <c r="N71" s="71">
        <v>0</v>
      </c>
      <c r="O71" s="71">
        <v>0</v>
      </c>
      <c r="P71" s="71">
        <v>0</v>
      </c>
    </row>
    <row r="72" spans="1:16" ht="55.2">
      <c r="A72" s="67"/>
      <c r="B72" s="66">
        <v>51</v>
      </c>
      <c r="C72" s="67" t="str">
        <f>'5.Tiên lượng'!C127</f>
        <v>AK.98110(VD)</v>
      </c>
      <c r="D72" s="102" t="str">
        <f>'5.Tiên lượng'!D127</f>
        <v>Đá dăm đệm rãnh, đá (1x2)cm, dày 10cm</v>
      </c>
      <c r="E72" s="66" t="str">
        <f>'5.Tiên lượng'!E127</f>
        <v>m3</v>
      </c>
      <c r="F72" s="103">
        <f>'5.Tiên lượng'!M127</f>
        <v>7.43</v>
      </c>
      <c r="G72" s="71">
        <f>'Chiết tính rút gọn'!J458</f>
        <v>495257.6142875955</v>
      </c>
      <c r="H72" s="71"/>
      <c r="I72" s="71">
        <f>'Chiết tính rút gọn'!J461</f>
        <v>347020.92800000001</v>
      </c>
      <c r="J72" s="71"/>
      <c r="K72" s="71">
        <f t="shared" ref="K72:K82" si="54">SUM(G72:J72)</f>
        <v>842278.54228759557</v>
      </c>
      <c r="L72" s="71">
        <f t="shared" ref="L72:L82" si="55">F72*G72</f>
        <v>3679764.0741568343</v>
      </c>
      <c r="M72" s="71">
        <f t="shared" ref="M72:M82" si="56">F72*H72</f>
        <v>0</v>
      </c>
      <c r="N72" s="71">
        <f t="shared" ref="N72:N82" si="57">F72*I72</f>
        <v>2578365.49504</v>
      </c>
      <c r="O72" s="71">
        <f t="shared" ref="O72:O82" si="58">F72*J72</f>
        <v>0</v>
      </c>
      <c r="P72" s="71">
        <f t="shared" ref="P72:P82" si="59">SUM(L72:O72)</f>
        <v>6258129.5691968342</v>
      </c>
    </row>
    <row r="73" spans="1:16" ht="55.2">
      <c r="A73" s="67"/>
      <c r="B73" s="66">
        <v>52</v>
      </c>
      <c r="C73" s="67" t="str">
        <f>'5.Tiên lượng'!C128</f>
        <v>AF.11231</v>
      </c>
      <c r="D73" s="102" t="str">
        <f>'5.Tiên lượng'!D128</f>
        <v>BTXM móng rãnh, M150, đá 2x4, PCB40</v>
      </c>
      <c r="E73" s="66" t="str">
        <f>'5.Tiên lượng'!E128</f>
        <v>m3</v>
      </c>
      <c r="F73" s="103">
        <f>'5.Tiên lượng'!M128</f>
        <v>7.43</v>
      </c>
      <c r="G73" s="71">
        <f>'Chiết tính rút gọn'!J464</f>
        <v>1030429.0629510203</v>
      </c>
      <c r="H73" s="71"/>
      <c r="I73" s="71">
        <f>'Chiết tính rút gọn'!J470</f>
        <v>303696.83999999997</v>
      </c>
      <c r="J73" s="71">
        <f>'Chiết tính rút gọn'!J472</f>
        <v>56032.926787260003</v>
      </c>
      <c r="K73" s="71">
        <f t="shared" si="54"/>
        <v>1390158.8297382803</v>
      </c>
      <c r="L73" s="71">
        <f t="shared" si="55"/>
        <v>7656087.9377260804</v>
      </c>
      <c r="M73" s="71">
        <f t="shared" si="56"/>
        <v>0</v>
      </c>
      <c r="N73" s="71">
        <f t="shared" si="57"/>
        <v>2256467.5211999998</v>
      </c>
      <c r="O73" s="71">
        <f t="shared" si="58"/>
        <v>416324.64602934179</v>
      </c>
      <c r="P73" s="71">
        <f t="shared" si="59"/>
        <v>10328880.104955422</v>
      </c>
    </row>
    <row r="74" spans="1:16" ht="96.6">
      <c r="A74" s="67"/>
      <c r="B74" s="66">
        <v>53</v>
      </c>
      <c r="C74" s="67" t="str">
        <f>'5.Tiên lượng'!C129</f>
        <v>AE.26313</v>
      </c>
      <c r="D74" s="102" t="str">
        <f>'5.Tiên lượng'!D129</f>
        <v>Xây rãnh thoát nước bằng gạch KN 6,5x10,5x22cm, vữa XM M75, PCB40</v>
      </c>
      <c r="E74" s="66" t="str">
        <f>'5.Tiên lượng'!E129</f>
        <v>m3</v>
      </c>
      <c r="F74" s="103">
        <f>'5.Tiên lượng'!M129</f>
        <v>10.43</v>
      </c>
      <c r="G74" s="71">
        <f>'Chiết tính rút gọn'!J476</f>
        <v>1194550.9401206358</v>
      </c>
      <c r="H74" s="71"/>
      <c r="I74" s="71">
        <f>'Chiết tính rút gọn'!J482</f>
        <v>1215000</v>
      </c>
      <c r="J74" s="71">
        <f>'Chiết tính rút gọn'!J484</f>
        <v>11685.075274722354</v>
      </c>
      <c r="K74" s="71">
        <f t="shared" si="54"/>
        <v>2421236.0153953577</v>
      </c>
      <c r="L74" s="71">
        <f t="shared" si="55"/>
        <v>12459166.305458231</v>
      </c>
      <c r="M74" s="71">
        <f t="shared" si="56"/>
        <v>0</v>
      </c>
      <c r="N74" s="71">
        <f t="shared" si="57"/>
        <v>12672450</v>
      </c>
      <c r="O74" s="71">
        <f t="shared" si="58"/>
        <v>121875.33511535414</v>
      </c>
      <c r="P74" s="71">
        <f t="shared" si="59"/>
        <v>25253491.640573587</v>
      </c>
    </row>
    <row r="75" spans="1:16" ht="69">
      <c r="A75" s="67"/>
      <c r="B75" s="66">
        <v>54</v>
      </c>
      <c r="C75" s="67" t="str">
        <f>'5.Tiên lượng'!C130</f>
        <v>AK.21113</v>
      </c>
      <c r="D75" s="102" t="str">
        <f>'5.Tiên lượng'!D130</f>
        <v>Trát tường ngoài dày 1cm, vữa XM M75, PCB40</v>
      </c>
      <c r="E75" s="66" t="str">
        <f>'5.Tiên lượng'!E130</f>
        <v>m2</v>
      </c>
      <c r="F75" s="103">
        <f>'5.Tiên lượng'!M130</f>
        <v>47.4</v>
      </c>
      <c r="G75" s="71">
        <f>'Chiết tính rút gọn'!J487</f>
        <v>11628.151998675268</v>
      </c>
      <c r="H75" s="71"/>
      <c r="I75" s="71">
        <f>'Chiết tính rút gọn'!J492</f>
        <v>59400</v>
      </c>
      <c r="J75" s="71">
        <f>'Chiết tính rút gọn'!J494</f>
        <v>599.23462947294126</v>
      </c>
      <c r="K75" s="71">
        <f t="shared" si="54"/>
        <v>71627.386628148204</v>
      </c>
      <c r="L75" s="71">
        <f t="shared" si="55"/>
        <v>551174.40473720769</v>
      </c>
      <c r="M75" s="71">
        <f t="shared" si="56"/>
        <v>0</v>
      </c>
      <c r="N75" s="71">
        <f t="shared" si="57"/>
        <v>2815560</v>
      </c>
      <c r="O75" s="71">
        <f t="shared" si="58"/>
        <v>28403.721437017415</v>
      </c>
      <c r="P75" s="71">
        <f t="shared" si="59"/>
        <v>3395138.126174225</v>
      </c>
    </row>
    <row r="76" spans="1:16" ht="124.2">
      <c r="A76" s="67"/>
      <c r="B76" s="66">
        <v>55</v>
      </c>
      <c r="C76" s="67" t="str">
        <f>'5.Tiên lượng'!C132</f>
        <v>AF.14212</v>
      </c>
      <c r="D76" s="102" t="str">
        <f>'5.Tiên lượng'!D132</f>
        <v>Bê tông mũ mố, mũ trụ trên cạn SX bằng máy trộn, đổ bằng thủ công, bê tông M200, đá 1x2, PCB40</v>
      </c>
      <c r="E76" s="66" t="str">
        <f>'5.Tiên lượng'!E132</f>
        <v>m3</v>
      </c>
      <c r="F76" s="103">
        <f>'5.Tiên lượng'!M132</f>
        <v>5.91</v>
      </c>
      <c r="G76" s="71">
        <f>'Chiết tính rút gọn'!J497</f>
        <v>1136050.7081554648</v>
      </c>
      <c r="H76" s="71"/>
      <c r="I76" s="71">
        <f>'Chiết tính rút gọn'!J503</f>
        <v>696600</v>
      </c>
      <c r="J76" s="71">
        <f>'Chiết tính rút gọn'!J505</f>
        <v>149696.7062941326</v>
      </c>
      <c r="K76" s="71">
        <f t="shared" si="54"/>
        <v>1982347.4144495975</v>
      </c>
      <c r="L76" s="71">
        <f t="shared" si="55"/>
        <v>6714059.6851987978</v>
      </c>
      <c r="M76" s="71">
        <f t="shared" si="56"/>
        <v>0</v>
      </c>
      <c r="N76" s="71">
        <f t="shared" si="57"/>
        <v>4116906</v>
      </c>
      <c r="O76" s="71">
        <f t="shared" si="58"/>
        <v>884707.53419832373</v>
      </c>
      <c r="P76" s="71">
        <f t="shared" si="59"/>
        <v>11715673.219397122</v>
      </c>
    </row>
    <row r="77" spans="1:16" ht="41.4">
      <c r="A77" s="67"/>
      <c r="B77" s="66">
        <v>56</v>
      </c>
      <c r="C77" s="67" t="str">
        <f>'5.Tiên lượng'!C133</f>
        <v>AF.61110</v>
      </c>
      <c r="D77" s="102" t="str">
        <f>'5.Tiên lượng'!D133</f>
        <v>Lắp dựng cốt thép móng, ĐK ≤10mm</v>
      </c>
      <c r="E77" s="66" t="str">
        <f>'5.Tiên lượng'!E133</f>
        <v>tấn</v>
      </c>
      <c r="F77" s="103">
        <f>'5.Tiên lượng'!M133</f>
        <v>0.24490000000000001</v>
      </c>
      <c r="G77" s="71">
        <f>'Chiết tính rút gọn'!J511</f>
        <v>17997032.851846885</v>
      </c>
      <c r="H77" s="71"/>
      <c r="I77" s="71">
        <f>'Chiết tính rút gọn'!J514</f>
        <v>2902500</v>
      </c>
      <c r="J77" s="71">
        <f>'Chiết tính rút gọn'!J516</f>
        <v>114513.84476866666</v>
      </c>
      <c r="K77" s="71">
        <f t="shared" si="54"/>
        <v>21014046.696615551</v>
      </c>
      <c r="L77" s="71">
        <f t="shared" si="55"/>
        <v>4407473.3454173021</v>
      </c>
      <c r="M77" s="71">
        <f t="shared" si="56"/>
        <v>0</v>
      </c>
      <c r="N77" s="71">
        <f t="shared" si="57"/>
        <v>710822.25</v>
      </c>
      <c r="O77" s="71">
        <f t="shared" si="58"/>
        <v>28044.440583846466</v>
      </c>
      <c r="P77" s="71">
        <f t="shared" si="59"/>
        <v>5146340.0360011486</v>
      </c>
    </row>
    <row r="78" spans="1:16" ht="27.6">
      <c r="A78" s="67"/>
      <c r="B78" s="66">
        <v>57</v>
      </c>
      <c r="C78" s="67" t="str">
        <f>'5.Tiên lượng'!C135</f>
        <v>AF.82511</v>
      </c>
      <c r="D78" s="102" t="str">
        <f>'5.Tiên lượng'!D135</f>
        <v>Ván khuôn thép mũ  mố</v>
      </c>
      <c r="E78" s="66" t="str">
        <f>'5.Tiên lượng'!E135</f>
        <v>100m2</v>
      </c>
      <c r="F78" s="103">
        <f>'5.Tiên lượng'!M135</f>
        <v>0.93220000000000003</v>
      </c>
      <c r="G78" s="71">
        <f>'Chiết tính rút gọn'!J519</f>
        <v>1623401.2408645179</v>
      </c>
      <c r="H78" s="71"/>
      <c r="I78" s="71">
        <f>'Chiết tính rút gọn'!J524</f>
        <v>3590377</v>
      </c>
      <c r="J78" s="71">
        <f>'Chiết tính rút gọn'!J526</f>
        <v>357131.12499350397</v>
      </c>
      <c r="K78" s="71">
        <f t="shared" si="54"/>
        <v>5570909.3658580221</v>
      </c>
      <c r="L78" s="71">
        <f t="shared" si="55"/>
        <v>1513334.6367339035</v>
      </c>
      <c r="M78" s="71">
        <f t="shared" si="56"/>
        <v>0</v>
      </c>
      <c r="N78" s="71">
        <f t="shared" si="57"/>
        <v>3346949.4394</v>
      </c>
      <c r="O78" s="71">
        <f t="shared" si="58"/>
        <v>332917.63471894444</v>
      </c>
      <c r="P78" s="71">
        <f t="shared" si="59"/>
        <v>5193201.7108528474</v>
      </c>
    </row>
    <row r="79" spans="1:16" ht="165.6">
      <c r="A79" s="67"/>
      <c r="B79" s="66">
        <v>58</v>
      </c>
      <c r="C79" s="67" t="str">
        <f>'5.Tiên lượng'!C138</f>
        <v>AG.11413</v>
      </c>
      <c r="D79" s="102" t="str">
        <f>'5.Tiên lượng'!D138</f>
        <v>Bê tông tấm đan, mái hắt, lanh tô, bê tông M250, đá 1x2, PCB40 - Đổ bê tông đúc sẵn bằng thủ công (vữa bê tông sản xuất bằng máy trộn)</v>
      </c>
      <c r="E79" s="66" t="str">
        <f>'5.Tiên lượng'!E138</f>
        <v>m3</v>
      </c>
      <c r="F79" s="103">
        <f>'5.Tiên lượng'!M138</f>
        <v>6.64</v>
      </c>
      <c r="G79" s="71">
        <f>'Chiết tính rút gọn'!J530</f>
        <v>1171098.5194719234</v>
      </c>
      <c r="H79" s="71"/>
      <c r="I79" s="71">
        <f>'Chiết tính rút gọn'!J536</f>
        <v>476532.44</v>
      </c>
      <c r="J79" s="71">
        <f>'Chiết tính rút gọn'!J538</f>
        <v>30999.068921274997</v>
      </c>
      <c r="K79" s="71">
        <f t="shared" si="54"/>
        <v>1678630.0283931983</v>
      </c>
      <c r="L79" s="71">
        <f t="shared" si="55"/>
        <v>7776094.1692935703</v>
      </c>
      <c r="M79" s="71">
        <f t="shared" si="56"/>
        <v>0</v>
      </c>
      <c r="N79" s="71">
        <f t="shared" si="57"/>
        <v>3164175.4016</v>
      </c>
      <c r="O79" s="71">
        <f t="shared" si="58"/>
        <v>205833.81763726598</v>
      </c>
      <c r="P79" s="71">
        <f t="shared" si="59"/>
        <v>11146103.388530837</v>
      </c>
    </row>
    <row r="80" spans="1:16" ht="82.8">
      <c r="A80" s="67"/>
      <c r="B80" s="66">
        <v>59</v>
      </c>
      <c r="C80" s="67" t="str">
        <f>'5.Tiên lượng'!C139</f>
        <v>AG.41610</v>
      </c>
      <c r="D80" s="102" t="str">
        <f>'5.Tiên lượng'!D139</f>
        <v>Lắp đặt cấu kiện bê tông đúc sẵn trọng lượng từ 50kg đến 200kg bằng cần cẩu</v>
      </c>
      <c r="E80" s="66" t="str">
        <f>'5.Tiên lượng'!E139</f>
        <v>1cấu kiện</v>
      </c>
      <c r="F80" s="103">
        <f>'5.Tiên lượng'!M139</f>
        <v>79</v>
      </c>
      <c r="G80" s="71"/>
      <c r="H80" s="71"/>
      <c r="I80" s="71">
        <f>'Chiết tính rút gọn'!J541</f>
        <v>7407.24</v>
      </c>
      <c r="J80" s="71">
        <f>'Chiết tính rút gọn'!J543</f>
        <v>24177.150499999996</v>
      </c>
      <c r="K80" s="71">
        <f t="shared" si="54"/>
        <v>31584.390499999994</v>
      </c>
      <c r="L80" s="71">
        <f t="shared" si="55"/>
        <v>0</v>
      </c>
      <c r="M80" s="71">
        <f t="shared" si="56"/>
        <v>0</v>
      </c>
      <c r="N80" s="71">
        <f t="shared" si="57"/>
        <v>585171.96</v>
      </c>
      <c r="O80" s="71">
        <f t="shared" si="58"/>
        <v>1909994.8894999996</v>
      </c>
      <c r="P80" s="71">
        <f t="shared" si="59"/>
        <v>2495166.8494999995</v>
      </c>
    </row>
    <row r="81" spans="1:16" ht="27.6">
      <c r="A81" s="67"/>
      <c r="B81" s="66">
        <v>60</v>
      </c>
      <c r="C81" s="67" t="str">
        <f>'5.Tiên lượng'!C141</f>
        <v>AG.13231</v>
      </c>
      <c r="D81" s="102" t="str">
        <f>'5.Tiên lượng'!D141</f>
        <v>Cốt thép tấm đậy</v>
      </c>
      <c r="E81" s="66" t="str">
        <f>'5.Tiên lượng'!E141</f>
        <v>tấn</v>
      </c>
      <c r="F81" s="103">
        <f>'5.Tiên lượng'!M141</f>
        <v>1.7095600000000002</v>
      </c>
      <c r="G81" s="71">
        <f>'Chiết tính rút gọn'!J546</f>
        <v>18260848.267546091</v>
      </c>
      <c r="H81" s="71"/>
      <c r="I81" s="71">
        <f>'Chiết tính rút gọn'!J549</f>
        <v>4387500</v>
      </c>
      <c r="J81" s="71">
        <f>'Chiết tính rút gọn'!J551</f>
        <v>114513.84476866666</v>
      </c>
      <c r="K81" s="71">
        <f t="shared" si="54"/>
        <v>22762862.112314757</v>
      </c>
      <c r="L81" s="71">
        <f t="shared" si="55"/>
        <v>31218015.7642661</v>
      </c>
      <c r="M81" s="71">
        <f t="shared" si="56"/>
        <v>0</v>
      </c>
      <c r="N81" s="71">
        <f t="shared" si="57"/>
        <v>7500694.5000000009</v>
      </c>
      <c r="O81" s="71">
        <f t="shared" si="58"/>
        <v>195768.2884627218</v>
      </c>
      <c r="P81" s="71">
        <f t="shared" si="59"/>
        <v>38914478.552728824</v>
      </c>
    </row>
    <row r="82" spans="1:16" ht="27.6">
      <c r="A82" s="67"/>
      <c r="B82" s="66">
        <v>61</v>
      </c>
      <c r="C82" s="67" t="str">
        <f>'5.Tiên lượng'!C143</f>
        <v>AG.32511</v>
      </c>
      <c r="D82" s="102" t="str">
        <f>'5.Tiên lượng'!D143</f>
        <v>Ván khuôn thép tấm đậy</v>
      </c>
      <c r="E82" s="66" t="str">
        <f>'5.Tiên lượng'!E143</f>
        <v>100m2</v>
      </c>
      <c r="F82" s="103">
        <f>'5.Tiên lượng'!M143</f>
        <v>0.35389999999999999</v>
      </c>
      <c r="G82" s="71">
        <f>'Chiết tính rút gọn'!J554</f>
        <v>705646.47372225288</v>
      </c>
      <c r="H82" s="71"/>
      <c r="I82" s="71">
        <f>'Chiết tính rút gọn'!J559</f>
        <v>6758701.5199999996</v>
      </c>
      <c r="J82" s="71">
        <f>'Chiết tính rút gọn'!J561</f>
        <v>136108.25241551999</v>
      </c>
      <c r="K82" s="71">
        <f t="shared" si="54"/>
        <v>7600456.2461377727</v>
      </c>
      <c r="L82" s="71">
        <f t="shared" si="55"/>
        <v>249728.28705030528</v>
      </c>
      <c r="M82" s="71">
        <f t="shared" si="56"/>
        <v>0</v>
      </c>
      <c r="N82" s="71">
        <f t="shared" si="57"/>
        <v>2391904.4679279998</v>
      </c>
      <c r="O82" s="71">
        <f t="shared" si="58"/>
        <v>48168.710529852528</v>
      </c>
      <c r="P82" s="71">
        <f t="shared" si="59"/>
        <v>2689801.4655081579</v>
      </c>
    </row>
    <row r="83" spans="1:16" ht="41.4">
      <c r="A83" s="67"/>
      <c r="B83" s="66">
        <v>0</v>
      </c>
      <c r="C83" s="67" t="s">
        <v>339</v>
      </c>
      <c r="D83" s="102" t="s">
        <v>492</v>
      </c>
      <c r="E83" s="66"/>
      <c r="F83" s="103">
        <v>0</v>
      </c>
      <c r="G83" s="71"/>
      <c r="H83" s="71"/>
      <c r="I83" s="71"/>
      <c r="J83" s="71"/>
      <c r="K83" s="71">
        <v>0</v>
      </c>
      <c r="L83" s="71">
        <v>0</v>
      </c>
      <c r="M83" s="71">
        <v>0</v>
      </c>
      <c r="N83" s="71">
        <v>0</v>
      </c>
      <c r="O83" s="71">
        <v>0</v>
      </c>
      <c r="P83" s="71">
        <v>0</v>
      </c>
    </row>
    <row r="84" spans="1:16" ht="82.8">
      <c r="A84" s="67"/>
      <c r="B84" s="66">
        <v>62</v>
      </c>
      <c r="C84" s="67" t="str">
        <f>'5.Tiên lượng'!C146</f>
        <v>BB.11112</v>
      </c>
      <c r="D84" s="102" t="str">
        <f>'5.Tiên lượng'!D146</f>
        <v xml:space="preserve">Lắp đặt ống bê tông bằng thủ công, đoạn ống dài 1m - Đường kính 300mm </v>
      </c>
      <c r="E84" s="66" t="str">
        <f>'5.Tiên lượng'!E146</f>
        <v>1 đoạn ống</v>
      </c>
      <c r="F84" s="103">
        <f>'5.Tiên lượng'!M146</f>
        <v>38</v>
      </c>
      <c r="G84" s="71">
        <f>'Chiết tính rút gọn'!J566</f>
        <v>341794.36583022942</v>
      </c>
      <c r="H84" s="71"/>
      <c r="I84" s="71">
        <f>'Chiết tính rút gọn'!J569</f>
        <v>70200</v>
      </c>
      <c r="J84" s="71"/>
      <c r="K84" s="71">
        <f t="shared" ref="K84:K87" si="60">SUM(G84:J84)</f>
        <v>411994.36583022942</v>
      </c>
      <c r="L84" s="71">
        <f t="shared" ref="L84:L87" si="61">F84*G84</f>
        <v>12988185.901548717</v>
      </c>
      <c r="M84" s="71">
        <f t="shared" ref="M84:M87" si="62">F84*H84</f>
        <v>0</v>
      </c>
      <c r="N84" s="71">
        <f t="shared" ref="N84:N87" si="63">F84*I84</f>
        <v>2667600</v>
      </c>
      <c r="O84" s="71">
        <f t="shared" ref="O84:O87" si="64">F84*J84</f>
        <v>0</v>
      </c>
      <c r="P84" s="71">
        <f t="shared" ref="P84:P87" si="65">SUM(L84:O84)</f>
        <v>15655785.901548717</v>
      </c>
    </row>
    <row r="85" spans="1:16" ht="82.8">
      <c r="A85" s="67"/>
      <c r="B85" s="66">
        <v>63</v>
      </c>
      <c r="C85" s="67" t="str">
        <f>'5.Tiên lượng'!C147</f>
        <v>BB.11122</v>
      </c>
      <c r="D85" s="102" t="str">
        <f>'5.Tiên lượng'!D147</f>
        <v xml:space="preserve">Lắp đặt ống bê tông bằng thủ công, đoạn ống dài 2m - Đường kính 300mm </v>
      </c>
      <c r="E85" s="66" t="str">
        <f>'5.Tiên lượng'!E147</f>
        <v>1 đoạn ống</v>
      </c>
      <c r="F85" s="103">
        <f>'5.Tiên lượng'!M147</f>
        <v>74</v>
      </c>
      <c r="G85" s="71">
        <f>'Chiết tính rút gọn'!J572</f>
        <v>683588.73166045884</v>
      </c>
      <c r="H85" s="71"/>
      <c r="I85" s="71">
        <f>'Chiết tính rút gọn'!J575</f>
        <v>94500</v>
      </c>
      <c r="J85" s="71"/>
      <c r="K85" s="71">
        <f t="shared" si="60"/>
        <v>778088.73166045884</v>
      </c>
      <c r="L85" s="71">
        <f t="shared" si="61"/>
        <v>50585566.142873958</v>
      </c>
      <c r="M85" s="71">
        <f t="shared" si="62"/>
        <v>0</v>
      </c>
      <c r="N85" s="71">
        <f t="shared" si="63"/>
        <v>6993000</v>
      </c>
      <c r="O85" s="71">
        <f t="shared" si="64"/>
        <v>0</v>
      </c>
      <c r="P85" s="71">
        <f t="shared" si="65"/>
        <v>57578566.142873958</v>
      </c>
    </row>
    <row r="86" spans="1:16" ht="69">
      <c r="A86" s="67"/>
      <c r="B86" s="66">
        <v>64</v>
      </c>
      <c r="C86" s="67" t="str">
        <f>'5.Tiên lượng'!C148</f>
        <v>BB.13502</v>
      </c>
      <c r="D86" s="102" t="str">
        <f>'5.Tiên lượng'!D148</f>
        <v xml:space="preserve">Nối ống bê tông bằng phương pháp xảm - Đường kính 300mm </v>
      </c>
      <c r="E86" s="66" t="str">
        <f>'5.Tiên lượng'!E148</f>
        <v>mối nối</v>
      </c>
      <c r="F86" s="103">
        <f>'5.Tiên lượng'!M148</f>
        <v>64</v>
      </c>
      <c r="G86" s="71">
        <f>'Chiết tính rút gọn'!J578</f>
        <v>7221.9701351034164</v>
      </c>
      <c r="H86" s="71"/>
      <c r="I86" s="71">
        <f>'Chiết tính rút gọn'!J582</f>
        <v>18900</v>
      </c>
      <c r="J86" s="71"/>
      <c r="K86" s="71">
        <f t="shared" si="60"/>
        <v>26121.970135103416</v>
      </c>
      <c r="L86" s="71">
        <f t="shared" si="61"/>
        <v>462206.08864661865</v>
      </c>
      <c r="M86" s="71">
        <f t="shared" si="62"/>
        <v>0</v>
      </c>
      <c r="N86" s="71">
        <f t="shared" si="63"/>
        <v>1209600</v>
      </c>
      <c r="O86" s="71">
        <f t="shared" si="64"/>
        <v>0</v>
      </c>
      <c r="P86" s="71">
        <f t="shared" si="65"/>
        <v>1671806.0886466186</v>
      </c>
    </row>
    <row r="87" spans="1:16" ht="96.6">
      <c r="A87" s="67"/>
      <c r="B87" s="66">
        <v>65</v>
      </c>
      <c r="C87" s="67" t="str">
        <f>'5.Tiên lượng'!C149</f>
        <v>AB.64113</v>
      </c>
      <c r="D87" s="102" t="str">
        <f>'5.Tiên lượng'!D149</f>
        <v>Đắp nền đường bằng máy lu bánh thép 9T, máy ủi 110CV, độ chặt Y/C K = 0,95</v>
      </c>
      <c r="E87" s="66" t="str">
        <f>'5.Tiên lượng'!E149</f>
        <v>100m3</v>
      </c>
      <c r="F87" s="103">
        <f>'5.Tiên lượng'!M149</f>
        <v>0.27899999999999997</v>
      </c>
      <c r="G87" s="71"/>
      <c r="H87" s="71"/>
      <c r="I87" s="71">
        <f>'Chiết tính rút gọn'!J585</f>
        <v>377219.69999999995</v>
      </c>
      <c r="J87" s="71">
        <f>'Chiết tính rút gọn'!J587</f>
        <v>786591.09942629898</v>
      </c>
      <c r="K87" s="71">
        <f t="shared" si="60"/>
        <v>1163810.7994262991</v>
      </c>
      <c r="L87" s="71">
        <f t="shared" si="61"/>
        <v>0</v>
      </c>
      <c r="M87" s="71">
        <f t="shared" si="62"/>
        <v>0</v>
      </c>
      <c r="N87" s="71">
        <f t="shared" si="63"/>
        <v>105244.29629999997</v>
      </c>
      <c r="O87" s="71">
        <f t="shared" si="64"/>
        <v>219458.91673993738</v>
      </c>
      <c r="P87" s="71">
        <f t="shared" si="65"/>
        <v>324703.21303993737</v>
      </c>
    </row>
    <row r="88" spans="1:16" ht="27.6">
      <c r="A88" s="67"/>
      <c r="B88" s="66">
        <v>0</v>
      </c>
      <c r="C88" s="67" t="s">
        <v>339</v>
      </c>
      <c r="D88" s="102" t="s">
        <v>503</v>
      </c>
      <c r="E88" s="66"/>
      <c r="F88" s="103">
        <v>0</v>
      </c>
      <c r="G88" s="71"/>
      <c r="H88" s="71"/>
      <c r="I88" s="71"/>
      <c r="J88" s="71"/>
      <c r="K88" s="71">
        <v>0</v>
      </c>
      <c r="L88" s="71">
        <v>0</v>
      </c>
      <c r="M88" s="71">
        <v>0</v>
      </c>
      <c r="N88" s="71">
        <v>0</v>
      </c>
      <c r="O88" s="71">
        <v>0</v>
      </c>
      <c r="P88" s="71">
        <v>0</v>
      </c>
    </row>
    <row r="89" spans="1:16" ht="55.2">
      <c r="A89" s="67"/>
      <c r="B89" s="66">
        <v>66</v>
      </c>
      <c r="C89" s="67" t="str">
        <f>'5.Tiên lượng'!C152</f>
        <v>AF.13211</v>
      </c>
      <c r="D89" s="102" t="str">
        <f>'5.Tiên lượng'!D152</f>
        <v>BTXM rãnh dọc, M150, đá 1x2, PCB40</v>
      </c>
      <c r="E89" s="66" t="str">
        <f>'5.Tiên lượng'!E152</f>
        <v>m3</v>
      </c>
      <c r="F89" s="103">
        <f>'5.Tiên lượng'!M152</f>
        <v>3.3</v>
      </c>
      <c r="G89" s="71">
        <f>'Chiết tính rút gọn'!J593</f>
        <v>1062670.2273051951</v>
      </c>
      <c r="H89" s="71"/>
      <c r="I89" s="71">
        <f>'Chiết tính rút gọn'!J599</f>
        <v>448200</v>
      </c>
      <c r="J89" s="71">
        <f>'Chiết tính rút gọn'!J601</f>
        <v>56032.926787260003</v>
      </c>
      <c r="K89" s="71">
        <f t="shared" ref="K89:K92" si="66">SUM(G89:J89)</f>
        <v>1566903.154092455</v>
      </c>
      <c r="L89" s="71">
        <f t="shared" ref="L89:L92" si="67">F89*G89</f>
        <v>3506811.7501071435</v>
      </c>
      <c r="M89" s="71">
        <f t="shared" ref="M89:M92" si="68">F89*H89</f>
        <v>0</v>
      </c>
      <c r="N89" s="71">
        <f t="shared" ref="N89:N92" si="69">F89*I89</f>
        <v>1479060</v>
      </c>
      <c r="O89" s="71">
        <f t="shared" ref="O89:O92" si="70">F89*J89</f>
        <v>184908.658397958</v>
      </c>
      <c r="P89" s="71">
        <f t="shared" ref="P89:P92" si="71">SUM(L89:O89)</f>
        <v>5170780.4085051008</v>
      </c>
    </row>
    <row r="90" spans="1:16" ht="27.6">
      <c r="A90" s="67"/>
      <c r="B90" s="66">
        <v>67</v>
      </c>
      <c r="C90" s="67" t="str">
        <f>'5.Tiên lượng'!C154</f>
        <v>AL.16201</v>
      </c>
      <c r="D90" s="102" t="str">
        <f>'5.Tiên lượng'!D154</f>
        <v>Ni lông chống thấm</v>
      </c>
      <c r="E90" s="66" t="str">
        <f>'5.Tiên lượng'!E154</f>
        <v>100m2</v>
      </c>
      <c r="F90" s="103">
        <f>'5.Tiên lượng'!M154</f>
        <v>0.13200000000000001</v>
      </c>
      <c r="G90" s="71">
        <f>'Chiết tính rút gọn'!J605</f>
        <v>220440</v>
      </c>
      <c r="H90" s="71"/>
      <c r="I90" s="71">
        <f>'Chiết tính rút gọn'!J608</f>
        <v>40500</v>
      </c>
      <c r="J90" s="71"/>
      <c r="K90" s="71">
        <f t="shared" si="66"/>
        <v>260940</v>
      </c>
      <c r="L90" s="71">
        <f t="shared" si="67"/>
        <v>29098.080000000002</v>
      </c>
      <c r="M90" s="71">
        <f t="shared" si="68"/>
        <v>0</v>
      </c>
      <c r="N90" s="71">
        <f t="shared" si="69"/>
        <v>5346</v>
      </c>
      <c r="O90" s="71">
        <f t="shared" si="70"/>
        <v>0</v>
      </c>
      <c r="P90" s="71">
        <f t="shared" si="71"/>
        <v>34444.080000000002</v>
      </c>
    </row>
    <row r="91" spans="1:16" ht="55.2">
      <c r="A91" s="67"/>
      <c r="B91" s="66">
        <v>68</v>
      </c>
      <c r="C91" s="67" t="str">
        <f>'5.Tiên lượng'!C156</f>
        <v>AK.98110</v>
      </c>
      <c r="D91" s="102" t="str">
        <f>'5.Tiên lượng'!D156</f>
        <v>Cấp phối đá dăm đệm móng, dày 5cm</v>
      </c>
      <c r="E91" s="66" t="str">
        <f>'5.Tiên lượng'!E156</f>
        <v>m3</v>
      </c>
      <c r="F91" s="103">
        <f>'5.Tiên lượng'!M156</f>
        <v>0.66</v>
      </c>
      <c r="G91" s="71">
        <f>'Chiết tính rút gọn'!J611</f>
        <v>495257.6142875955</v>
      </c>
      <c r="H91" s="71"/>
      <c r="I91" s="71">
        <f>'Chiết tính rút gọn'!J614</f>
        <v>347020.92800000001</v>
      </c>
      <c r="J91" s="71"/>
      <c r="K91" s="71">
        <f t="shared" si="66"/>
        <v>842278.54228759557</v>
      </c>
      <c r="L91" s="71">
        <f t="shared" si="67"/>
        <v>326870.02542981302</v>
      </c>
      <c r="M91" s="71">
        <f t="shared" si="68"/>
        <v>0</v>
      </c>
      <c r="N91" s="71">
        <f t="shared" si="69"/>
        <v>229033.81248000002</v>
      </c>
      <c r="O91" s="71">
        <f t="shared" si="70"/>
        <v>0</v>
      </c>
      <c r="P91" s="71">
        <f t="shared" si="71"/>
        <v>555903.83790981304</v>
      </c>
    </row>
    <row r="92" spans="1:16" ht="27.6">
      <c r="A92" s="67"/>
      <c r="B92" s="66">
        <v>69</v>
      </c>
      <c r="C92" s="67" t="str">
        <f>'5.Tiên lượng'!C158</f>
        <v>AF.82511</v>
      </c>
      <c r="D92" s="102" t="str">
        <f>'5.Tiên lượng'!D158</f>
        <v>Ván khuôn thép rãnh</v>
      </c>
      <c r="E92" s="66" t="str">
        <f>'5.Tiên lượng'!E158</f>
        <v>100m2</v>
      </c>
      <c r="F92" s="103">
        <f>'5.Tiên lượng'!M158</f>
        <v>0.61380000000000001</v>
      </c>
      <c r="G92" s="71">
        <f>'Chiết tính rút gọn'!J617</f>
        <v>1623401.2408645179</v>
      </c>
      <c r="H92" s="71"/>
      <c r="I92" s="71">
        <f>'Chiết tính rút gọn'!J622</f>
        <v>3590377</v>
      </c>
      <c r="J92" s="71">
        <f>'Chiết tính rút gọn'!J624</f>
        <v>328545.28808179201</v>
      </c>
      <c r="K92" s="71">
        <f t="shared" si="66"/>
        <v>5542323.5289463103</v>
      </c>
      <c r="L92" s="71">
        <f t="shared" si="67"/>
        <v>996443.68164264108</v>
      </c>
      <c r="M92" s="71">
        <f t="shared" si="68"/>
        <v>0</v>
      </c>
      <c r="N92" s="71">
        <f t="shared" si="69"/>
        <v>2203773.4026000001</v>
      </c>
      <c r="O92" s="71">
        <f t="shared" si="70"/>
        <v>201661.09782460393</v>
      </c>
      <c r="P92" s="71">
        <f t="shared" si="71"/>
        <v>3401878.1820672448</v>
      </c>
    </row>
    <row r="93" spans="1:16" ht="41.4">
      <c r="A93" s="67"/>
      <c r="B93" s="66">
        <v>0</v>
      </c>
      <c r="C93" s="67" t="s">
        <v>339</v>
      </c>
      <c r="D93" s="102" t="s">
        <v>513</v>
      </c>
      <c r="E93" s="66"/>
      <c r="F93" s="103">
        <v>0</v>
      </c>
      <c r="G93" s="71"/>
      <c r="H93" s="71"/>
      <c r="I93" s="71"/>
      <c r="J93" s="71"/>
      <c r="K93" s="71">
        <v>0</v>
      </c>
      <c r="L93" s="71">
        <v>0</v>
      </c>
      <c r="M93" s="71">
        <v>0</v>
      </c>
      <c r="N93" s="71">
        <v>0</v>
      </c>
      <c r="O93" s="71">
        <v>0</v>
      </c>
      <c r="P93" s="71">
        <v>0</v>
      </c>
    </row>
    <row r="94" spans="1:16" ht="82.8">
      <c r="A94" s="67"/>
      <c r="B94" s="66">
        <v>70</v>
      </c>
      <c r="C94" s="67" t="str">
        <f>'5.Tiên lượng'!C161</f>
        <v>AB.25123</v>
      </c>
      <c r="D94" s="102" t="str">
        <f>'5.Tiên lượng'!D161</f>
        <v>Đào móng bằng máy đào 1,25m3, chiều rộng móng ≤6m - Cấp đất III</v>
      </c>
      <c r="E94" s="66" t="str">
        <f>'5.Tiên lượng'!E161</f>
        <v>100m3</v>
      </c>
      <c r="F94" s="103">
        <f>'5.Tiên lượng'!M161</f>
        <v>1.8000000000000002E-2</v>
      </c>
      <c r="G94" s="71"/>
      <c r="H94" s="71"/>
      <c r="I94" s="71">
        <f>'Chiết tính rút gọn'!J629</f>
        <v>1008205.38</v>
      </c>
      <c r="J94" s="71">
        <f>'Chiết tính rút gọn'!J631</f>
        <v>1122518.3196342858</v>
      </c>
      <c r="K94" s="71">
        <f t="shared" ref="K94:K95" si="72">SUM(G94:J94)</f>
        <v>2130723.6996342856</v>
      </c>
      <c r="L94" s="71">
        <f t="shared" ref="L94:L95" si="73">F94*G94</f>
        <v>0</v>
      </c>
      <c r="M94" s="71">
        <f t="shared" ref="M94:M95" si="74">F94*H94</f>
        <v>0</v>
      </c>
      <c r="N94" s="71">
        <f t="shared" ref="N94:N95" si="75">F94*I94</f>
        <v>18147.696840000001</v>
      </c>
      <c r="O94" s="71">
        <f t="shared" ref="O94:O95" si="76">F94*J94</f>
        <v>20205.329753417147</v>
      </c>
      <c r="P94" s="71">
        <f t="shared" ref="P94:P95" si="77">SUM(L94:O94)</f>
        <v>38353.026593417148</v>
      </c>
    </row>
    <row r="95" spans="1:16" ht="82.8">
      <c r="A95" s="67"/>
      <c r="B95" s="66">
        <v>71</v>
      </c>
      <c r="C95" s="67" t="str">
        <f>'5.Tiên lượng'!C163</f>
        <v>AE.11114</v>
      </c>
      <c r="D95" s="102" t="str">
        <f>'5.Tiên lượng'!D163</f>
        <v>Khối xây bó nền bằng đá hộc - Chiều dày ≤60cm, vữa XM M100, PCB40</v>
      </c>
      <c r="E95" s="66" t="str">
        <f>'5.Tiên lượng'!E163</f>
        <v>m3</v>
      </c>
      <c r="F95" s="103">
        <f>'5.Tiên lượng'!M163</f>
        <v>3.6</v>
      </c>
      <c r="G95" s="71">
        <f>'Chiết tính rút gọn'!J634</f>
        <v>934340.87185523123</v>
      </c>
      <c r="H95" s="71"/>
      <c r="I95" s="71">
        <f>'Chiết tính rút gọn'!J640</f>
        <v>488700</v>
      </c>
      <c r="J95" s="71">
        <f>'Chiết tính rút gọn'!J642</f>
        <v>14683.611630993</v>
      </c>
      <c r="K95" s="71">
        <f t="shared" si="72"/>
        <v>1437724.4834862242</v>
      </c>
      <c r="L95" s="71">
        <f t="shared" si="73"/>
        <v>3363627.1386788324</v>
      </c>
      <c r="M95" s="71">
        <f t="shared" si="74"/>
        <v>0</v>
      </c>
      <c r="N95" s="71">
        <f t="shared" si="75"/>
        <v>1759320</v>
      </c>
      <c r="O95" s="71">
        <f t="shared" si="76"/>
        <v>52861.001871574801</v>
      </c>
      <c r="P95" s="71">
        <f t="shared" si="77"/>
        <v>5175808.1405504066</v>
      </c>
    </row>
    <row r="96" spans="1:16" ht="27.6">
      <c r="A96" s="67"/>
      <c r="B96" s="66">
        <v>0</v>
      </c>
      <c r="C96" s="67" t="s">
        <v>339</v>
      </c>
      <c r="D96" s="102" t="s">
        <v>519</v>
      </c>
      <c r="E96" s="66"/>
      <c r="F96" s="103">
        <v>0</v>
      </c>
      <c r="G96" s="71"/>
      <c r="H96" s="71"/>
      <c r="I96" s="71"/>
      <c r="J96" s="71"/>
      <c r="K96" s="71">
        <v>0</v>
      </c>
      <c r="L96" s="71">
        <v>0</v>
      </c>
      <c r="M96" s="71">
        <v>0</v>
      </c>
      <c r="N96" s="71">
        <v>0</v>
      </c>
      <c r="O96" s="71">
        <v>0</v>
      </c>
      <c r="P96" s="71">
        <v>0</v>
      </c>
    </row>
    <row r="97" spans="1:16" ht="69">
      <c r="A97" s="67"/>
      <c r="B97" s="66">
        <v>72</v>
      </c>
      <c r="C97" s="67" t="str">
        <f>'5.Tiên lượng'!C165</f>
        <v>AA.22121</v>
      </c>
      <c r="D97" s="102" t="str">
        <f>'5.Tiên lượng'!D165</f>
        <v>Phá dỡ kết cấu gạch đá bằng búa căn khí nén 3m3/ph</v>
      </c>
      <c r="E97" s="66" t="str">
        <f>'5.Tiên lượng'!E165</f>
        <v>m3</v>
      </c>
      <c r="F97" s="103">
        <f>'5.Tiên lượng'!M165</f>
        <v>8.4240000000000013</v>
      </c>
      <c r="G97" s="71"/>
      <c r="H97" s="71"/>
      <c r="I97" s="71">
        <f>'Chiết tính rút gọn'!J646</f>
        <v>45723.600000000006</v>
      </c>
      <c r="J97" s="71">
        <f>'Chiết tính rút gọn'!J648</f>
        <v>86126.192666666495</v>
      </c>
      <c r="K97" s="71">
        <f>SUM(G97:J97)</f>
        <v>131849.7926666665</v>
      </c>
      <c r="L97" s="71">
        <f>F97*G97</f>
        <v>0</v>
      </c>
      <c r="M97" s="71">
        <f>F97*H97</f>
        <v>0</v>
      </c>
      <c r="N97" s="71">
        <f>F97*I97</f>
        <v>385175.60640000011</v>
      </c>
      <c r="O97" s="71">
        <f>F97*J97</f>
        <v>725527.04702399869</v>
      </c>
      <c r="P97" s="71">
        <f>SUM(L97:O97)</f>
        <v>1110702.6534239987</v>
      </c>
    </row>
    <row r="98" spans="1:16" ht="27.6">
      <c r="A98" s="67"/>
      <c r="B98" s="66">
        <v>0</v>
      </c>
      <c r="C98" s="67" t="s">
        <v>339</v>
      </c>
      <c r="D98" s="102" t="s">
        <v>524</v>
      </c>
      <c r="E98" s="66"/>
      <c r="F98" s="103">
        <v>0</v>
      </c>
      <c r="G98" s="71"/>
      <c r="H98" s="71"/>
      <c r="I98" s="71"/>
      <c r="J98" s="71"/>
      <c r="K98" s="71">
        <v>0</v>
      </c>
      <c r="L98" s="71">
        <v>0</v>
      </c>
      <c r="M98" s="71">
        <v>0</v>
      </c>
      <c r="N98" s="71">
        <v>0</v>
      </c>
      <c r="O98" s="71">
        <v>0</v>
      </c>
      <c r="P98" s="71">
        <v>0</v>
      </c>
    </row>
    <row r="99" spans="1:16" ht="82.8">
      <c r="A99" s="67"/>
      <c r="B99" s="66">
        <v>73</v>
      </c>
      <c r="C99" s="67" t="str">
        <f>'5.Tiên lượng'!C169</f>
        <v>AB.25112</v>
      </c>
      <c r="D99" s="102" t="str">
        <f>'5.Tiên lượng'!D169</f>
        <v>Đào móng bằng máy đào 0,8m3, chiều rộng móng ≤6m - Cấp đất II</v>
      </c>
      <c r="E99" s="66" t="str">
        <f>'5.Tiên lượng'!E169</f>
        <v>100m3</v>
      </c>
      <c r="F99" s="103">
        <f>'5.Tiên lượng'!M169</f>
        <v>0.13830000000000001</v>
      </c>
      <c r="G99" s="71"/>
      <c r="H99" s="71"/>
      <c r="I99" s="71">
        <f>'Chiết tính rút gọn'!J653</f>
        <v>868748.39999999991</v>
      </c>
      <c r="J99" s="71">
        <f>'Chiết tính rút gọn'!J655</f>
        <v>946856.55690000008</v>
      </c>
      <c r="K99" s="71">
        <f t="shared" ref="K99:K102" si="78">SUM(G99:J99)</f>
        <v>1815604.9569000001</v>
      </c>
      <c r="L99" s="71">
        <f t="shared" ref="L99:L102" si="79">F99*G99</f>
        <v>0</v>
      </c>
      <c r="M99" s="71">
        <f t="shared" ref="M99:M102" si="80">F99*H99</f>
        <v>0</v>
      </c>
      <c r="N99" s="71">
        <f t="shared" ref="N99:N102" si="81">F99*I99</f>
        <v>120147.90371999999</v>
      </c>
      <c r="O99" s="71">
        <f t="shared" ref="O99:O102" si="82">F99*J99</f>
        <v>130950.26181927002</v>
      </c>
      <c r="P99" s="71">
        <f t="shared" ref="P99:P102" si="83">SUM(L99:O99)</f>
        <v>251098.16553927</v>
      </c>
    </row>
    <row r="100" spans="1:16" ht="82.8">
      <c r="A100" s="67"/>
      <c r="B100" s="66">
        <v>74</v>
      </c>
      <c r="C100" s="67" t="str">
        <f>'5.Tiên lượng'!C171</f>
        <v>AB.25113</v>
      </c>
      <c r="D100" s="102" t="str">
        <f>'5.Tiên lượng'!D171</f>
        <v>Đào móng bằng máy đào 0,8m3, chiều rộng móng ≤6m - Cấp đất III</v>
      </c>
      <c r="E100" s="66" t="str">
        <f>'5.Tiên lượng'!E171</f>
        <v>100m3</v>
      </c>
      <c r="F100" s="103">
        <f>'5.Tiên lượng'!M171</f>
        <v>0.67</v>
      </c>
      <c r="G100" s="71"/>
      <c r="H100" s="71"/>
      <c r="I100" s="71">
        <f>'Chiết tính rút gọn'!J658</f>
        <v>1021922.46</v>
      </c>
      <c r="J100" s="71">
        <f>'Chiết tính rút gọn'!J660</f>
        <v>1323562.9290000002</v>
      </c>
      <c r="K100" s="71">
        <f t="shared" si="78"/>
        <v>2345485.3890000004</v>
      </c>
      <c r="L100" s="71">
        <f t="shared" si="79"/>
        <v>0</v>
      </c>
      <c r="M100" s="71">
        <f t="shared" si="80"/>
        <v>0</v>
      </c>
      <c r="N100" s="71">
        <f t="shared" si="81"/>
        <v>684688.04819999996</v>
      </c>
      <c r="O100" s="71">
        <f t="shared" si="82"/>
        <v>886787.16243000026</v>
      </c>
      <c r="P100" s="71">
        <f t="shared" si="83"/>
        <v>1571475.2106300001</v>
      </c>
    </row>
    <row r="101" spans="1:16" ht="82.8">
      <c r="A101" s="67"/>
      <c r="B101" s="66">
        <v>75</v>
      </c>
      <c r="C101" s="67" t="str">
        <f>'5.Tiên lượng'!C173</f>
        <v>AB.25114</v>
      </c>
      <c r="D101" s="102" t="str">
        <f>'5.Tiên lượng'!D173</f>
        <v>Đào móng bằng máy đào 0,8m3, chiều rộng móng ≤6m - Cấp đất IV</v>
      </c>
      <c r="E101" s="66" t="str">
        <f>'5.Tiên lượng'!E173</f>
        <v>100m3</v>
      </c>
      <c r="F101" s="103">
        <f>'5.Tiên lượng'!M173</f>
        <v>4.8999999999999998E-3</v>
      </c>
      <c r="G101" s="71"/>
      <c r="H101" s="71"/>
      <c r="I101" s="71">
        <f>'Chiết tính rút gọn'!J663</f>
        <v>1133945.28</v>
      </c>
      <c r="J101" s="71">
        <f>'Chiết tính rút gọn'!J665</f>
        <v>1534823.9349750001</v>
      </c>
      <c r="K101" s="71">
        <f t="shared" si="78"/>
        <v>2668769.2149750004</v>
      </c>
      <c r="L101" s="71">
        <f t="shared" si="79"/>
        <v>0</v>
      </c>
      <c r="M101" s="71">
        <f t="shared" si="80"/>
        <v>0</v>
      </c>
      <c r="N101" s="71">
        <f t="shared" si="81"/>
        <v>5556.3318719999997</v>
      </c>
      <c r="O101" s="71">
        <f t="shared" si="82"/>
        <v>7520.6372813775006</v>
      </c>
      <c r="P101" s="71">
        <f t="shared" si="83"/>
        <v>13076.9691533775</v>
      </c>
    </row>
    <row r="102" spans="1:16" ht="69">
      <c r="A102" s="67"/>
      <c r="B102" s="66">
        <v>76</v>
      </c>
      <c r="C102" s="67" t="str">
        <f>'5.Tiên lượng'!C175</f>
        <v>AB.65130</v>
      </c>
      <c r="D102" s="102" t="str">
        <f>'5.Tiên lượng'!D175</f>
        <v>Đắp đất bằng đầm đất cầm tay 70kg, độ chặt Y/C K = 0,95</v>
      </c>
      <c r="E102" s="66" t="str">
        <f>'5.Tiên lượng'!E175</f>
        <v>100m3</v>
      </c>
      <c r="F102" s="103">
        <f>'5.Tiên lượng'!M175</f>
        <v>0.31850000000000001</v>
      </c>
      <c r="G102" s="71"/>
      <c r="H102" s="71"/>
      <c r="I102" s="71">
        <f>'Chiết tính rút gọn'!J668</f>
        <v>1630046.34</v>
      </c>
      <c r="J102" s="71">
        <f>'Chiết tính rút gọn'!J670</f>
        <v>1566501.344424</v>
      </c>
      <c r="K102" s="71">
        <f t="shared" si="78"/>
        <v>3196547.6844239999</v>
      </c>
      <c r="L102" s="71">
        <f t="shared" si="79"/>
        <v>0</v>
      </c>
      <c r="M102" s="71">
        <f t="shared" si="80"/>
        <v>0</v>
      </c>
      <c r="N102" s="71">
        <f t="shared" si="81"/>
        <v>519169.75929000002</v>
      </c>
      <c r="O102" s="71">
        <f t="shared" si="82"/>
        <v>498930.67819904402</v>
      </c>
      <c r="P102" s="71">
        <f t="shared" si="83"/>
        <v>1018100.437489044</v>
      </c>
    </row>
    <row r="103" spans="1:16">
      <c r="A103" s="67"/>
      <c r="B103" s="66">
        <v>0</v>
      </c>
      <c r="C103" s="67" t="s">
        <v>339</v>
      </c>
      <c r="D103" s="102" t="s">
        <v>537</v>
      </c>
      <c r="E103" s="66"/>
      <c r="F103" s="103">
        <v>0</v>
      </c>
      <c r="G103" s="71"/>
      <c r="H103" s="71"/>
      <c r="I103" s="71"/>
      <c r="J103" s="71"/>
      <c r="K103" s="71">
        <v>0</v>
      </c>
      <c r="L103" s="71">
        <v>0</v>
      </c>
      <c r="M103" s="71">
        <v>0</v>
      </c>
      <c r="N103" s="71">
        <v>0</v>
      </c>
      <c r="O103" s="71">
        <v>0</v>
      </c>
      <c r="P103" s="71">
        <v>0</v>
      </c>
    </row>
    <row r="104" spans="1:16" ht="41.4">
      <c r="A104" s="67"/>
      <c r="B104" s="66">
        <v>77</v>
      </c>
      <c r="C104" s="67" t="str">
        <f>'5.Tiên lượng'!C178</f>
        <v>AE.12314</v>
      </c>
      <c r="D104" s="102" t="str">
        <f>'5.Tiên lượng'!D178</f>
        <v>Xây cống, vữa XM M100, PCB40</v>
      </c>
      <c r="E104" s="66" t="str">
        <f>'5.Tiên lượng'!E178</f>
        <v>m3</v>
      </c>
      <c r="F104" s="103">
        <f>'5.Tiên lượng'!M178</f>
        <v>41.57</v>
      </c>
      <c r="G104" s="71">
        <f>'Chiết tính rút gọn'!J674</f>
        <v>981057.91544799274</v>
      </c>
      <c r="H104" s="71"/>
      <c r="I104" s="71">
        <f>'Chiết tính rút gọn'!J681</f>
        <v>804600</v>
      </c>
      <c r="J104" s="71">
        <f>'Chiết tính rút gọn'!J683</f>
        <v>15879.717681032944</v>
      </c>
      <c r="K104" s="71">
        <f t="shared" ref="K104:K115" si="84">SUM(G104:J104)</f>
        <v>1801537.6331290256</v>
      </c>
      <c r="L104" s="71">
        <f t="shared" ref="L104:L115" si="85">F104*G104</f>
        <v>40782577.545173056</v>
      </c>
      <c r="M104" s="71">
        <f t="shared" ref="M104:M115" si="86">F104*H104</f>
        <v>0</v>
      </c>
      <c r="N104" s="71">
        <f t="shared" ref="N104:N115" si="87">F104*I104</f>
        <v>33447222</v>
      </c>
      <c r="O104" s="71">
        <f t="shared" ref="O104:O115" si="88">F104*J104</f>
        <v>660119.86400053953</v>
      </c>
      <c r="P104" s="71">
        <f t="shared" ref="P104:P115" si="89">SUM(L104:O104)</f>
        <v>74889919.409173593</v>
      </c>
    </row>
    <row r="105" spans="1:16" ht="55.2">
      <c r="A105" s="67"/>
      <c r="B105" s="66">
        <v>78</v>
      </c>
      <c r="C105" s="67" t="str">
        <f>'5.Tiên lượng'!C179</f>
        <v>AK.98110</v>
      </c>
      <c r="D105" s="102" t="str">
        <f>'5.Tiên lượng'!D179</f>
        <v>Đá dăm đệm móng, đá (2x4)cm, dày 5cm</v>
      </c>
      <c r="E105" s="66" t="str">
        <f>'5.Tiên lượng'!E179</f>
        <v>m3</v>
      </c>
      <c r="F105" s="103">
        <f>'5.Tiên lượng'!M179</f>
        <v>5.35</v>
      </c>
      <c r="G105" s="71">
        <f>'Chiết tính rút gọn'!J686</f>
        <v>495257.6142875955</v>
      </c>
      <c r="H105" s="71"/>
      <c r="I105" s="71">
        <f>'Chiết tính rút gọn'!J689</f>
        <v>347020.92800000001</v>
      </c>
      <c r="J105" s="71"/>
      <c r="K105" s="71">
        <f t="shared" si="84"/>
        <v>842278.54228759557</v>
      </c>
      <c r="L105" s="71">
        <f t="shared" si="85"/>
        <v>2649628.2364386357</v>
      </c>
      <c r="M105" s="71">
        <f t="shared" si="86"/>
        <v>0</v>
      </c>
      <c r="N105" s="71">
        <f t="shared" si="87"/>
        <v>1856561.9648</v>
      </c>
      <c r="O105" s="71">
        <f t="shared" si="88"/>
        <v>0</v>
      </c>
      <c r="P105" s="71">
        <f t="shared" si="89"/>
        <v>4506190.2012386359</v>
      </c>
    </row>
    <row r="106" spans="1:16" ht="82.8">
      <c r="A106" s="67"/>
      <c r="B106" s="66">
        <v>79</v>
      </c>
      <c r="C106" s="67" t="str">
        <f>'5.Tiên lượng'!C180</f>
        <v>BB.11211VD</v>
      </c>
      <c r="D106" s="102" t="str">
        <f>'5.Tiên lượng'!D180</f>
        <v>Lắp đặt ống bê tông bằng cần cẩu, đoạn ống dài 1m - Đường kính 400mm</v>
      </c>
      <c r="E106" s="66" t="str">
        <f>'5.Tiên lượng'!E180</f>
        <v>1 đoạn ống</v>
      </c>
      <c r="F106" s="103">
        <f>'5.Tiên lượng'!M180</f>
        <v>3</v>
      </c>
      <c r="G106" s="71">
        <f>'Chiết tính rút gọn'!J692</f>
        <v>402214.4341169789</v>
      </c>
      <c r="H106" s="71"/>
      <c r="I106" s="71">
        <f>'Chiết tính rút gọn'!J695</f>
        <v>70200</v>
      </c>
      <c r="J106" s="71">
        <f>'Chiết tính rút gọn'!J697</f>
        <v>62618.819794999989</v>
      </c>
      <c r="K106" s="71">
        <f t="shared" si="84"/>
        <v>535033.25391197891</v>
      </c>
      <c r="L106" s="71">
        <f t="shared" si="85"/>
        <v>1206643.3023509367</v>
      </c>
      <c r="M106" s="71">
        <f t="shared" si="86"/>
        <v>0</v>
      </c>
      <c r="N106" s="71">
        <f t="shared" si="87"/>
        <v>210600</v>
      </c>
      <c r="O106" s="71">
        <f t="shared" si="88"/>
        <v>187856.45938499997</v>
      </c>
      <c r="P106" s="71">
        <f t="shared" si="89"/>
        <v>1605099.7617359366</v>
      </c>
    </row>
    <row r="107" spans="1:16" ht="82.8">
      <c r="A107" s="67"/>
      <c r="B107" s="66">
        <v>80</v>
      </c>
      <c r="C107" s="67" t="str">
        <f>'5.Tiên lượng'!C181</f>
        <v>BB.11221VD</v>
      </c>
      <c r="D107" s="102" t="str">
        <f>'5.Tiên lượng'!D181</f>
        <v>Lắp đặt ống bê tông bằng cần cẩu, đoạn ống dài 2m - Đường kính 400mm</v>
      </c>
      <c r="E107" s="66" t="str">
        <f>'5.Tiên lượng'!E181</f>
        <v>1 đoạn ống</v>
      </c>
      <c r="F107" s="103">
        <f>'5.Tiên lượng'!M181</f>
        <v>15</v>
      </c>
      <c r="G107" s="71">
        <f>'Chiết tính rút gọn'!J701</f>
        <v>804428.86823395779</v>
      </c>
      <c r="H107" s="71"/>
      <c r="I107" s="71">
        <f>'Chiết tính rút gọn'!J704</f>
        <v>94500</v>
      </c>
      <c r="J107" s="71">
        <f>'Chiết tính rút gọn'!J706</f>
        <v>94774.429959999994</v>
      </c>
      <c r="K107" s="71">
        <f t="shared" si="84"/>
        <v>993703.29819395777</v>
      </c>
      <c r="L107" s="71">
        <f t="shared" si="85"/>
        <v>12066433.023509366</v>
      </c>
      <c r="M107" s="71">
        <f t="shared" si="86"/>
        <v>0</v>
      </c>
      <c r="N107" s="71">
        <f t="shared" si="87"/>
        <v>1417500</v>
      </c>
      <c r="O107" s="71">
        <f t="shared" si="88"/>
        <v>1421616.4493999998</v>
      </c>
      <c r="P107" s="71">
        <f t="shared" si="89"/>
        <v>14905549.472909367</v>
      </c>
    </row>
    <row r="108" spans="1:16" ht="82.8">
      <c r="A108" s="67"/>
      <c r="B108" s="66">
        <v>81</v>
      </c>
      <c r="C108" s="67" t="str">
        <f>'5.Tiên lượng'!C182</f>
        <v>BB.11211</v>
      </c>
      <c r="D108" s="102" t="str">
        <f>'5.Tiên lượng'!D182</f>
        <v>Lắp đặt ống bê tông bằng cần cẩu, đoạn ống dài 1m - Đường kính 600mm</v>
      </c>
      <c r="E108" s="66" t="str">
        <f>'5.Tiên lượng'!E182</f>
        <v>1 đoạn ống</v>
      </c>
      <c r="F108" s="103">
        <f>'5.Tiên lượng'!M182</f>
        <v>1</v>
      </c>
      <c r="G108" s="71">
        <f>'Chiết tính rút gọn'!J710</f>
        <v>566455.93552208727</v>
      </c>
      <c r="H108" s="71"/>
      <c r="I108" s="71">
        <f>'Chiết tính rút gọn'!J713</f>
        <v>70200</v>
      </c>
      <c r="J108" s="71">
        <f>'Chiết tính rút gọn'!J715</f>
        <v>62618.819794999989</v>
      </c>
      <c r="K108" s="71">
        <f t="shared" si="84"/>
        <v>699274.75531708729</v>
      </c>
      <c r="L108" s="71">
        <f t="shared" si="85"/>
        <v>566455.93552208727</v>
      </c>
      <c r="M108" s="71">
        <f t="shared" si="86"/>
        <v>0</v>
      </c>
      <c r="N108" s="71">
        <f t="shared" si="87"/>
        <v>70200</v>
      </c>
      <c r="O108" s="71">
        <f t="shared" si="88"/>
        <v>62618.819794999989</v>
      </c>
      <c r="P108" s="71">
        <f t="shared" si="89"/>
        <v>699274.75531708729</v>
      </c>
    </row>
    <row r="109" spans="1:16" ht="82.8">
      <c r="A109" s="67"/>
      <c r="B109" s="66">
        <v>82</v>
      </c>
      <c r="C109" s="67" t="str">
        <f>'5.Tiên lượng'!C183</f>
        <v>BB.11221</v>
      </c>
      <c r="D109" s="102" t="str">
        <f>'5.Tiên lượng'!D183</f>
        <v>Lắp đặt ống bê tông bằng cần cẩu, đoạn ống dài 2m - Đường kính 600mm</v>
      </c>
      <c r="E109" s="66" t="str">
        <f>'5.Tiên lượng'!E183</f>
        <v>1 đoạn ống</v>
      </c>
      <c r="F109" s="103">
        <f>'5.Tiên lượng'!M183</f>
        <v>1</v>
      </c>
      <c r="G109" s="71">
        <f>'Chiết tính rút gọn'!J719</f>
        <v>1130810.8293843376</v>
      </c>
      <c r="H109" s="71"/>
      <c r="I109" s="71">
        <f>'Chiết tính rút gọn'!J722</f>
        <v>94500</v>
      </c>
      <c r="J109" s="71">
        <f>'Chiết tính rút gọn'!J724</f>
        <v>94774.429959999994</v>
      </c>
      <c r="K109" s="71">
        <f t="shared" si="84"/>
        <v>1320085.2593443377</v>
      </c>
      <c r="L109" s="71">
        <f t="shared" si="85"/>
        <v>1130810.8293843376</v>
      </c>
      <c r="M109" s="71">
        <f t="shared" si="86"/>
        <v>0</v>
      </c>
      <c r="N109" s="71">
        <f t="shared" si="87"/>
        <v>94500</v>
      </c>
      <c r="O109" s="71">
        <f t="shared" si="88"/>
        <v>94774.429959999994</v>
      </c>
      <c r="P109" s="71">
        <f t="shared" si="89"/>
        <v>1320085.2593443377</v>
      </c>
    </row>
    <row r="110" spans="1:16" ht="82.8">
      <c r="A110" s="67"/>
      <c r="B110" s="66">
        <v>83</v>
      </c>
      <c r="C110" s="67" t="str">
        <f>'5.Tiên lượng'!C184</f>
        <v>BB.11222VD</v>
      </c>
      <c r="D110" s="102" t="str">
        <f>'5.Tiên lượng'!D184</f>
        <v>Lắp đặt ống bê tông bằng cần cẩu, đoạn ống dài 2m - Đường kính 800mm</v>
      </c>
      <c r="E110" s="66" t="str">
        <f>'5.Tiên lượng'!E184</f>
        <v>1 đoạn ống</v>
      </c>
      <c r="F110" s="103">
        <f>'5.Tiên lượng'!M184</f>
        <v>1</v>
      </c>
      <c r="G110" s="71">
        <f>'Chiết tính rút gọn'!J728</f>
        <v>1942165.0296418353</v>
      </c>
      <c r="H110" s="71"/>
      <c r="I110" s="71">
        <f>'Chiết tính rút gọn'!J731</f>
        <v>170100</v>
      </c>
      <c r="J110" s="71">
        <f>'Chiết tính rút gọn'!J733</f>
        <v>101544.03209999998</v>
      </c>
      <c r="K110" s="71">
        <f t="shared" si="84"/>
        <v>2213809.061741835</v>
      </c>
      <c r="L110" s="71">
        <f t="shared" si="85"/>
        <v>1942165.0296418353</v>
      </c>
      <c r="M110" s="71">
        <f t="shared" si="86"/>
        <v>0</v>
      </c>
      <c r="N110" s="71">
        <f t="shared" si="87"/>
        <v>170100</v>
      </c>
      <c r="O110" s="71">
        <f t="shared" si="88"/>
        <v>101544.03209999998</v>
      </c>
      <c r="P110" s="71">
        <f t="shared" si="89"/>
        <v>2213809.061741835</v>
      </c>
    </row>
    <row r="111" spans="1:16" ht="69">
      <c r="A111" s="67"/>
      <c r="B111" s="66">
        <v>84</v>
      </c>
      <c r="C111" s="67" t="str">
        <f>'5.Tiên lượng'!C185</f>
        <v>BB.13503</v>
      </c>
      <c r="D111" s="102" t="str">
        <f>'5.Tiên lượng'!D185</f>
        <v>Nối ống bê tông bằng phương pháp xảm - Đường kính 400mm</v>
      </c>
      <c r="E111" s="66" t="str">
        <f>'5.Tiên lượng'!E185</f>
        <v>mối nối</v>
      </c>
      <c r="F111" s="103">
        <f>'5.Tiên lượng'!M185</f>
        <v>13</v>
      </c>
      <c r="G111" s="71">
        <f>'Chiết tính rút gọn'!J737</f>
        <v>9629.2935134712206</v>
      </c>
      <c r="H111" s="71"/>
      <c r="I111" s="71">
        <f>'Chiết tính rút gọn'!J741</f>
        <v>24300</v>
      </c>
      <c r="J111" s="71"/>
      <c r="K111" s="71">
        <f t="shared" si="84"/>
        <v>33929.293513471217</v>
      </c>
      <c r="L111" s="71">
        <f t="shared" si="85"/>
        <v>125180.81567512586</v>
      </c>
      <c r="M111" s="71">
        <f t="shared" si="86"/>
        <v>0</v>
      </c>
      <c r="N111" s="71">
        <f t="shared" si="87"/>
        <v>315900</v>
      </c>
      <c r="O111" s="71">
        <f t="shared" si="88"/>
        <v>0</v>
      </c>
      <c r="P111" s="71">
        <f t="shared" si="89"/>
        <v>441080.81567512586</v>
      </c>
    </row>
    <row r="112" spans="1:16" ht="69">
      <c r="A112" s="67"/>
      <c r="B112" s="66">
        <v>85</v>
      </c>
      <c r="C112" s="67" t="str">
        <f>'5.Tiên lượng'!C186</f>
        <v>BB.13505</v>
      </c>
      <c r="D112" s="102" t="str">
        <f>'5.Tiên lượng'!D186</f>
        <v>Nối ống bê tông bằng phương pháp xảm - Đường kính 600mm</v>
      </c>
      <c r="E112" s="66" t="str">
        <f>'5.Tiên lượng'!E186</f>
        <v>mối nối</v>
      </c>
      <c r="F112" s="103">
        <f>'5.Tiên lượng'!M186</f>
        <v>2</v>
      </c>
      <c r="G112" s="71">
        <f>'Chiết tính rút gọn'!J744</f>
        <v>14443.940270206833</v>
      </c>
      <c r="H112" s="71"/>
      <c r="I112" s="71">
        <f>'Chiết tính rút gọn'!J748</f>
        <v>35100</v>
      </c>
      <c r="J112" s="71"/>
      <c r="K112" s="71">
        <f t="shared" si="84"/>
        <v>49543.940270206833</v>
      </c>
      <c r="L112" s="71">
        <f t="shared" si="85"/>
        <v>28887.880540413666</v>
      </c>
      <c r="M112" s="71">
        <f t="shared" si="86"/>
        <v>0</v>
      </c>
      <c r="N112" s="71">
        <f t="shared" si="87"/>
        <v>70200</v>
      </c>
      <c r="O112" s="71">
        <f t="shared" si="88"/>
        <v>0</v>
      </c>
      <c r="P112" s="71">
        <f t="shared" si="89"/>
        <v>99087.880540413666</v>
      </c>
    </row>
    <row r="113" spans="1:16" ht="69">
      <c r="A113" s="67"/>
      <c r="B113" s="66">
        <v>86</v>
      </c>
      <c r="C113" s="67" t="str">
        <f>'5.Tiên lượng'!C187</f>
        <v>BB.13507</v>
      </c>
      <c r="D113" s="102" t="str">
        <f>'5.Tiên lượng'!D187</f>
        <v>Nối ống bê tông bằng phương pháp xảm - Đường kính 800mm</v>
      </c>
      <c r="E113" s="66" t="str">
        <f>'5.Tiên lượng'!E187</f>
        <v>mối nối</v>
      </c>
      <c r="F113" s="103">
        <f>'5.Tiên lượng'!M187</f>
        <v>1</v>
      </c>
      <c r="G113" s="71">
        <f>'Chiết tính rút gọn'!J751</f>
        <v>19108.129315794456</v>
      </c>
      <c r="H113" s="71"/>
      <c r="I113" s="71">
        <f>'Chiết tính rút gọn'!J755</f>
        <v>48600</v>
      </c>
      <c r="J113" s="71"/>
      <c r="K113" s="71">
        <f t="shared" si="84"/>
        <v>67708.12931579446</v>
      </c>
      <c r="L113" s="71">
        <f t="shared" si="85"/>
        <v>19108.129315794456</v>
      </c>
      <c r="M113" s="71">
        <f t="shared" si="86"/>
        <v>0</v>
      </c>
      <c r="N113" s="71">
        <f t="shared" si="87"/>
        <v>48600</v>
      </c>
      <c r="O113" s="71">
        <f t="shared" si="88"/>
        <v>0</v>
      </c>
      <c r="P113" s="71">
        <f t="shared" si="89"/>
        <v>67708.12931579446</v>
      </c>
    </row>
    <row r="114" spans="1:16" ht="82.8">
      <c r="A114" s="67"/>
      <c r="B114" s="66">
        <v>87</v>
      </c>
      <c r="C114" s="67" t="str">
        <f>'5.Tiên lượng'!C188</f>
        <v>BB.33011</v>
      </c>
      <c r="D114" s="102" t="str">
        <f>'5.Tiên lượng'!D188</f>
        <v>Khối xây gia cố bằng đá hộc - Chiều dày ≤60cm, vữa XM M100, PCB40</v>
      </c>
      <c r="E114" s="66" t="str">
        <f>'5.Tiên lượng'!E188</f>
        <v>100m</v>
      </c>
      <c r="F114" s="103">
        <f>'5.Tiên lượng'!M188</f>
        <v>8.199999999999999E-2</v>
      </c>
      <c r="G114" s="71">
        <f>'Chiết tính rút gọn'!J758</f>
        <v>42496661.741250001</v>
      </c>
      <c r="H114" s="71"/>
      <c r="I114" s="71">
        <f>'Chiết tính rút gọn'!J762</f>
        <v>8745300</v>
      </c>
      <c r="J114" s="71"/>
      <c r="K114" s="71">
        <f t="shared" si="84"/>
        <v>51241961.741250001</v>
      </c>
      <c r="L114" s="71">
        <f t="shared" si="85"/>
        <v>3484726.2627824997</v>
      </c>
      <c r="M114" s="71">
        <f t="shared" si="86"/>
        <v>0</v>
      </c>
      <c r="N114" s="71">
        <f t="shared" si="87"/>
        <v>717114.59999999986</v>
      </c>
      <c r="O114" s="71">
        <f t="shared" si="88"/>
        <v>0</v>
      </c>
      <c r="P114" s="71">
        <f t="shared" si="89"/>
        <v>4201840.8627824998</v>
      </c>
    </row>
    <row r="115" spans="1:16" ht="27.6">
      <c r="A115" s="67"/>
      <c r="B115" s="66">
        <v>88</v>
      </c>
      <c r="C115" s="67" t="str">
        <f>'5.Tiên lượng'!C190</f>
        <v>TT</v>
      </c>
      <c r="D115" s="102" t="str">
        <f>'5.Tiên lượng'!D190</f>
        <v>Tấm gỗ chắn nước</v>
      </c>
      <c r="E115" s="66" t="str">
        <f>'5.Tiên lượng'!E190</f>
        <v>m3</v>
      </c>
      <c r="F115" s="103">
        <f>'5.Tiên lượng'!M190</f>
        <v>0.01</v>
      </c>
      <c r="G115" s="71">
        <f>'Chiết tính rút gọn'!J765</f>
        <v>2544105.8536283001</v>
      </c>
      <c r="H115" s="71"/>
      <c r="I115" s="71"/>
      <c r="J115" s="71"/>
      <c r="K115" s="71">
        <f t="shared" si="84"/>
        <v>2544105.8536283001</v>
      </c>
      <c r="L115" s="71">
        <f t="shared" si="85"/>
        <v>25441.058536283002</v>
      </c>
      <c r="M115" s="71">
        <f t="shared" si="86"/>
        <v>0</v>
      </c>
      <c r="N115" s="71">
        <f t="shared" si="87"/>
        <v>0</v>
      </c>
      <c r="O115" s="71">
        <f t="shared" si="88"/>
        <v>0</v>
      </c>
      <c r="P115" s="71">
        <f t="shared" si="89"/>
        <v>25441.058536283002</v>
      </c>
    </row>
    <row r="116" spans="1:16">
      <c r="A116" s="67"/>
      <c r="B116" s="66">
        <v>0</v>
      </c>
      <c r="C116" s="67" t="s">
        <v>339</v>
      </c>
      <c r="D116" s="102" t="s">
        <v>561</v>
      </c>
      <c r="E116" s="66"/>
      <c r="F116" s="103">
        <v>0</v>
      </c>
      <c r="G116" s="71"/>
      <c r="H116" s="71"/>
      <c r="I116" s="71"/>
      <c r="J116" s="71"/>
      <c r="K116" s="71">
        <v>0</v>
      </c>
      <c r="L116" s="71">
        <v>0</v>
      </c>
      <c r="M116" s="71">
        <v>0</v>
      </c>
      <c r="N116" s="71">
        <v>0</v>
      </c>
      <c r="O116" s="71">
        <v>0</v>
      </c>
      <c r="P116" s="71">
        <v>0</v>
      </c>
    </row>
    <row r="117" spans="1:16" ht="96.6">
      <c r="A117" s="67"/>
      <c r="B117" s="66">
        <v>89</v>
      </c>
      <c r="C117" s="67" t="str">
        <f>'5.Tiên lượng'!C192</f>
        <v>AF.12151</v>
      </c>
      <c r="D117" s="102" t="str">
        <f>'5.Tiên lượng'!D192</f>
        <v>BTXM đầu cống - Chiều dày ≤45cm, chiều cao ≤6m, M150, đá 2x4, PCB40</v>
      </c>
      <c r="E117" s="66" t="str">
        <f>'5.Tiên lượng'!E192</f>
        <v>m3</v>
      </c>
      <c r="F117" s="103">
        <f>'5.Tiên lượng'!M192</f>
        <v>2.29</v>
      </c>
      <c r="G117" s="71">
        <f>'Chiết tính rút gọn'!J769</f>
        <v>1071238.1347510607</v>
      </c>
      <c r="H117" s="71"/>
      <c r="I117" s="71">
        <f>'Chiết tính rút gọn'!J775</f>
        <v>672300</v>
      </c>
      <c r="J117" s="71">
        <f>'Chiết tính rút gọn'!J777</f>
        <v>81629.343256975</v>
      </c>
      <c r="K117" s="71">
        <f t="shared" ref="K117:K130" si="90">SUM(G117:J117)</f>
        <v>1825167.4780080358</v>
      </c>
      <c r="L117" s="71">
        <f t="shared" ref="L117:L130" si="91">F117*G117</f>
        <v>2453135.3285799292</v>
      </c>
      <c r="M117" s="71">
        <f t="shared" ref="M117:M130" si="92">F117*H117</f>
        <v>0</v>
      </c>
      <c r="N117" s="71">
        <f t="shared" ref="N117:N130" si="93">F117*I117</f>
        <v>1539567</v>
      </c>
      <c r="O117" s="71">
        <f t="shared" ref="O117:O130" si="94">F117*J117</f>
        <v>186931.19605847276</v>
      </c>
      <c r="P117" s="71">
        <f t="shared" ref="P117:P130" si="95">SUM(L117:O117)</f>
        <v>4179633.5246384018</v>
      </c>
    </row>
    <row r="118" spans="1:16" ht="96.6">
      <c r="A118" s="67"/>
      <c r="B118" s="66">
        <v>90</v>
      </c>
      <c r="C118" s="67" t="str">
        <f>'5.Tiên lượng'!C193</f>
        <v>AF.12152</v>
      </c>
      <c r="D118" s="102" t="str">
        <f>'5.Tiên lượng'!D193</f>
        <v>BTXM thân cống - Chiều dày ≤45cm, chiều cao ≤6m, M200, đá 2x4, PCB40</v>
      </c>
      <c r="E118" s="66" t="str">
        <f>'5.Tiên lượng'!E193</f>
        <v>m3</v>
      </c>
      <c r="F118" s="103">
        <f>'5.Tiên lượng'!M193</f>
        <v>1.0900000000000001</v>
      </c>
      <c r="G118" s="71">
        <f>'Chiết tính rút gọn'!J781</f>
        <v>1132807.5438712321</v>
      </c>
      <c r="H118" s="71"/>
      <c r="I118" s="71">
        <f>'Chiết tính rút gọn'!J787</f>
        <v>672300</v>
      </c>
      <c r="J118" s="71">
        <f>'Chiết tính rút gọn'!J789</f>
        <v>81629.343256975</v>
      </c>
      <c r="K118" s="71">
        <f t="shared" si="90"/>
        <v>1886736.8871282071</v>
      </c>
      <c r="L118" s="71">
        <f t="shared" si="91"/>
        <v>1234760.2228196431</v>
      </c>
      <c r="M118" s="71">
        <f t="shared" si="92"/>
        <v>0</v>
      </c>
      <c r="N118" s="71">
        <f t="shared" si="93"/>
        <v>732807</v>
      </c>
      <c r="O118" s="71">
        <f t="shared" si="94"/>
        <v>88975.984150102755</v>
      </c>
      <c r="P118" s="71">
        <f t="shared" si="95"/>
        <v>2056543.2069697459</v>
      </c>
    </row>
    <row r="119" spans="1:16" ht="55.2">
      <c r="A119" s="67"/>
      <c r="B119" s="66">
        <v>91</v>
      </c>
      <c r="C119" s="67" t="str">
        <f>'5.Tiên lượng'!C194</f>
        <v>AF.11231</v>
      </c>
      <c r="D119" s="102" t="str">
        <f>'5.Tiên lượng'!D194</f>
        <v>BTXM móng cống, M150, đá 2x4, PCB40</v>
      </c>
      <c r="E119" s="66" t="str">
        <f>'5.Tiên lượng'!E194</f>
        <v>m3</v>
      </c>
      <c r="F119" s="103">
        <f>'5.Tiên lượng'!M194</f>
        <v>4.38</v>
      </c>
      <c r="G119" s="71">
        <f>'Chiết tính rút gọn'!J793</f>
        <v>1030429.0629510203</v>
      </c>
      <c r="H119" s="71"/>
      <c r="I119" s="71">
        <f>'Chiết tính rút gọn'!J799</f>
        <v>303696.83999999997</v>
      </c>
      <c r="J119" s="71">
        <f>'Chiết tính rút gọn'!J801</f>
        <v>56032.926787260003</v>
      </c>
      <c r="K119" s="71">
        <f t="shared" si="90"/>
        <v>1390158.8297382803</v>
      </c>
      <c r="L119" s="71">
        <f t="shared" si="91"/>
        <v>4513279.2957254685</v>
      </c>
      <c r="M119" s="71">
        <f t="shared" si="92"/>
        <v>0</v>
      </c>
      <c r="N119" s="71">
        <f t="shared" si="93"/>
        <v>1330192.1591999999</v>
      </c>
      <c r="O119" s="71">
        <f t="shared" si="94"/>
        <v>245424.21932819881</v>
      </c>
      <c r="P119" s="71">
        <f t="shared" si="95"/>
        <v>6088895.6742536668</v>
      </c>
    </row>
    <row r="120" spans="1:16" ht="138">
      <c r="A120" s="67"/>
      <c r="B120" s="66">
        <v>92</v>
      </c>
      <c r="C120" s="67" t="str">
        <f>'5.Tiên lượng'!C195</f>
        <v>AG.11413</v>
      </c>
      <c r="D120" s="102" t="str">
        <f>'5.Tiên lượng'!D195</f>
        <v>BTCT tấm bản mặt, M250, đá 1x2, PCB40 - Đổ bê tông đúc sẵn bằng thủ công (vữa bê tông sản xuất bằng máy trộn)</v>
      </c>
      <c r="E120" s="66" t="str">
        <f>'5.Tiên lượng'!E195</f>
        <v>m3</v>
      </c>
      <c r="F120" s="103">
        <f>'5.Tiên lượng'!M195</f>
        <v>1.23</v>
      </c>
      <c r="G120" s="71">
        <f>'Chiết tính rút gọn'!J805</f>
        <v>1171098.5194719234</v>
      </c>
      <c r="H120" s="71"/>
      <c r="I120" s="71">
        <f>'Chiết tính rút gọn'!J811</f>
        <v>476532.44</v>
      </c>
      <c r="J120" s="71">
        <f>'Chiết tính rút gọn'!J813</f>
        <v>30999.068921274997</v>
      </c>
      <c r="K120" s="71">
        <f t="shared" si="90"/>
        <v>1678630.0283931983</v>
      </c>
      <c r="L120" s="71">
        <f t="shared" si="91"/>
        <v>1440451.1789504657</v>
      </c>
      <c r="M120" s="71">
        <f t="shared" si="92"/>
        <v>0</v>
      </c>
      <c r="N120" s="71">
        <f t="shared" si="93"/>
        <v>586134.90119999996</v>
      </c>
      <c r="O120" s="71">
        <f t="shared" si="94"/>
        <v>38128.854773168248</v>
      </c>
      <c r="P120" s="71">
        <f t="shared" si="95"/>
        <v>2064714.9349236339</v>
      </c>
    </row>
    <row r="121" spans="1:16" ht="41.4">
      <c r="A121" s="67"/>
      <c r="B121" s="66">
        <v>93</v>
      </c>
      <c r="C121" s="67" t="str">
        <f>'5.Tiên lượng'!C196</f>
        <v>AG.41610</v>
      </c>
      <c r="D121" s="102" t="str">
        <f>'5.Tiên lượng'!D196</f>
        <v>Lắp đặt tấm bản mặt bằng cần cẩu</v>
      </c>
      <c r="E121" s="66" t="str">
        <f>'5.Tiên lượng'!E196</f>
        <v>1cấu kiện</v>
      </c>
      <c r="F121" s="103">
        <f>'5.Tiên lượng'!M196</f>
        <v>8</v>
      </c>
      <c r="G121" s="71"/>
      <c r="H121" s="71"/>
      <c r="I121" s="71">
        <f>'Chiết tính rút gọn'!J816</f>
        <v>14814.48</v>
      </c>
      <c r="J121" s="71">
        <f>'Chiết tính rút gọn'!J818</f>
        <v>48354.300999999992</v>
      </c>
      <c r="K121" s="71">
        <f t="shared" si="90"/>
        <v>63168.780999999988</v>
      </c>
      <c r="L121" s="71">
        <f t="shared" si="91"/>
        <v>0</v>
      </c>
      <c r="M121" s="71">
        <f t="shared" si="92"/>
        <v>0</v>
      </c>
      <c r="N121" s="71">
        <f t="shared" si="93"/>
        <v>118515.84</v>
      </c>
      <c r="O121" s="71">
        <f t="shared" si="94"/>
        <v>386834.40799999994</v>
      </c>
      <c r="P121" s="71">
        <f t="shared" si="95"/>
        <v>505350.24799999991</v>
      </c>
    </row>
    <row r="122" spans="1:16" ht="55.2">
      <c r="A122" s="67"/>
      <c r="B122" s="66">
        <v>94</v>
      </c>
      <c r="C122" s="67" t="str">
        <f>'5.Tiên lượng'!C197</f>
        <v>AF.14232</v>
      </c>
      <c r="D122" s="102" t="str">
        <f>'5.Tiên lượng'!D197</f>
        <v>BTCT mũ mố, M200, đá 2x4, PCB40</v>
      </c>
      <c r="E122" s="66" t="str">
        <f>'5.Tiên lượng'!E197</f>
        <v>m3</v>
      </c>
      <c r="F122" s="103">
        <f>'5.Tiên lượng'!M197</f>
        <v>0.79</v>
      </c>
      <c r="G122" s="71">
        <f>'Chiết tính rút gọn'!J821</f>
        <v>1100441.6140463396</v>
      </c>
      <c r="H122" s="71"/>
      <c r="I122" s="71">
        <f>'Chiết tính rút gọn'!J827</f>
        <v>696600</v>
      </c>
      <c r="J122" s="71">
        <f>'Chiết tính rút gọn'!J829</f>
        <v>149696.7062941326</v>
      </c>
      <c r="K122" s="71">
        <f t="shared" si="90"/>
        <v>1946738.3203404723</v>
      </c>
      <c r="L122" s="71">
        <f t="shared" si="91"/>
        <v>869348.8750966083</v>
      </c>
      <c r="M122" s="71">
        <f t="shared" si="92"/>
        <v>0</v>
      </c>
      <c r="N122" s="71">
        <f t="shared" si="93"/>
        <v>550314</v>
      </c>
      <c r="O122" s="71">
        <f t="shared" si="94"/>
        <v>118260.39797236476</v>
      </c>
      <c r="P122" s="71">
        <f t="shared" si="95"/>
        <v>1537923.2730689731</v>
      </c>
    </row>
    <row r="123" spans="1:16" ht="27.6">
      <c r="A123" s="67"/>
      <c r="B123" s="66">
        <v>95</v>
      </c>
      <c r="C123" s="67" t="str">
        <f>'5.Tiên lượng'!C198</f>
        <v>AG.13231</v>
      </c>
      <c r="D123" s="102" t="str">
        <f>'5.Tiên lượng'!D198</f>
        <v>Cốt thép tấm bản mặt</v>
      </c>
      <c r="E123" s="66" t="str">
        <f>'5.Tiên lượng'!E198</f>
        <v>tấn</v>
      </c>
      <c r="F123" s="103">
        <f>'5.Tiên lượng'!M198</f>
        <v>0.20314999999999997</v>
      </c>
      <c r="G123" s="71">
        <f>'Chiết tính rút gọn'!J835</f>
        <v>18260848.267546091</v>
      </c>
      <c r="H123" s="71"/>
      <c r="I123" s="71">
        <f>'Chiết tính rút gọn'!J838</f>
        <v>4387500</v>
      </c>
      <c r="J123" s="71">
        <f>'Chiết tính rút gọn'!J840</f>
        <v>114513.84476866666</v>
      </c>
      <c r="K123" s="71">
        <f t="shared" si="90"/>
        <v>22762862.112314757</v>
      </c>
      <c r="L123" s="71">
        <f t="shared" si="91"/>
        <v>3709691.3255519881</v>
      </c>
      <c r="M123" s="71">
        <f t="shared" si="92"/>
        <v>0</v>
      </c>
      <c r="N123" s="71">
        <f t="shared" si="93"/>
        <v>891320.62499999988</v>
      </c>
      <c r="O123" s="71">
        <f t="shared" si="94"/>
        <v>23263.487564754629</v>
      </c>
      <c r="P123" s="71">
        <f t="shared" si="95"/>
        <v>4624275.4381167423</v>
      </c>
    </row>
    <row r="124" spans="1:16" ht="27.6">
      <c r="A124" s="67"/>
      <c r="B124" s="66">
        <v>96</v>
      </c>
      <c r="C124" s="67" t="str">
        <f>'5.Tiên lượng'!C200</f>
        <v>AG.32511</v>
      </c>
      <c r="D124" s="102" t="str">
        <f>'5.Tiên lượng'!D200</f>
        <v>Ván khuôn thép tấm bản</v>
      </c>
      <c r="E124" s="66" t="str">
        <f>'5.Tiên lượng'!E200</f>
        <v>100m2</v>
      </c>
      <c r="F124" s="103">
        <f>'5.Tiên lượng'!M200</f>
        <v>6.0100000000000001E-2</v>
      </c>
      <c r="G124" s="71">
        <f>'Chiết tính rút gọn'!J843</f>
        <v>705646.47372225288</v>
      </c>
      <c r="H124" s="71"/>
      <c r="I124" s="71">
        <f>'Chiết tính rút gọn'!J848</f>
        <v>6758701.5199999996</v>
      </c>
      <c r="J124" s="71">
        <f>'Chiết tính rút gọn'!J850</f>
        <v>147950.66333124001</v>
      </c>
      <c r="K124" s="71">
        <f t="shared" si="90"/>
        <v>7612298.657053493</v>
      </c>
      <c r="L124" s="71">
        <f t="shared" si="91"/>
        <v>42409.353070707395</v>
      </c>
      <c r="M124" s="71">
        <f t="shared" si="92"/>
        <v>0</v>
      </c>
      <c r="N124" s="71">
        <f t="shared" si="93"/>
        <v>406197.96135199995</v>
      </c>
      <c r="O124" s="71">
        <f t="shared" si="94"/>
        <v>8891.8348662075241</v>
      </c>
      <c r="P124" s="71">
        <f t="shared" si="95"/>
        <v>457499.14928891486</v>
      </c>
    </row>
    <row r="125" spans="1:16" ht="27.6">
      <c r="A125" s="67"/>
      <c r="B125" s="66">
        <v>97</v>
      </c>
      <c r="C125" s="67" t="str">
        <f>'5.Tiên lượng'!C202</f>
        <v>AF.82511</v>
      </c>
      <c r="D125" s="102" t="str">
        <f>'5.Tiên lượng'!D202</f>
        <v>Ván khuôn thép cống</v>
      </c>
      <c r="E125" s="66" t="str">
        <f>'5.Tiên lượng'!E202</f>
        <v>100m2</v>
      </c>
      <c r="F125" s="103">
        <f>'5.Tiên lượng'!M202</f>
        <v>0.27440000000000003</v>
      </c>
      <c r="G125" s="71">
        <f>'Chiết tính rút gọn'!J854</f>
        <v>1623401.2408645179</v>
      </c>
      <c r="H125" s="71"/>
      <c r="I125" s="71">
        <f>'Chiết tính rút gọn'!J859</f>
        <v>3590377</v>
      </c>
      <c r="J125" s="71">
        <f>'Chiết tính rút gọn'!J861</f>
        <v>357131.12499350397</v>
      </c>
      <c r="K125" s="71">
        <f t="shared" si="90"/>
        <v>5570909.3658580221</v>
      </c>
      <c r="L125" s="71">
        <f t="shared" si="91"/>
        <v>445461.30049322377</v>
      </c>
      <c r="M125" s="71">
        <f t="shared" si="92"/>
        <v>0</v>
      </c>
      <c r="N125" s="71">
        <f t="shared" si="93"/>
        <v>985199.44880000013</v>
      </c>
      <c r="O125" s="71">
        <f t="shared" si="94"/>
        <v>97996.780698217495</v>
      </c>
      <c r="P125" s="71">
        <f t="shared" si="95"/>
        <v>1528657.5299914414</v>
      </c>
    </row>
    <row r="126" spans="1:16" ht="55.2">
      <c r="A126" s="67"/>
      <c r="B126" s="66">
        <v>98</v>
      </c>
      <c r="C126" s="67" t="str">
        <f>'5.Tiên lượng'!C204</f>
        <v>AG.41610</v>
      </c>
      <c r="D126" s="102" t="str">
        <f>'5.Tiên lượng'!D204</f>
        <v>Tháo dỡ tấm bản mặt cầu cũ bằng cần cẩu</v>
      </c>
      <c r="E126" s="66" t="str">
        <f>'5.Tiên lượng'!E204</f>
        <v>1cấu kiện</v>
      </c>
      <c r="F126" s="103">
        <f>'5.Tiên lượng'!M204</f>
        <v>3</v>
      </c>
      <c r="G126" s="71"/>
      <c r="H126" s="71"/>
      <c r="I126" s="71">
        <f>'Chiết tính rút gọn'!J865</f>
        <v>4444.3440000000001</v>
      </c>
      <c r="J126" s="71">
        <f>'Chiết tính rút gọn'!J867</f>
        <v>14506.290299999997</v>
      </c>
      <c r="K126" s="71">
        <f t="shared" si="90"/>
        <v>18950.634299999998</v>
      </c>
      <c r="L126" s="71">
        <f t="shared" si="91"/>
        <v>0</v>
      </c>
      <c r="M126" s="71">
        <f t="shared" si="92"/>
        <v>0</v>
      </c>
      <c r="N126" s="71">
        <f t="shared" si="93"/>
        <v>13333.031999999999</v>
      </c>
      <c r="O126" s="71">
        <f t="shared" si="94"/>
        <v>43518.870899999994</v>
      </c>
      <c r="P126" s="71">
        <f t="shared" si="95"/>
        <v>56851.902899999994</v>
      </c>
    </row>
    <row r="127" spans="1:16" ht="82.8">
      <c r="A127" s="67"/>
      <c r="B127" s="66">
        <v>99</v>
      </c>
      <c r="C127" s="67" t="str">
        <f>'5.Tiên lượng'!C205</f>
        <v>BB.11211VD</v>
      </c>
      <c r="D127" s="102" t="str">
        <f>'5.Tiên lượng'!D205</f>
        <v>Tháo dỡ ống bê tông bằng cần cẩu, đoạn ống dài 1m - Đường kính 400mm</v>
      </c>
      <c r="E127" s="66" t="str">
        <f>'5.Tiên lượng'!E205</f>
        <v>1 đoạn ống</v>
      </c>
      <c r="F127" s="103">
        <f>'5.Tiên lượng'!M205</f>
        <v>5</v>
      </c>
      <c r="G127" s="71"/>
      <c r="H127" s="71"/>
      <c r="I127" s="71">
        <f>'Chiết tính rút gọn'!J870</f>
        <v>70200</v>
      </c>
      <c r="J127" s="71">
        <f>'Chiết tính rút gọn'!J872</f>
        <v>62618.819794999989</v>
      </c>
      <c r="K127" s="71">
        <f t="shared" si="90"/>
        <v>132818.81979499999</v>
      </c>
      <c r="L127" s="71">
        <f t="shared" si="91"/>
        <v>0</v>
      </c>
      <c r="M127" s="71">
        <f t="shared" si="92"/>
        <v>0</v>
      </c>
      <c r="N127" s="71">
        <f t="shared" si="93"/>
        <v>351000</v>
      </c>
      <c r="O127" s="71">
        <f t="shared" si="94"/>
        <v>313094.09897499997</v>
      </c>
      <c r="P127" s="71">
        <f t="shared" si="95"/>
        <v>664094.09897499997</v>
      </c>
    </row>
    <row r="128" spans="1:16" ht="69">
      <c r="A128" s="67"/>
      <c r="B128" s="66">
        <v>100</v>
      </c>
      <c r="C128" s="67" t="str">
        <f>'5.Tiên lượng'!C206</f>
        <v>AA.22121</v>
      </c>
      <c r="D128" s="102" t="str">
        <f>'5.Tiên lượng'!D206</f>
        <v>Phá dỡ kết cấu gạch đá bằng búa căn khí nén 3m3/ph</v>
      </c>
      <c r="E128" s="66" t="str">
        <f>'5.Tiên lượng'!E206</f>
        <v>m3</v>
      </c>
      <c r="F128" s="103">
        <f>'5.Tiên lượng'!M206</f>
        <v>2.1</v>
      </c>
      <c r="G128" s="71"/>
      <c r="H128" s="71"/>
      <c r="I128" s="71">
        <f>'Chiết tính rút gọn'!J876</f>
        <v>45723.600000000006</v>
      </c>
      <c r="J128" s="71">
        <f>'Chiết tính rút gọn'!J878</f>
        <v>90038.426666666666</v>
      </c>
      <c r="K128" s="71">
        <f t="shared" si="90"/>
        <v>135762.02666666667</v>
      </c>
      <c r="L128" s="71">
        <f t="shared" si="91"/>
        <v>0</v>
      </c>
      <c r="M128" s="71">
        <f t="shared" si="92"/>
        <v>0</v>
      </c>
      <c r="N128" s="71">
        <f t="shared" si="93"/>
        <v>96019.560000000012</v>
      </c>
      <c r="O128" s="71">
        <f t="shared" si="94"/>
        <v>189080.696</v>
      </c>
      <c r="P128" s="71">
        <f t="shared" si="95"/>
        <v>285100.25599999999</v>
      </c>
    </row>
    <row r="129" spans="1:16" ht="82.8">
      <c r="A129" s="67"/>
      <c r="B129" s="66">
        <v>101</v>
      </c>
      <c r="C129" s="67" t="str">
        <f>'5.Tiên lượng'!C209</f>
        <v>AB.41432</v>
      </c>
      <c r="D129" s="102" t="str">
        <f>'5.Tiên lượng'!D209</f>
        <v>Vận chuyển đất bằng ô tô tự đổ 10T, phạm vi ≤1000m - Cấp đất II</v>
      </c>
      <c r="E129" s="66" t="str">
        <f>'5.Tiên lượng'!E209</f>
        <v>100m3</v>
      </c>
      <c r="F129" s="103">
        <f>'5.Tiên lượng'!M209</f>
        <v>9.4894999999999996</v>
      </c>
      <c r="G129" s="71"/>
      <c r="H129" s="71"/>
      <c r="I129" s="71"/>
      <c r="J129" s="71">
        <f>'Chiết tính rút gọn'!J882</f>
        <v>1518125.1906057145</v>
      </c>
      <c r="K129" s="71">
        <f t="shared" si="90"/>
        <v>1518125.1906057145</v>
      </c>
      <c r="L129" s="71">
        <f t="shared" si="91"/>
        <v>0</v>
      </c>
      <c r="M129" s="71">
        <f t="shared" si="92"/>
        <v>0</v>
      </c>
      <c r="N129" s="71">
        <f t="shared" si="93"/>
        <v>0</v>
      </c>
      <c r="O129" s="71">
        <f t="shared" si="94"/>
        <v>14406248.996252926</v>
      </c>
      <c r="P129" s="71">
        <f t="shared" si="95"/>
        <v>14406248.996252926</v>
      </c>
    </row>
    <row r="130" spans="1:16" ht="82.8">
      <c r="A130" s="104"/>
      <c r="B130" s="105">
        <v>102</v>
      </c>
      <c r="C130" s="104" t="str">
        <f>'5.Tiên lượng'!C211</f>
        <v>AB.53431</v>
      </c>
      <c r="D130" s="106" t="str">
        <f>'5.Tiên lượng'!D211</f>
        <v>Vận chuyển đá sau nổ mìn bằng ô tô tự đổ 10T trong phạm vi ≤1000m</v>
      </c>
      <c r="E130" s="105" t="str">
        <f>'5.Tiên lượng'!E211</f>
        <v>100m3</v>
      </c>
      <c r="F130" s="107">
        <f>'5.Tiên lượng'!M211</f>
        <v>2.2446000000000002</v>
      </c>
      <c r="G130" s="108"/>
      <c r="H130" s="108"/>
      <c r="I130" s="108"/>
      <c r="J130" s="108">
        <f>'Chiết tính rút gọn'!J885</f>
        <v>2773214.8127005701</v>
      </c>
      <c r="K130" s="108">
        <f t="shared" si="90"/>
        <v>2773214.8127005701</v>
      </c>
      <c r="L130" s="108">
        <f t="shared" si="91"/>
        <v>0</v>
      </c>
      <c r="M130" s="108">
        <f t="shared" si="92"/>
        <v>0</v>
      </c>
      <c r="N130" s="108">
        <f t="shared" si="93"/>
        <v>0</v>
      </c>
      <c r="O130" s="108">
        <f t="shared" si="94"/>
        <v>6224757.9685877003</v>
      </c>
      <c r="P130" s="108">
        <f t="shared" si="95"/>
        <v>6224757.9685877003</v>
      </c>
    </row>
    <row r="131" spans="1:16">
      <c r="A131" s="64" t="s">
        <v>1005</v>
      </c>
      <c r="B131" s="63"/>
      <c r="C131" s="64"/>
      <c r="D131" s="109" t="s">
        <v>85</v>
      </c>
      <c r="E131" s="63"/>
      <c r="F131" s="110"/>
      <c r="G131" s="70"/>
      <c r="H131" s="70"/>
      <c r="I131" s="70"/>
      <c r="J131" s="70"/>
      <c r="K131" s="70"/>
      <c r="L131" s="70">
        <f t="shared" ref="L131:P131" si="96">SUM(L7:L130)</f>
        <v>3870635657.813293</v>
      </c>
      <c r="M131" s="70">
        <f t="shared" si="96"/>
        <v>0</v>
      </c>
      <c r="N131" s="70">
        <f t="shared" si="96"/>
        <v>711539651.13550556</v>
      </c>
      <c r="O131" s="70">
        <f t="shared" si="96"/>
        <v>668573725.63967407</v>
      </c>
      <c r="P131" s="70">
        <f t="shared" si="96"/>
        <v>5250749034.5884752</v>
      </c>
    </row>
  </sheetData>
  <mergeCells count="12">
    <mergeCell ref="A1:P1"/>
    <mergeCell ref="A2:P2"/>
    <mergeCell ref="A3:P3"/>
    <mergeCell ref="A4:P4"/>
    <mergeCell ref="G5:J5"/>
    <mergeCell ref="L5:O5"/>
    <mergeCell ref="B5:B6"/>
    <mergeCell ref="C5:C6"/>
    <mergeCell ref="D5:D6"/>
    <mergeCell ref="E5:E6"/>
    <mergeCell ref="F5:F6"/>
    <mergeCell ref="P5:P6"/>
  </mergeCells>
  <pageMargins left="0.75" right="0.75" top="0.75" bottom="0.75" header="0.3" footer="0.3"/>
  <pageSetup paperSize="9" orientation="landscape" useFirstPageNumber="1"/>
  <headerFooter>
    <oddFooter>&amp;CTrang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63"/>
  <sheetViews>
    <sheetView showGridLines="0" showZeros="0" topLeftCell="B1" workbookViewId="0">
      <pane ySplit="4" topLeftCell="A5" activePane="bottomLeft" state="frozen"/>
      <selection pane="bottomLeft" activeCell="A5" sqref="A5"/>
    </sheetView>
  </sheetViews>
  <sheetFormatPr defaultColWidth="9" defaultRowHeight="14.4"/>
  <cols>
    <col min="1" max="1" width="8.77734375" hidden="1" customWidth="1"/>
    <col min="2" max="2" width="3.77734375" customWidth="1"/>
    <col min="3" max="3" width="7.44140625" customWidth="1"/>
    <col min="4" max="4" width="45" customWidth="1"/>
    <col min="5" max="5" width="6.44140625" customWidth="1"/>
    <col min="6" max="6" width="9" customWidth="1"/>
    <col min="7" max="7" width="15.44140625" customWidth="1"/>
    <col min="8" max="8" width="7.44140625" customWidth="1"/>
  </cols>
  <sheetData>
    <row r="1" spans="1:9" ht="17.399999999999999">
      <c r="A1" s="1058" t="s">
        <v>1244</v>
      </c>
      <c r="B1" s="1058"/>
      <c r="C1" s="1058"/>
      <c r="D1" s="1058"/>
      <c r="E1" s="1058"/>
      <c r="F1" s="1058"/>
      <c r="G1" s="1058"/>
      <c r="H1" s="1058"/>
      <c r="I1" s="1058"/>
    </row>
    <row r="2" spans="1:9">
      <c r="A2" s="1059"/>
      <c r="B2" s="1059"/>
      <c r="C2" s="1059"/>
      <c r="D2" s="1059"/>
      <c r="E2" s="1059"/>
      <c r="F2" s="1059"/>
      <c r="G2" s="1059"/>
      <c r="H2" s="1059"/>
      <c r="I2" s="1059"/>
    </row>
    <row r="3" spans="1:9">
      <c r="A3" s="1060" t="s">
        <v>1245</v>
      </c>
      <c r="B3" s="1060"/>
      <c r="C3" s="1060"/>
      <c r="D3" s="1060"/>
      <c r="E3" s="1060"/>
      <c r="F3" s="1060"/>
      <c r="G3" s="1060"/>
      <c r="H3" s="1060"/>
      <c r="I3" s="1060"/>
    </row>
    <row r="4" spans="1:9">
      <c r="A4" s="82" t="s">
        <v>997</v>
      </c>
      <c r="B4" s="82" t="s">
        <v>5</v>
      </c>
      <c r="C4" s="82" t="s">
        <v>592</v>
      </c>
      <c r="D4" s="82" t="s">
        <v>1246</v>
      </c>
      <c r="E4" s="82" t="s">
        <v>594</v>
      </c>
      <c r="F4" s="82" t="s">
        <v>595</v>
      </c>
      <c r="G4" s="82" t="s">
        <v>1247</v>
      </c>
      <c r="H4" s="82" t="s">
        <v>697</v>
      </c>
      <c r="I4" s="82" t="s">
        <v>261</v>
      </c>
    </row>
    <row r="5" spans="1:9">
      <c r="A5" s="83"/>
      <c r="B5" s="84"/>
      <c r="C5" s="83"/>
      <c r="D5" s="83"/>
      <c r="E5" s="84"/>
      <c r="F5" s="85"/>
      <c r="G5" s="85"/>
      <c r="H5" s="86"/>
      <c r="I5" s="86"/>
    </row>
    <row r="6" spans="1:9">
      <c r="A6" s="87"/>
      <c r="B6" s="88">
        <v>1</v>
      </c>
      <c r="C6" s="683" t="s">
        <v>1248</v>
      </c>
      <c r="D6" s="87" t="s">
        <v>1249</v>
      </c>
      <c r="E6" s="88" t="s">
        <v>356</v>
      </c>
      <c r="F6" s="89">
        <v>1.0249999999999999</v>
      </c>
      <c r="G6" s="89"/>
      <c r="H6" s="90"/>
      <c r="I6" s="90">
        <f>SUM(I7:I10)</f>
        <v>1138266.0133280377</v>
      </c>
    </row>
    <row r="7" spans="1:9">
      <c r="A7" s="91"/>
      <c r="B7" s="92"/>
      <c r="C7" s="684" t="s">
        <v>614</v>
      </c>
      <c r="D7" s="91" t="s">
        <v>747</v>
      </c>
      <c r="E7" s="92" t="s">
        <v>720</v>
      </c>
      <c r="F7" s="93">
        <v>284</v>
      </c>
      <c r="G7" s="93">
        <f>F6*F7</f>
        <v>291.09999999999997</v>
      </c>
      <c r="H7" s="94">
        <f>'Giá VL'!V45</f>
        <v>1730</v>
      </c>
      <c r="I7" s="94">
        <f t="shared" ref="I7:I10" si="0">G7*H7</f>
        <v>503602.99999999994</v>
      </c>
    </row>
    <row r="8" spans="1:9">
      <c r="A8" s="91"/>
      <c r="B8" s="92"/>
      <c r="C8" s="684" t="s">
        <v>615</v>
      </c>
      <c r="D8" s="91" t="s">
        <v>713</v>
      </c>
      <c r="E8" s="92" t="s">
        <v>356</v>
      </c>
      <c r="F8" s="93">
        <v>0.53</v>
      </c>
      <c r="G8" s="93">
        <f>F6*F8</f>
        <v>0.54325000000000001</v>
      </c>
      <c r="H8" s="94">
        <f>'Giá VL'!V17</f>
        <v>659026.49526849983</v>
      </c>
      <c r="I8" s="94">
        <f t="shared" si="0"/>
        <v>358016.14355461253</v>
      </c>
    </row>
    <row r="9" spans="1:9">
      <c r="A9" s="91"/>
      <c r="B9" s="92"/>
      <c r="C9" s="684" t="s">
        <v>616</v>
      </c>
      <c r="D9" s="91" t="s">
        <v>715</v>
      </c>
      <c r="E9" s="92" t="s">
        <v>356</v>
      </c>
      <c r="F9" s="93">
        <v>0.86099999999999999</v>
      </c>
      <c r="G9" s="93">
        <f>F6*F9</f>
        <v>0.88252499999999989</v>
      </c>
      <c r="H9" s="94">
        <f>'Giá VL'!V19</f>
        <v>310458.0547558713</v>
      </c>
      <c r="I9" s="94">
        <f t="shared" si="0"/>
        <v>273986.99477342528</v>
      </c>
    </row>
    <row r="10" spans="1:9">
      <c r="A10" s="91"/>
      <c r="B10" s="92"/>
      <c r="C10" s="684" t="s">
        <v>617</v>
      </c>
      <c r="D10" s="91" t="s">
        <v>733</v>
      </c>
      <c r="E10" s="92" t="s">
        <v>734</v>
      </c>
      <c r="F10" s="93">
        <v>173</v>
      </c>
      <c r="G10" s="93">
        <f>F6*F10</f>
        <v>177.32499999999999</v>
      </c>
      <c r="H10" s="94">
        <f>'Giá VL'!V33</f>
        <v>15</v>
      </c>
      <c r="I10" s="94">
        <f t="shared" si="0"/>
        <v>2659.875</v>
      </c>
    </row>
    <row r="11" spans="1:9">
      <c r="A11" s="87"/>
      <c r="B11" s="88">
        <v>2</v>
      </c>
      <c r="C11" s="683" t="s">
        <v>1250</v>
      </c>
      <c r="D11" s="87" t="s">
        <v>1251</v>
      </c>
      <c r="E11" s="88" t="s">
        <v>356</v>
      </c>
      <c r="F11" s="89">
        <v>1.0249999999999999</v>
      </c>
      <c r="G11" s="89"/>
      <c r="H11" s="90"/>
      <c r="I11" s="90">
        <f>SUM(I12:I15)</f>
        <v>1020226.7950010102</v>
      </c>
    </row>
    <row r="12" spans="1:9">
      <c r="A12" s="91"/>
      <c r="B12" s="92"/>
      <c r="C12" s="684" t="s">
        <v>614</v>
      </c>
      <c r="D12" s="91" t="s">
        <v>747</v>
      </c>
      <c r="E12" s="92" t="s">
        <v>720</v>
      </c>
      <c r="F12" s="93">
        <v>205</v>
      </c>
      <c r="G12" s="93">
        <f>F11*F12</f>
        <v>210.12499999999997</v>
      </c>
      <c r="H12" s="94">
        <f>'Giá VL'!V45</f>
        <v>1730</v>
      </c>
      <c r="I12" s="94">
        <f t="shared" ref="I12:I15" si="1">G12*H12</f>
        <v>363516.24999999994</v>
      </c>
    </row>
    <row r="13" spans="1:9">
      <c r="A13" s="91"/>
      <c r="B13" s="92"/>
      <c r="C13" s="684" t="s">
        <v>615</v>
      </c>
      <c r="D13" s="91" t="s">
        <v>713</v>
      </c>
      <c r="E13" s="92" t="s">
        <v>356</v>
      </c>
      <c r="F13" s="93">
        <v>0.54900000000000004</v>
      </c>
      <c r="G13" s="93">
        <f>F11*F13</f>
        <v>0.56272500000000003</v>
      </c>
      <c r="H13" s="94">
        <f>'Giá VL'!V17</f>
        <v>659026.49526849983</v>
      </c>
      <c r="I13" s="94">
        <f t="shared" si="1"/>
        <v>370850.68454996659</v>
      </c>
    </row>
    <row r="14" spans="1:9">
      <c r="A14" s="91"/>
      <c r="B14" s="92"/>
      <c r="C14" s="684" t="s">
        <v>616</v>
      </c>
      <c r="D14" s="91" t="s">
        <v>715</v>
      </c>
      <c r="E14" s="92" t="s">
        <v>356</v>
      </c>
      <c r="F14" s="93">
        <v>0.89</v>
      </c>
      <c r="G14" s="93">
        <f>F11*F14</f>
        <v>0.91224999999999989</v>
      </c>
      <c r="H14" s="94">
        <f>'Giá VL'!V19</f>
        <v>310458.0547558713</v>
      </c>
      <c r="I14" s="94">
        <f t="shared" si="1"/>
        <v>283215.36045104358</v>
      </c>
    </row>
    <row r="15" spans="1:9">
      <c r="A15" s="91"/>
      <c r="B15" s="92"/>
      <c r="C15" s="684" t="s">
        <v>617</v>
      </c>
      <c r="D15" s="91" t="s">
        <v>733</v>
      </c>
      <c r="E15" s="92" t="s">
        <v>734</v>
      </c>
      <c r="F15" s="93">
        <v>172</v>
      </c>
      <c r="G15" s="93">
        <f>F11*F15</f>
        <v>176.29999999999998</v>
      </c>
      <c r="H15" s="94">
        <f>'Giá VL'!V33</f>
        <v>15</v>
      </c>
      <c r="I15" s="94">
        <f t="shared" si="1"/>
        <v>2644.4999999999995</v>
      </c>
    </row>
    <row r="16" spans="1:9">
      <c r="A16" s="87"/>
      <c r="B16" s="88">
        <v>3</v>
      </c>
      <c r="C16" s="683" t="s">
        <v>1252</v>
      </c>
      <c r="D16" s="87" t="s">
        <v>1253</v>
      </c>
      <c r="E16" s="88" t="s">
        <v>356</v>
      </c>
      <c r="F16" s="89">
        <v>0.33300000000000002</v>
      </c>
      <c r="G16" s="89"/>
      <c r="H16" s="90"/>
      <c r="I16" s="90">
        <f>SUM(I17:I19)</f>
        <v>303658.21428004844</v>
      </c>
    </row>
    <row r="17" spans="1:9">
      <c r="A17" s="91"/>
      <c r="B17" s="92"/>
      <c r="C17" s="684" t="s">
        <v>614</v>
      </c>
      <c r="D17" s="91" t="s">
        <v>747</v>
      </c>
      <c r="E17" s="92" t="s">
        <v>720</v>
      </c>
      <c r="F17" s="93">
        <v>264</v>
      </c>
      <c r="G17" s="93">
        <f>F16*F17</f>
        <v>87.912000000000006</v>
      </c>
      <c r="H17" s="94">
        <f>'Giá VL'!V45</f>
        <v>1730</v>
      </c>
      <c r="I17" s="94">
        <f t="shared" ref="I17:I19" si="2">G17*H17</f>
        <v>152087.76</v>
      </c>
    </row>
    <row r="18" spans="1:9">
      <c r="A18" s="91"/>
      <c r="B18" s="92"/>
      <c r="C18" s="684" t="s">
        <v>656</v>
      </c>
      <c r="D18" s="91" t="s">
        <v>712</v>
      </c>
      <c r="E18" s="92" t="s">
        <v>356</v>
      </c>
      <c r="F18" s="93">
        <v>1.19</v>
      </c>
      <c r="G18" s="93">
        <f>F16*F18</f>
        <v>0.39627000000000001</v>
      </c>
      <c r="H18" s="94">
        <f>'Giá VL'!V16</f>
        <v>379026.49526849983</v>
      </c>
      <c r="I18" s="94">
        <f t="shared" si="2"/>
        <v>150196.82928004843</v>
      </c>
    </row>
    <row r="19" spans="1:9">
      <c r="A19" s="91"/>
      <c r="B19" s="92"/>
      <c r="C19" s="684" t="s">
        <v>617</v>
      </c>
      <c r="D19" s="91" t="s">
        <v>733</v>
      </c>
      <c r="E19" s="92" t="s">
        <v>734</v>
      </c>
      <c r="F19" s="93">
        <v>275</v>
      </c>
      <c r="G19" s="93">
        <f>F16*F19</f>
        <v>91.575000000000003</v>
      </c>
      <c r="H19" s="94">
        <f>'Giá VL'!V33</f>
        <v>15</v>
      </c>
      <c r="I19" s="94">
        <f t="shared" si="2"/>
        <v>1373.625</v>
      </c>
    </row>
    <row r="20" spans="1:9">
      <c r="A20" s="87"/>
      <c r="B20" s="88">
        <v>4</v>
      </c>
      <c r="C20" s="683" t="s">
        <v>1254</v>
      </c>
      <c r="D20" s="87" t="s">
        <v>1255</v>
      </c>
      <c r="E20" s="88" t="s">
        <v>356</v>
      </c>
      <c r="F20" s="89">
        <v>1.2E-2</v>
      </c>
      <c r="G20" s="89"/>
      <c r="H20" s="90"/>
      <c r="I20" s="90">
        <f>SUM(I21:I23)</f>
        <v>11570.300496194297</v>
      </c>
    </row>
    <row r="21" spans="1:9">
      <c r="A21" s="91"/>
      <c r="B21" s="92"/>
      <c r="C21" s="684" t="s">
        <v>614</v>
      </c>
      <c r="D21" s="91" t="s">
        <v>747</v>
      </c>
      <c r="E21" s="92" t="s">
        <v>720</v>
      </c>
      <c r="F21" s="93">
        <v>301</v>
      </c>
      <c r="G21" s="93">
        <f>F20*F21</f>
        <v>3.6120000000000001</v>
      </c>
      <c r="H21" s="94">
        <f>'Giá VL'!V45</f>
        <v>1730</v>
      </c>
      <c r="I21" s="94">
        <f t="shared" ref="I21:I23" si="3">G21*H21</f>
        <v>6248.76</v>
      </c>
    </row>
    <row r="22" spans="1:9">
      <c r="A22" s="91"/>
      <c r="B22" s="92"/>
      <c r="C22" s="684" t="s">
        <v>658</v>
      </c>
      <c r="D22" s="91" t="s">
        <v>711</v>
      </c>
      <c r="E22" s="92" t="s">
        <v>356</v>
      </c>
      <c r="F22" s="93">
        <v>1.159</v>
      </c>
      <c r="G22" s="93">
        <f>F20*F22</f>
        <v>1.3908E-2</v>
      </c>
      <c r="H22" s="94">
        <f>'Giá VL'!V15</f>
        <v>379026.49526849983</v>
      </c>
      <c r="I22" s="94">
        <f t="shared" si="3"/>
        <v>5271.5004961942959</v>
      </c>
    </row>
    <row r="23" spans="1:9">
      <c r="A23" s="91"/>
      <c r="B23" s="92"/>
      <c r="C23" s="684" t="s">
        <v>617</v>
      </c>
      <c r="D23" s="91" t="s">
        <v>733</v>
      </c>
      <c r="E23" s="92" t="s">
        <v>734</v>
      </c>
      <c r="F23" s="93">
        <v>278</v>
      </c>
      <c r="G23" s="93">
        <f>F20*F23</f>
        <v>3.3359999999999999</v>
      </c>
      <c r="H23" s="94">
        <f>'Giá VL'!V33</f>
        <v>15</v>
      </c>
      <c r="I23" s="94">
        <f t="shared" si="3"/>
        <v>50.04</v>
      </c>
    </row>
    <row r="24" spans="1:9">
      <c r="A24" s="87"/>
      <c r="B24" s="88">
        <v>5</v>
      </c>
      <c r="C24" s="683" t="s">
        <v>1256</v>
      </c>
      <c r="D24" s="87" t="s">
        <v>1257</v>
      </c>
      <c r="E24" s="88" t="s">
        <v>356</v>
      </c>
      <c r="F24" s="89">
        <v>1.0249999999999999</v>
      </c>
      <c r="G24" s="89"/>
      <c r="H24" s="90"/>
      <c r="I24" s="90">
        <f>SUM(I25:I28)</f>
        <v>1113775.2040739851</v>
      </c>
    </row>
    <row r="25" spans="1:9">
      <c r="A25" s="91"/>
      <c r="B25" s="92"/>
      <c r="C25" s="684" t="s">
        <v>614</v>
      </c>
      <c r="D25" s="91" t="s">
        <v>747</v>
      </c>
      <c r="E25" s="92" t="s">
        <v>720</v>
      </c>
      <c r="F25" s="93">
        <v>259</v>
      </c>
      <c r="G25" s="93">
        <f>F24*F25</f>
        <v>265.47499999999997</v>
      </c>
      <c r="H25" s="94">
        <f>'Giá VL'!V45</f>
        <v>1730</v>
      </c>
      <c r="I25" s="94">
        <f t="shared" ref="I25:I28" si="4">G25*H25</f>
        <v>459271.74999999994</v>
      </c>
    </row>
    <row r="26" spans="1:9">
      <c r="A26" s="91"/>
      <c r="B26" s="92"/>
      <c r="C26" s="684" t="s">
        <v>615</v>
      </c>
      <c r="D26" s="91" t="s">
        <v>713</v>
      </c>
      <c r="E26" s="92" t="s">
        <v>356</v>
      </c>
      <c r="F26" s="93">
        <v>0.52800000000000002</v>
      </c>
      <c r="G26" s="93">
        <f>F24*F26</f>
        <v>0.54120000000000001</v>
      </c>
      <c r="H26" s="94">
        <f>'Giá VL'!V17</f>
        <v>659026.49526849983</v>
      </c>
      <c r="I26" s="94">
        <f t="shared" si="4"/>
        <v>356665.13923931209</v>
      </c>
    </row>
    <row r="27" spans="1:9">
      <c r="A27" s="91"/>
      <c r="B27" s="92"/>
      <c r="C27" s="684" t="s">
        <v>659</v>
      </c>
      <c r="D27" s="91" t="s">
        <v>714</v>
      </c>
      <c r="E27" s="92" t="s">
        <v>356</v>
      </c>
      <c r="F27" s="93">
        <v>0.871</v>
      </c>
      <c r="G27" s="93">
        <f>F24*F27</f>
        <v>0.89277499999999987</v>
      </c>
      <c r="H27" s="94">
        <f>'Giá VL'!V18</f>
        <v>330458.0547558713</v>
      </c>
      <c r="I27" s="94">
        <f t="shared" si="4"/>
        <v>295024.68983467296</v>
      </c>
    </row>
    <row r="28" spans="1:9">
      <c r="A28" s="91"/>
      <c r="B28" s="92"/>
      <c r="C28" s="684" t="s">
        <v>617</v>
      </c>
      <c r="D28" s="91" t="s">
        <v>733</v>
      </c>
      <c r="E28" s="92" t="s">
        <v>734</v>
      </c>
      <c r="F28" s="93">
        <v>183</v>
      </c>
      <c r="G28" s="93">
        <f>F24*F28</f>
        <v>187.57499999999999</v>
      </c>
      <c r="H28" s="94">
        <f>'Giá VL'!V33</f>
        <v>15</v>
      </c>
      <c r="I28" s="94">
        <f t="shared" si="4"/>
        <v>2813.625</v>
      </c>
    </row>
    <row r="29" spans="1:9">
      <c r="A29" s="87"/>
      <c r="B29" s="88">
        <v>6</v>
      </c>
      <c r="C29" s="683" t="s">
        <v>1258</v>
      </c>
      <c r="D29" s="87" t="s">
        <v>1259</v>
      </c>
      <c r="E29" s="88" t="s">
        <v>356</v>
      </c>
      <c r="F29" s="89">
        <v>1.0149999999999999</v>
      </c>
      <c r="G29" s="89"/>
      <c r="H29" s="90"/>
      <c r="I29" s="90">
        <f>SUM(I30:I33)</f>
        <v>1165272.1586785307</v>
      </c>
    </row>
    <row r="30" spans="1:9">
      <c r="A30" s="91"/>
      <c r="B30" s="92"/>
      <c r="C30" s="684" t="s">
        <v>614</v>
      </c>
      <c r="D30" s="91" t="s">
        <v>747</v>
      </c>
      <c r="E30" s="92" t="s">
        <v>720</v>
      </c>
      <c r="F30" s="93">
        <v>301</v>
      </c>
      <c r="G30" s="93">
        <f>F29*F30</f>
        <v>305.51499999999999</v>
      </c>
      <c r="H30" s="94">
        <f>'Giá VL'!V45</f>
        <v>1730</v>
      </c>
      <c r="I30" s="94">
        <f t="shared" ref="I30:I33" si="5">G30*H30</f>
        <v>528540.94999999995</v>
      </c>
    </row>
    <row r="31" spans="1:9">
      <c r="A31" s="91"/>
      <c r="B31" s="92"/>
      <c r="C31" s="684" t="s">
        <v>615</v>
      </c>
      <c r="D31" s="91" t="s">
        <v>713</v>
      </c>
      <c r="E31" s="92" t="s">
        <v>356</v>
      </c>
      <c r="F31" s="93">
        <v>0.51900000000000002</v>
      </c>
      <c r="G31" s="93">
        <f>F29*F31</f>
        <v>0.52678499999999995</v>
      </c>
      <c r="H31" s="94">
        <f>'Giá VL'!V17</f>
        <v>659026.49526849983</v>
      </c>
      <c r="I31" s="94">
        <f t="shared" si="5"/>
        <v>347165.27231001662</v>
      </c>
    </row>
    <row r="32" spans="1:9">
      <c r="A32" s="91"/>
      <c r="B32" s="92"/>
      <c r="C32" s="684" t="s">
        <v>659</v>
      </c>
      <c r="D32" s="91" t="s">
        <v>714</v>
      </c>
      <c r="E32" s="92" t="s">
        <v>356</v>
      </c>
      <c r="F32" s="93">
        <v>0.85499999999999998</v>
      </c>
      <c r="G32" s="93">
        <f>F29*F32</f>
        <v>0.86782499999999985</v>
      </c>
      <c r="H32" s="94">
        <f>'Giá VL'!V18</f>
        <v>330458.0547558713</v>
      </c>
      <c r="I32" s="94">
        <f t="shared" si="5"/>
        <v>286779.76136851398</v>
      </c>
    </row>
    <row r="33" spans="1:9">
      <c r="A33" s="91"/>
      <c r="B33" s="92"/>
      <c r="C33" s="684" t="s">
        <v>617</v>
      </c>
      <c r="D33" s="91" t="s">
        <v>733</v>
      </c>
      <c r="E33" s="92" t="s">
        <v>734</v>
      </c>
      <c r="F33" s="93">
        <v>183</v>
      </c>
      <c r="G33" s="93">
        <f>F29*F33</f>
        <v>185.74499999999998</v>
      </c>
      <c r="H33" s="94">
        <f>'Giá VL'!V33</f>
        <v>15</v>
      </c>
      <c r="I33" s="94">
        <f t="shared" si="5"/>
        <v>2786.1749999999997</v>
      </c>
    </row>
    <row r="34" spans="1:9">
      <c r="A34" s="87"/>
      <c r="B34" s="88">
        <v>7</v>
      </c>
      <c r="C34" s="683" t="s">
        <v>1260</v>
      </c>
      <c r="D34" s="87" t="s">
        <v>1261</v>
      </c>
      <c r="E34" s="88" t="s">
        <v>356</v>
      </c>
      <c r="F34" s="89">
        <v>4.7999999999999996E-3</v>
      </c>
      <c r="G34" s="89"/>
      <c r="H34" s="90"/>
      <c r="I34" s="90">
        <f>SUM(I35:I37)</f>
        <v>7221.9701351034146</v>
      </c>
    </row>
    <row r="35" spans="1:9">
      <c r="A35" s="91"/>
      <c r="B35" s="92"/>
      <c r="C35" s="684" t="s">
        <v>615</v>
      </c>
      <c r="D35" s="91" t="s">
        <v>713</v>
      </c>
      <c r="E35" s="92" t="s">
        <v>356</v>
      </c>
      <c r="F35" s="93">
        <v>1.0609999999999999</v>
      </c>
      <c r="G35" s="93">
        <f>F34*F35</f>
        <v>5.0927999999999989E-3</v>
      </c>
      <c r="H35" s="94">
        <f>'Giá VL'!V17</f>
        <v>659026.49526849983</v>
      </c>
      <c r="I35" s="94">
        <f t="shared" ref="I35:I37" si="6">G35*H35</f>
        <v>3356.2901351034152</v>
      </c>
    </row>
    <row r="36" spans="1:9">
      <c r="A36" s="91"/>
      <c r="B36" s="92"/>
      <c r="C36" s="684" t="s">
        <v>617</v>
      </c>
      <c r="D36" s="91" t="s">
        <v>733</v>
      </c>
      <c r="E36" s="92" t="s">
        <v>734</v>
      </c>
      <c r="F36" s="93">
        <v>266</v>
      </c>
      <c r="G36" s="93">
        <f>F34*F36</f>
        <v>1.2767999999999999</v>
      </c>
      <c r="H36" s="94">
        <f>'Giá VL'!V33</f>
        <v>15</v>
      </c>
      <c r="I36" s="94">
        <f t="shared" si="6"/>
        <v>19.151999999999997</v>
      </c>
    </row>
    <row r="37" spans="1:9">
      <c r="A37" s="91"/>
      <c r="B37" s="92"/>
      <c r="C37" s="684" t="s">
        <v>670</v>
      </c>
      <c r="D37" s="91" t="s">
        <v>746</v>
      </c>
      <c r="E37" s="92" t="s">
        <v>720</v>
      </c>
      <c r="F37" s="93">
        <v>477</v>
      </c>
      <c r="G37" s="93">
        <f>F34*F37</f>
        <v>2.2895999999999996</v>
      </c>
      <c r="H37" s="94">
        <f>'Giá VL'!V44</f>
        <v>1680</v>
      </c>
      <c r="I37" s="94">
        <f t="shared" si="6"/>
        <v>3846.5279999999993</v>
      </c>
    </row>
    <row r="38" spans="1:9">
      <c r="A38" s="87"/>
      <c r="B38" s="88">
        <v>8</v>
      </c>
      <c r="C38" s="683" t="s">
        <v>1262</v>
      </c>
      <c r="D38" s="87" t="s">
        <v>1263</v>
      </c>
      <c r="E38" s="88" t="s">
        <v>356</v>
      </c>
      <c r="F38" s="89">
        <v>1.0249999999999999</v>
      </c>
      <c r="G38" s="89"/>
      <c r="H38" s="90"/>
      <c r="I38" s="90">
        <f>SUM(I39:I42)</f>
        <v>1052148.7399061336</v>
      </c>
    </row>
    <row r="39" spans="1:9">
      <c r="A39" s="91"/>
      <c r="B39" s="92"/>
      <c r="C39" s="684" t="s">
        <v>614</v>
      </c>
      <c r="D39" s="91" t="s">
        <v>747</v>
      </c>
      <c r="E39" s="92" t="s">
        <v>720</v>
      </c>
      <c r="F39" s="93">
        <v>217</v>
      </c>
      <c r="G39" s="93">
        <f>F38*F39</f>
        <v>222.42499999999998</v>
      </c>
      <c r="H39" s="94">
        <f>'Giá VL'!V45</f>
        <v>1730</v>
      </c>
      <c r="I39" s="94">
        <f t="shared" ref="I39:I42" si="7">G39*H39</f>
        <v>384795.24999999994</v>
      </c>
    </row>
    <row r="40" spans="1:9">
      <c r="A40" s="91"/>
      <c r="B40" s="92"/>
      <c r="C40" s="684" t="s">
        <v>615</v>
      </c>
      <c r="D40" s="91" t="s">
        <v>713</v>
      </c>
      <c r="E40" s="92" t="s">
        <v>356</v>
      </c>
      <c r="F40" s="93">
        <v>0.53900000000000003</v>
      </c>
      <c r="G40" s="93">
        <f>F38*F40</f>
        <v>0.55247499999999994</v>
      </c>
      <c r="H40" s="94">
        <f>'Giá VL'!V17</f>
        <v>659026.49526849983</v>
      </c>
      <c r="I40" s="94">
        <f t="shared" si="7"/>
        <v>364095.66297346441</v>
      </c>
    </row>
    <row r="41" spans="1:9">
      <c r="A41" s="91"/>
      <c r="B41" s="92"/>
      <c r="C41" s="684" t="s">
        <v>659</v>
      </c>
      <c r="D41" s="91" t="s">
        <v>714</v>
      </c>
      <c r="E41" s="92" t="s">
        <v>356</v>
      </c>
      <c r="F41" s="93">
        <v>0.88700000000000001</v>
      </c>
      <c r="G41" s="93">
        <f>F38*F41</f>
        <v>0.90917499999999996</v>
      </c>
      <c r="H41" s="94">
        <f>'Giá VL'!V18</f>
        <v>330458.0547558713</v>
      </c>
      <c r="I41" s="94">
        <f t="shared" si="7"/>
        <v>300444.20193266927</v>
      </c>
    </row>
    <row r="42" spans="1:9">
      <c r="A42" s="91"/>
      <c r="B42" s="92"/>
      <c r="C42" s="684" t="s">
        <v>617</v>
      </c>
      <c r="D42" s="91" t="s">
        <v>733</v>
      </c>
      <c r="E42" s="92" t="s">
        <v>734</v>
      </c>
      <c r="F42" s="93">
        <v>183</v>
      </c>
      <c r="G42" s="93">
        <f>F38*F42</f>
        <v>187.57499999999999</v>
      </c>
      <c r="H42" s="94">
        <f>'Giá VL'!V33</f>
        <v>15</v>
      </c>
      <c r="I42" s="94">
        <f t="shared" si="7"/>
        <v>2813.625</v>
      </c>
    </row>
    <row r="43" spans="1:9">
      <c r="A43" s="87"/>
      <c r="B43" s="88">
        <v>9</v>
      </c>
      <c r="C43" s="683" t="s">
        <v>1264</v>
      </c>
      <c r="D43" s="87" t="s">
        <v>1265</v>
      </c>
      <c r="E43" s="88" t="s">
        <v>356</v>
      </c>
      <c r="F43" s="89">
        <v>0.42</v>
      </c>
      <c r="G43" s="89"/>
      <c r="H43" s="90"/>
      <c r="I43" s="90">
        <f>SUM(I44:I46)</f>
        <v>547540.37059872365</v>
      </c>
    </row>
    <row r="44" spans="1:9">
      <c r="A44" s="91"/>
      <c r="B44" s="92"/>
      <c r="C44" s="684" t="s">
        <v>614</v>
      </c>
      <c r="D44" s="91" t="s">
        <v>747</v>
      </c>
      <c r="E44" s="92" t="s">
        <v>720</v>
      </c>
      <c r="F44" s="93">
        <v>312</v>
      </c>
      <c r="G44" s="93">
        <f>F43*F44</f>
        <v>131.04</v>
      </c>
      <c r="H44" s="94">
        <f>'Giá VL'!V45</f>
        <v>1730</v>
      </c>
      <c r="I44" s="94">
        <f t="shared" ref="I44:I46" si="8">G44*H44</f>
        <v>226699.19999999998</v>
      </c>
    </row>
    <row r="45" spans="1:9">
      <c r="A45" s="91"/>
      <c r="B45" s="92"/>
      <c r="C45" s="684" t="s">
        <v>615</v>
      </c>
      <c r="D45" s="91" t="s">
        <v>713</v>
      </c>
      <c r="E45" s="92" t="s">
        <v>356</v>
      </c>
      <c r="F45" s="93">
        <v>1.153</v>
      </c>
      <c r="G45" s="93">
        <f>F43*F45</f>
        <v>0.48425999999999997</v>
      </c>
      <c r="H45" s="94">
        <f>'Giá VL'!V17</f>
        <v>659026.49526849983</v>
      </c>
      <c r="I45" s="94">
        <f t="shared" si="8"/>
        <v>319140.17059872369</v>
      </c>
    </row>
    <row r="46" spans="1:9">
      <c r="A46" s="91"/>
      <c r="B46" s="92"/>
      <c r="C46" s="684" t="s">
        <v>617</v>
      </c>
      <c r="D46" s="91" t="s">
        <v>733</v>
      </c>
      <c r="E46" s="92" t="s">
        <v>734</v>
      </c>
      <c r="F46" s="93">
        <v>270</v>
      </c>
      <c r="G46" s="93">
        <f>F43*F46</f>
        <v>113.39999999999999</v>
      </c>
      <c r="H46" s="94">
        <f>'Giá VL'!V33</f>
        <v>15</v>
      </c>
      <c r="I46" s="94">
        <f t="shared" si="8"/>
        <v>1700.9999999999998</v>
      </c>
    </row>
    <row r="47" spans="1:9">
      <c r="A47" s="87"/>
      <c r="B47" s="88">
        <v>10</v>
      </c>
      <c r="C47" s="683" t="s">
        <v>1260</v>
      </c>
      <c r="D47" s="87" t="s">
        <v>1261</v>
      </c>
      <c r="E47" s="88" t="s">
        <v>356</v>
      </c>
      <c r="F47" s="89">
        <v>6.4000000000000003E-3</v>
      </c>
      <c r="G47" s="89"/>
      <c r="H47" s="90"/>
      <c r="I47" s="90">
        <f>SUM(I48:I50)</f>
        <v>9629.2935134712206</v>
      </c>
    </row>
    <row r="48" spans="1:9">
      <c r="A48" s="91"/>
      <c r="B48" s="92"/>
      <c r="C48" s="684" t="s">
        <v>615</v>
      </c>
      <c r="D48" s="91" t="s">
        <v>713</v>
      </c>
      <c r="E48" s="92" t="s">
        <v>356</v>
      </c>
      <c r="F48" s="93">
        <v>1.0609999999999999</v>
      </c>
      <c r="G48" s="93">
        <f>F47*F48</f>
        <v>6.7904000000000003E-3</v>
      </c>
      <c r="H48" s="94">
        <f>'Giá VL'!V17</f>
        <v>659026.49526849983</v>
      </c>
      <c r="I48" s="94">
        <f t="shared" ref="I48:I50" si="9">G48*H48</f>
        <v>4475.0535134712218</v>
      </c>
    </row>
    <row r="49" spans="1:9">
      <c r="A49" s="91"/>
      <c r="B49" s="92"/>
      <c r="C49" s="684" t="s">
        <v>617</v>
      </c>
      <c r="D49" s="91" t="s">
        <v>733</v>
      </c>
      <c r="E49" s="92" t="s">
        <v>734</v>
      </c>
      <c r="F49" s="93">
        <v>266</v>
      </c>
      <c r="G49" s="93">
        <f>F47*F49</f>
        <v>1.7024000000000001</v>
      </c>
      <c r="H49" s="94">
        <f>'Giá VL'!V33</f>
        <v>15</v>
      </c>
      <c r="I49" s="94">
        <f t="shared" si="9"/>
        <v>25.536000000000001</v>
      </c>
    </row>
    <row r="50" spans="1:9">
      <c r="A50" s="91"/>
      <c r="B50" s="92"/>
      <c r="C50" s="684" t="s">
        <v>670</v>
      </c>
      <c r="D50" s="91" t="s">
        <v>746</v>
      </c>
      <c r="E50" s="92" t="s">
        <v>720</v>
      </c>
      <c r="F50" s="93">
        <v>477</v>
      </c>
      <c r="G50" s="93">
        <f>F47*F50</f>
        <v>3.0528</v>
      </c>
      <c r="H50" s="94">
        <f>'Giá VL'!V44</f>
        <v>1680</v>
      </c>
      <c r="I50" s="94">
        <f t="shared" si="9"/>
        <v>5128.7039999999997</v>
      </c>
    </row>
    <row r="51" spans="1:9">
      <c r="A51" s="87"/>
      <c r="B51" s="88">
        <v>11</v>
      </c>
      <c r="C51" s="683" t="s">
        <v>1260</v>
      </c>
      <c r="D51" s="87" t="s">
        <v>1261</v>
      </c>
      <c r="E51" s="88" t="s">
        <v>356</v>
      </c>
      <c r="F51" s="89">
        <v>9.5999999999999992E-3</v>
      </c>
      <c r="G51" s="89"/>
      <c r="H51" s="90"/>
      <c r="I51" s="90">
        <f>SUM(I52:I54)</f>
        <v>14443.940270206829</v>
      </c>
    </row>
    <row r="52" spans="1:9">
      <c r="A52" s="91"/>
      <c r="B52" s="92"/>
      <c r="C52" s="684" t="s">
        <v>615</v>
      </c>
      <c r="D52" s="91" t="s">
        <v>713</v>
      </c>
      <c r="E52" s="92" t="s">
        <v>356</v>
      </c>
      <c r="F52" s="93">
        <v>1.0609999999999999</v>
      </c>
      <c r="G52" s="93">
        <f>F51*F52</f>
        <v>1.0185599999999998E-2</v>
      </c>
      <c r="H52" s="94">
        <f>'Giá VL'!V17</f>
        <v>659026.49526849983</v>
      </c>
      <c r="I52" s="94">
        <f t="shared" ref="I52:I54" si="10">G52*H52</f>
        <v>6712.5802702068304</v>
      </c>
    </row>
    <row r="53" spans="1:9">
      <c r="A53" s="91"/>
      <c r="B53" s="92"/>
      <c r="C53" s="684" t="s">
        <v>617</v>
      </c>
      <c r="D53" s="91" t="s">
        <v>733</v>
      </c>
      <c r="E53" s="92" t="s">
        <v>734</v>
      </c>
      <c r="F53" s="93">
        <v>266</v>
      </c>
      <c r="G53" s="93">
        <f>F51*F53</f>
        <v>2.5535999999999999</v>
      </c>
      <c r="H53" s="94">
        <f>'Giá VL'!V33</f>
        <v>15</v>
      </c>
      <c r="I53" s="94">
        <f t="shared" si="10"/>
        <v>38.303999999999995</v>
      </c>
    </row>
    <row r="54" spans="1:9">
      <c r="A54" s="91"/>
      <c r="B54" s="92"/>
      <c r="C54" s="684" t="s">
        <v>670</v>
      </c>
      <c r="D54" s="91" t="s">
        <v>746</v>
      </c>
      <c r="E54" s="92" t="s">
        <v>720</v>
      </c>
      <c r="F54" s="93">
        <v>477</v>
      </c>
      <c r="G54" s="93">
        <f>F51*F54</f>
        <v>4.5791999999999993</v>
      </c>
      <c r="H54" s="94">
        <f>'Giá VL'!V44</f>
        <v>1680</v>
      </c>
      <c r="I54" s="94">
        <f t="shared" si="10"/>
        <v>7693.0559999999987</v>
      </c>
    </row>
    <row r="55" spans="1:9">
      <c r="A55" s="87"/>
      <c r="B55" s="88">
        <v>12</v>
      </c>
      <c r="C55" s="683" t="s">
        <v>1260</v>
      </c>
      <c r="D55" s="87" t="s">
        <v>1261</v>
      </c>
      <c r="E55" s="88" t="s">
        <v>356</v>
      </c>
      <c r="F55" s="89">
        <v>1.2699999999999999E-2</v>
      </c>
      <c r="G55" s="89"/>
      <c r="H55" s="90"/>
      <c r="I55" s="90">
        <f>SUM(I56:I58)</f>
        <v>19108.129315794456</v>
      </c>
    </row>
    <row r="56" spans="1:9">
      <c r="A56" s="91"/>
      <c r="B56" s="92"/>
      <c r="C56" s="684" t="s">
        <v>615</v>
      </c>
      <c r="D56" s="91" t="s">
        <v>713</v>
      </c>
      <c r="E56" s="92" t="s">
        <v>356</v>
      </c>
      <c r="F56" s="93">
        <v>1.0609999999999999</v>
      </c>
      <c r="G56" s="93">
        <f>F55*F56</f>
        <v>1.3474699999999999E-2</v>
      </c>
      <c r="H56" s="94">
        <f>'Giá VL'!V17</f>
        <v>659026.49526849983</v>
      </c>
      <c r="I56" s="94">
        <f t="shared" ref="I56:I58" si="11">G56*H56</f>
        <v>8880.184315794455</v>
      </c>
    </row>
    <row r="57" spans="1:9">
      <c r="A57" s="91"/>
      <c r="B57" s="92"/>
      <c r="C57" s="684" t="s">
        <v>617</v>
      </c>
      <c r="D57" s="91" t="s">
        <v>733</v>
      </c>
      <c r="E57" s="92" t="s">
        <v>734</v>
      </c>
      <c r="F57" s="93">
        <v>266</v>
      </c>
      <c r="G57" s="93">
        <f>F55*F57</f>
        <v>3.3781999999999996</v>
      </c>
      <c r="H57" s="94">
        <f>'Giá VL'!V33</f>
        <v>15</v>
      </c>
      <c r="I57" s="94">
        <f t="shared" si="11"/>
        <v>50.672999999999995</v>
      </c>
    </row>
    <row r="58" spans="1:9">
      <c r="A58" s="91"/>
      <c r="B58" s="92"/>
      <c r="C58" s="684" t="s">
        <v>670</v>
      </c>
      <c r="D58" s="91" t="s">
        <v>746</v>
      </c>
      <c r="E58" s="92" t="s">
        <v>720</v>
      </c>
      <c r="F58" s="93">
        <v>477</v>
      </c>
      <c r="G58" s="93">
        <f>F55*F58</f>
        <v>6.0579000000000001</v>
      </c>
      <c r="H58" s="94">
        <f>'Giá VL'!V44</f>
        <v>1680</v>
      </c>
      <c r="I58" s="94">
        <f t="shared" si="11"/>
        <v>10177.272000000001</v>
      </c>
    </row>
    <row r="59" spans="1:9">
      <c r="A59" s="87"/>
      <c r="B59" s="88">
        <v>13</v>
      </c>
      <c r="C59" s="683" t="s">
        <v>1266</v>
      </c>
      <c r="D59" s="87" t="s">
        <v>1267</v>
      </c>
      <c r="E59" s="88" t="s">
        <v>356</v>
      </c>
      <c r="F59" s="89">
        <v>1.0249999999999999</v>
      </c>
      <c r="G59" s="89"/>
      <c r="H59" s="90"/>
      <c r="I59" s="90">
        <f>SUM(I60:I63)</f>
        <v>1078864.3274964115</v>
      </c>
    </row>
    <row r="60" spans="1:9">
      <c r="A60" s="91"/>
      <c r="B60" s="92"/>
      <c r="C60" s="684" t="s">
        <v>614</v>
      </c>
      <c r="D60" s="91" t="s">
        <v>747</v>
      </c>
      <c r="E60" s="92" t="s">
        <v>720</v>
      </c>
      <c r="F60" s="93">
        <v>244</v>
      </c>
      <c r="G60" s="93">
        <f>F59*F60</f>
        <v>250.09999999999997</v>
      </c>
      <c r="H60" s="94">
        <f>'Giá VL'!V45</f>
        <v>1730</v>
      </c>
      <c r="I60" s="94">
        <f t="shared" ref="I60:I63" si="12">G60*H60</f>
        <v>432672.99999999994</v>
      </c>
    </row>
    <row r="61" spans="1:9">
      <c r="A61" s="91"/>
      <c r="B61" s="92"/>
      <c r="C61" s="684" t="s">
        <v>615</v>
      </c>
      <c r="D61" s="91" t="s">
        <v>713</v>
      </c>
      <c r="E61" s="92" t="s">
        <v>356</v>
      </c>
      <c r="F61" s="93">
        <v>0.54</v>
      </c>
      <c r="G61" s="93">
        <f>F59*F61</f>
        <v>0.55349999999999999</v>
      </c>
      <c r="H61" s="94">
        <f>'Giá VL'!V17</f>
        <v>659026.49526849983</v>
      </c>
      <c r="I61" s="94">
        <f t="shared" si="12"/>
        <v>364771.16513111466</v>
      </c>
    </row>
    <row r="62" spans="1:9">
      <c r="A62" s="91"/>
      <c r="B62" s="92"/>
      <c r="C62" s="684" t="s">
        <v>616</v>
      </c>
      <c r="D62" s="91" t="s">
        <v>715</v>
      </c>
      <c r="E62" s="92" t="s">
        <v>356</v>
      </c>
      <c r="F62" s="93">
        <v>0.876</v>
      </c>
      <c r="G62" s="93">
        <f>F59*F62</f>
        <v>0.89789999999999992</v>
      </c>
      <c r="H62" s="94">
        <f>'Giá VL'!V19</f>
        <v>310458.0547558713</v>
      </c>
      <c r="I62" s="94">
        <f t="shared" si="12"/>
        <v>278760.2873652968</v>
      </c>
    </row>
    <row r="63" spans="1:9">
      <c r="A63" s="95"/>
      <c r="B63" s="96"/>
      <c r="C63" s="685" t="s">
        <v>617</v>
      </c>
      <c r="D63" s="95" t="s">
        <v>733</v>
      </c>
      <c r="E63" s="96" t="s">
        <v>734</v>
      </c>
      <c r="F63" s="97">
        <v>173</v>
      </c>
      <c r="G63" s="97">
        <f>F59*F63</f>
        <v>177.32499999999999</v>
      </c>
      <c r="H63" s="98">
        <f>'Giá VL'!V33</f>
        <v>15</v>
      </c>
      <c r="I63" s="98">
        <f t="shared" si="12"/>
        <v>2659.875</v>
      </c>
    </row>
  </sheetData>
  <mergeCells count="3">
    <mergeCell ref="A1:I1"/>
    <mergeCell ref="A2:I2"/>
    <mergeCell ref="A3:I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showZeros="0" workbookViewId="0"/>
  </sheetViews>
  <sheetFormatPr defaultColWidth="9" defaultRowHeight="14.4"/>
  <cols>
    <col min="1" max="1" width="9.44140625" customWidth="1"/>
  </cols>
  <sheetData>
    <row r="1" ht="15" customHeight="1"/>
  </sheetData>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133"/>
  <sheetViews>
    <sheetView showZeros="0" workbookViewId="0">
      <selection activeCell="B1" sqref="B1"/>
    </sheetView>
  </sheetViews>
  <sheetFormatPr defaultColWidth="9" defaultRowHeight="14.4"/>
  <cols>
    <col min="1" max="1" width="5.77734375" customWidth="1"/>
    <col min="2" max="2" width="11.77734375" customWidth="1"/>
    <col min="3" max="3" width="60.77734375" customWidth="1"/>
    <col min="4" max="4" width="7.77734375" customWidth="1"/>
    <col min="5" max="9" width="9.77734375" customWidth="1"/>
    <col min="10" max="11" width="11.77734375" customWidth="1"/>
    <col min="12" max="16" width="13.77734375" customWidth="1"/>
    <col min="17" max="17" width="11.77734375" customWidth="1"/>
    <col min="18" max="18" width="9.44140625" customWidth="1"/>
  </cols>
  <sheetData>
    <row r="1" spans="1:18" ht="55.35" customHeight="1">
      <c r="A1" s="37"/>
      <c r="B1" s="37"/>
      <c r="C1" s="37"/>
      <c r="D1" s="37"/>
      <c r="E1" s="37"/>
      <c r="F1" s="37"/>
      <c r="G1" s="37"/>
      <c r="H1" s="37"/>
      <c r="I1" s="37"/>
      <c r="J1" s="37"/>
      <c r="K1" s="37"/>
      <c r="L1" s="37"/>
      <c r="M1" s="37"/>
      <c r="N1" s="37"/>
      <c r="O1" s="37"/>
      <c r="P1" s="1068" t="s">
        <v>1268</v>
      </c>
      <c r="Q1" s="1068"/>
      <c r="R1" s="81"/>
    </row>
    <row r="2" spans="1:18" ht="17.850000000000001" customHeight="1">
      <c r="A2" s="1067" t="s">
        <v>1269</v>
      </c>
      <c r="B2" s="1062"/>
      <c r="C2" s="1062"/>
      <c r="D2" s="1062"/>
      <c r="E2" s="1062"/>
      <c r="F2" s="1062"/>
      <c r="G2" s="1062"/>
      <c r="H2" s="1062"/>
      <c r="I2" s="1062"/>
      <c r="J2" s="1062"/>
      <c r="K2" s="1062"/>
      <c r="L2" s="1062"/>
      <c r="M2" s="1062"/>
      <c r="N2" s="1062"/>
      <c r="O2" s="1062"/>
      <c r="P2" s="1062"/>
      <c r="Q2" s="1062"/>
      <c r="R2" s="72"/>
    </row>
    <row r="3" spans="1:18" ht="15.6" customHeight="1">
      <c r="A3" s="1061" t="s">
        <v>1270</v>
      </c>
      <c r="B3" s="1062"/>
      <c r="C3" s="1062"/>
      <c r="D3" s="1062"/>
      <c r="E3" s="1062"/>
      <c r="F3" s="1062"/>
      <c r="G3" s="1062"/>
      <c r="H3" s="1062"/>
      <c r="I3" s="1062"/>
      <c r="J3" s="1062"/>
      <c r="K3" s="1062"/>
      <c r="L3" s="1062"/>
      <c r="M3" s="1062"/>
      <c r="N3" s="1062"/>
      <c r="O3" s="1062"/>
      <c r="P3" s="1062"/>
      <c r="Q3" s="1062"/>
      <c r="R3" s="72"/>
    </row>
    <row r="4" spans="1:18" ht="15.6" customHeight="1">
      <c r="A4" s="1061" t="s">
        <v>1271</v>
      </c>
      <c r="B4" s="1061"/>
      <c r="C4" s="1061"/>
      <c r="D4" s="1061"/>
      <c r="E4" s="1061"/>
      <c r="F4" s="1061"/>
      <c r="G4" s="1061"/>
      <c r="H4" s="1061"/>
      <c r="I4" s="1061"/>
      <c r="J4" s="1061"/>
      <c r="K4" s="1061"/>
      <c r="L4" s="1061"/>
      <c r="M4" s="1061"/>
      <c r="N4" s="1061"/>
      <c r="O4" s="1061"/>
      <c r="P4" s="1061"/>
      <c r="Q4" s="1061"/>
      <c r="R4" s="72"/>
    </row>
    <row r="5" spans="1:18" ht="14.7" customHeight="1">
      <c r="A5" s="5" t="s">
        <v>1272</v>
      </c>
      <c r="B5" s="4"/>
      <c r="C5" s="4"/>
      <c r="D5" s="4"/>
      <c r="E5" s="4"/>
      <c r="F5" s="4"/>
      <c r="G5" s="4"/>
      <c r="H5" s="4"/>
      <c r="I5" s="4"/>
      <c r="J5" s="4"/>
      <c r="K5" s="4"/>
      <c r="L5" s="4"/>
      <c r="M5" s="4"/>
      <c r="N5" s="4"/>
      <c r="O5" s="4"/>
      <c r="P5" s="4"/>
      <c r="Q5" s="4"/>
      <c r="R5" s="72"/>
    </row>
    <row r="6" spans="1:18" ht="14.7" customHeight="1">
      <c r="A6" s="5" t="s">
        <v>1273</v>
      </c>
      <c r="B6" s="4"/>
      <c r="C6" s="4"/>
      <c r="D6" s="4"/>
      <c r="E6" s="4"/>
      <c r="F6" s="4"/>
      <c r="G6" s="4"/>
      <c r="H6" s="4"/>
      <c r="I6" s="4"/>
      <c r="J6" s="4"/>
      <c r="K6" s="4"/>
      <c r="L6" s="4"/>
      <c r="M6" s="4"/>
      <c r="N6" s="4"/>
      <c r="O6" s="4"/>
      <c r="P6" s="4"/>
      <c r="Q6" s="4"/>
      <c r="R6" s="72"/>
    </row>
    <row r="7" spans="1:18" ht="14.7" customHeight="1">
      <c r="A7" s="5" t="s">
        <v>1274</v>
      </c>
      <c r="B7" s="4"/>
      <c r="C7" s="4"/>
      <c r="D7" s="5" t="s">
        <v>1275</v>
      </c>
      <c r="E7" s="4"/>
      <c r="F7" s="4"/>
      <c r="G7" s="4"/>
      <c r="H7" s="4"/>
      <c r="I7" s="4"/>
      <c r="J7" s="4"/>
      <c r="K7" s="4"/>
      <c r="L7" s="4"/>
      <c r="M7" s="4"/>
      <c r="N7" s="4"/>
      <c r="O7" s="4"/>
      <c r="P7" s="4"/>
      <c r="Q7" s="4"/>
      <c r="R7" s="72"/>
    </row>
    <row r="8" spans="1:18" ht="14.7" customHeight="1">
      <c r="A8" s="5" t="s">
        <v>1276</v>
      </c>
      <c r="B8" s="4"/>
      <c r="C8" s="4"/>
      <c r="D8" s="4"/>
      <c r="E8" s="4"/>
      <c r="F8" s="4"/>
      <c r="G8" s="4"/>
      <c r="H8" s="4"/>
      <c r="I8" s="4"/>
      <c r="J8" s="4"/>
      <c r="K8" s="4"/>
      <c r="L8" s="4"/>
      <c r="M8" s="4"/>
      <c r="N8" s="4"/>
      <c r="O8" s="4"/>
      <c r="P8" s="4"/>
      <c r="Q8" s="4"/>
      <c r="R8" s="72"/>
    </row>
    <row r="9" spans="1:18" ht="14.7" customHeight="1">
      <c r="A9" s="5" t="s">
        <v>1277</v>
      </c>
      <c r="B9" s="4"/>
      <c r="C9" s="4"/>
      <c r="D9" s="4"/>
      <c r="E9" s="4"/>
      <c r="F9" s="4"/>
      <c r="G9" s="4"/>
      <c r="H9" s="4"/>
      <c r="I9" s="4"/>
      <c r="J9" s="4"/>
      <c r="K9" s="4"/>
      <c r="L9" s="4"/>
      <c r="M9" s="4"/>
      <c r="N9" s="4"/>
      <c r="O9" s="4"/>
      <c r="P9" s="4"/>
      <c r="Q9" s="4"/>
      <c r="R9" s="72"/>
    </row>
    <row r="10" spans="1:18" ht="14.7" customHeight="1">
      <c r="A10" s="5" t="s">
        <v>1278</v>
      </c>
      <c r="B10" s="4"/>
      <c r="C10" s="4"/>
      <c r="D10" s="4"/>
      <c r="E10" s="4"/>
      <c r="F10" s="4"/>
      <c r="G10" s="4"/>
      <c r="H10" s="4"/>
      <c r="I10" s="4"/>
      <c r="J10" s="4"/>
      <c r="K10" s="4"/>
      <c r="L10" s="4"/>
      <c r="M10" s="4"/>
      <c r="N10" s="4"/>
      <c r="O10" s="4"/>
      <c r="P10" s="4"/>
      <c r="Q10" s="4"/>
      <c r="R10" s="72"/>
    </row>
    <row r="11" spans="1:18" ht="14.7" customHeight="1">
      <c r="A11" s="5" t="s">
        <v>1279</v>
      </c>
      <c r="B11" s="4"/>
      <c r="C11" s="4"/>
      <c r="D11" s="4"/>
      <c r="E11" s="4"/>
      <c r="F11" s="4"/>
      <c r="G11" s="4"/>
      <c r="H11" s="4"/>
      <c r="I11" s="4"/>
      <c r="J11" s="4"/>
      <c r="K11" s="4"/>
      <c r="L11" s="4"/>
      <c r="M11" s="4"/>
      <c r="N11" s="4"/>
      <c r="O11" s="4"/>
      <c r="P11" s="4"/>
      <c r="Q11" s="4"/>
      <c r="R11" s="72"/>
    </row>
    <row r="12" spans="1:18" ht="14.7" customHeight="1">
      <c r="A12" s="5" t="s">
        <v>1280</v>
      </c>
      <c r="B12" s="4"/>
      <c r="C12" s="4"/>
      <c r="D12" s="4"/>
      <c r="E12" s="4"/>
      <c r="F12" s="4"/>
      <c r="G12" s="4"/>
      <c r="H12" s="4"/>
      <c r="I12" s="4"/>
      <c r="J12" s="4"/>
      <c r="K12" s="4"/>
      <c r="L12" s="4"/>
      <c r="M12" s="4"/>
      <c r="N12" s="4"/>
      <c r="O12" s="4"/>
      <c r="P12" s="4"/>
      <c r="Q12" s="4"/>
      <c r="R12" s="72"/>
    </row>
    <row r="13" spans="1:18" ht="14.7" customHeight="1">
      <c r="A13" s="4"/>
      <c r="B13" s="4"/>
      <c r="C13" s="4"/>
      <c r="D13" s="4"/>
      <c r="E13" s="4"/>
      <c r="F13" s="4"/>
      <c r="G13" s="4"/>
      <c r="H13" s="4"/>
      <c r="I13" s="4"/>
      <c r="J13" s="4"/>
      <c r="K13" s="4"/>
      <c r="L13" s="4"/>
      <c r="M13" s="4"/>
      <c r="N13" s="4"/>
      <c r="O13" s="4"/>
      <c r="P13" s="4"/>
      <c r="Q13" s="4"/>
      <c r="R13" s="72"/>
    </row>
    <row r="14" spans="1:18" ht="14.25" customHeight="1">
      <c r="A14" s="1065" t="s">
        <v>5</v>
      </c>
      <c r="B14" s="1069" t="s">
        <v>320</v>
      </c>
      <c r="C14" s="1065" t="s">
        <v>321</v>
      </c>
      <c r="D14" s="1065" t="s">
        <v>1281</v>
      </c>
      <c r="E14" s="1065" t="s">
        <v>325</v>
      </c>
      <c r="F14" s="1065"/>
      <c r="G14" s="1066"/>
      <c r="H14" s="1066"/>
      <c r="I14" s="1066"/>
      <c r="J14" s="1065" t="s">
        <v>1282</v>
      </c>
      <c r="K14" s="1066"/>
      <c r="L14" s="1065" t="s">
        <v>1283</v>
      </c>
      <c r="M14" s="1065"/>
      <c r="N14" s="1066"/>
      <c r="O14" s="1066"/>
      <c r="P14" s="1066"/>
      <c r="Q14" s="1065" t="s">
        <v>698</v>
      </c>
      <c r="R14" s="72"/>
    </row>
    <row r="15" spans="1:18" ht="16.5" customHeight="1">
      <c r="A15" s="1066"/>
      <c r="B15" s="1066"/>
      <c r="C15" s="1066"/>
      <c r="D15" s="1066"/>
      <c r="E15" s="1065" t="s">
        <v>1243</v>
      </c>
      <c r="F15" s="1065"/>
      <c r="G15" s="1065" t="s">
        <v>1284</v>
      </c>
      <c r="H15" s="1066"/>
      <c r="I15" s="79"/>
      <c r="J15" s="1065" t="s">
        <v>1282</v>
      </c>
      <c r="K15" s="1065" t="s">
        <v>1285</v>
      </c>
      <c r="L15" s="1070" t="s">
        <v>1243</v>
      </c>
      <c r="M15" s="1070"/>
      <c r="N15" s="1065" t="s">
        <v>1284</v>
      </c>
      <c r="O15" s="1066"/>
      <c r="P15" s="1066"/>
      <c r="Q15" s="1066"/>
      <c r="R15" s="72"/>
    </row>
    <row r="16" spans="1:18" ht="78" customHeight="1">
      <c r="A16" s="1066"/>
      <c r="B16" s="1066"/>
      <c r="C16" s="1066"/>
      <c r="D16" s="1066"/>
      <c r="E16" s="74" t="s">
        <v>1286</v>
      </c>
      <c r="F16" s="74" t="s">
        <v>1287</v>
      </c>
      <c r="G16" s="73" t="s">
        <v>1288</v>
      </c>
      <c r="H16" s="73" t="s">
        <v>1289</v>
      </c>
      <c r="I16" s="73" t="s">
        <v>1290</v>
      </c>
      <c r="J16" s="1066"/>
      <c r="K16" s="1066"/>
      <c r="L16" s="73" t="s">
        <v>1286</v>
      </c>
      <c r="M16" s="74" t="s">
        <v>1291</v>
      </c>
      <c r="N16" s="73" t="s">
        <v>1288</v>
      </c>
      <c r="O16" s="73" t="s">
        <v>1289</v>
      </c>
      <c r="P16" s="73" t="s">
        <v>1290</v>
      </c>
      <c r="Q16" s="1066"/>
      <c r="R16" s="72"/>
    </row>
    <row r="17" spans="1:18" ht="14.7" customHeight="1">
      <c r="A17" s="75"/>
      <c r="B17" s="76"/>
      <c r="C17" s="77"/>
      <c r="D17" s="75"/>
      <c r="E17" s="78"/>
      <c r="F17" s="78"/>
      <c r="G17" s="78"/>
      <c r="H17" s="78"/>
      <c r="I17" s="78"/>
      <c r="J17" s="80"/>
      <c r="K17" s="80"/>
      <c r="L17" s="80"/>
      <c r="M17" s="80"/>
      <c r="N17" s="80"/>
      <c r="O17" s="80"/>
      <c r="P17" s="80"/>
      <c r="Q17" s="78"/>
      <c r="R17" s="72"/>
    </row>
    <row r="18" spans="1:18" ht="14.1" customHeight="1">
      <c r="A18" s="63">
        <v>0</v>
      </c>
      <c r="B18" s="64" t="s">
        <v>336</v>
      </c>
      <c r="C18" s="64" t="s">
        <v>1090</v>
      </c>
      <c r="D18" s="63"/>
      <c r="E18" s="65"/>
      <c r="F18" s="65"/>
      <c r="G18" s="65"/>
      <c r="H18" s="65"/>
      <c r="I18" s="70"/>
      <c r="J18" s="70"/>
      <c r="K18" s="70"/>
      <c r="L18" s="70"/>
      <c r="M18" s="70"/>
      <c r="N18" s="70"/>
      <c r="O18" s="70"/>
      <c r="P18" s="64"/>
      <c r="Q18" s="64"/>
    </row>
    <row r="19" spans="1:18" ht="14.1" customHeight="1">
      <c r="A19" s="66">
        <v>1</v>
      </c>
      <c r="B19" s="67" t="str">
        <f>'5.Tiên lượng'!C12</f>
        <v>AB.31132</v>
      </c>
      <c r="C19" s="67" t="str">
        <f>'5.Tiên lượng'!D12</f>
        <v>Đào nền đường bằng máy đào 1,25m3 - Cấp đất II</v>
      </c>
      <c r="D19" s="66" t="str">
        <f>'5.Tiên lượng'!E12</f>
        <v>100m3</v>
      </c>
      <c r="E19" s="68">
        <f>'5.Tiên lượng'!M12</f>
        <v>0.95230000000000004</v>
      </c>
      <c r="F19" s="68"/>
      <c r="G19" s="68"/>
      <c r="H19" s="68"/>
      <c r="I19" s="71"/>
      <c r="J19" s="71">
        <f>'6.Chiết tính'!J23</f>
        <v>2268009.0857081842</v>
      </c>
      <c r="K19" s="71"/>
      <c r="L19" s="71">
        <f t="shared" ref="L19:L120" si="0">E19*J19</f>
        <v>2159825.0523199039</v>
      </c>
      <c r="M19" s="71"/>
      <c r="N19" s="71">
        <f t="shared" ref="N19:N120" si="1">F19*J19</f>
        <v>0</v>
      </c>
      <c r="O19" s="71">
        <f t="shared" ref="O19:O120" si="2">G19*J19</f>
        <v>0</v>
      </c>
      <c r="P19" s="67">
        <f t="shared" ref="P19:P120" si="3">H19*J19</f>
        <v>0</v>
      </c>
      <c r="Q19" s="67"/>
    </row>
    <row r="20" spans="1:18" ht="14.1" customHeight="1">
      <c r="A20" s="66">
        <v>2</v>
      </c>
      <c r="B20" s="67" t="str">
        <f>'5.Tiên lượng'!C14</f>
        <v>AB.31133</v>
      </c>
      <c r="C20" s="67" t="str">
        <f>'5.Tiên lượng'!D14</f>
        <v>Đào nền đường bằng máy đào 1,25m3 - Cấp đất III</v>
      </c>
      <c r="D20" s="66" t="str">
        <f>'5.Tiên lượng'!E14</f>
        <v>100m3</v>
      </c>
      <c r="E20" s="68">
        <f>'5.Tiên lượng'!M14</f>
        <v>2.7511999999999999</v>
      </c>
      <c r="F20" s="68"/>
      <c r="G20" s="68"/>
      <c r="H20" s="68"/>
      <c r="I20" s="71"/>
      <c r="J20" s="71">
        <f>'6.Chiết tính'!J39</f>
        <v>2688464.085348784</v>
      </c>
      <c r="K20" s="71"/>
      <c r="L20" s="71">
        <f t="shared" si="0"/>
        <v>7396502.3916115742</v>
      </c>
      <c r="M20" s="71"/>
      <c r="N20" s="71">
        <f t="shared" si="1"/>
        <v>0</v>
      </c>
      <c r="O20" s="71">
        <f t="shared" si="2"/>
        <v>0</v>
      </c>
      <c r="P20" s="67">
        <f t="shared" si="3"/>
        <v>0</v>
      </c>
      <c r="Q20" s="67"/>
    </row>
    <row r="21" spans="1:18" ht="14.1" customHeight="1">
      <c r="A21" s="66">
        <v>3</v>
      </c>
      <c r="B21" s="67" t="str">
        <f>'5.Tiên lượng'!C16</f>
        <v>AB.31134</v>
      </c>
      <c r="C21" s="67" t="str">
        <f>'5.Tiên lượng'!D16</f>
        <v>Đào nền đường bằng máy đào 1,25m3 - Cấp đất IV</v>
      </c>
      <c r="D21" s="66" t="str">
        <f>'5.Tiên lượng'!E16</f>
        <v>100m3</v>
      </c>
      <c r="E21" s="68">
        <f>'5.Tiên lượng'!M16</f>
        <v>1.4199999999999999E-2</v>
      </c>
      <c r="F21" s="68"/>
      <c r="G21" s="68"/>
      <c r="H21" s="68"/>
      <c r="I21" s="71"/>
      <c r="J21" s="71">
        <f>'6.Chiết tính'!J55</f>
        <v>3460005.6574319052</v>
      </c>
      <c r="K21" s="71"/>
      <c r="L21" s="71">
        <f t="shared" si="0"/>
        <v>49132.08033553305</v>
      </c>
      <c r="M21" s="71"/>
      <c r="N21" s="71">
        <f t="shared" si="1"/>
        <v>0</v>
      </c>
      <c r="O21" s="71">
        <f t="shared" si="2"/>
        <v>0</v>
      </c>
      <c r="P21" s="67">
        <f t="shared" si="3"/>
        <v>0</v>
      </c>
      <c r="Q21" s="67"/>
    </row>
    <row r="22" spans="1:18" ht="14.1" customHeight="1">
      <c r="A22" s="66">
        <v>4</v>
      </c>
      <c r="B22" s="67" t="str">
        <f>'5.Tiên lượng'!C18</f>
        <v>MD.QĐ792</v>
      </c>
      <c r="C22" s="67" t="str">
        <f>'5.Tiên lượng'!D18</f>
        <v>Đào nền đường đá cấp IV bằng máy đào 1,6m3</v>
      </c>
      <c r="D22" s="66" t="str">
        <f>'5.Tiên lượng'!E18</f>
        <v>m3</v>
      </c>
      <c r="E22" s="68">
        <f>'5.Tiên lượng'!M18</f>
        <v>88.07</v>
      </c>
      <c r="F22" s="68"/>
      <c r="G22" s="68"/>
      <c r="H22" s="68"/>
      <c r="I22" s="71"/>
      <c r="J22" s="71">
        <f>'6.Chiết tính'!J71</f>
        <v>75766.568193302868</v>
      </c>
      <c r="K22" s="71"/>
      <c r="L22" s="71">
        <f t="shared" si="0"/>
        <v>6672761.6607841831</v>
      </c>
      <c r="M22" s="71"/>
      <c r="N22" s="71">
        <f t="shared" si="1"/>
        <v>0</v>
      </c>
      <c r="O22" s="71">
        <f t="shared" si="2"/>
        <v>0</v>
      </c>
      <c r="P22" s="67">
        <f t="shared" si="3"/>
        <v>0</v>
      </c>
      <c r="Q22" s="67"/>
    </row>
    <row r="23" spans="1:18" ht="14.1" customHeight="1">
      <c r="A23" s="66">
        <v>5</v>
      </c>
      <c r="B23" s="67" t="str">
        <f>'5.Tiên lượng'!C19</f>
        <v>AB.31134VD</v>
      </c>
      <c r="C23" s="67" t="str">
        <f>'5.Tiên lượng'!D19</f>
        <v>Đào đường cũ cấp phối bằng máy đào 1,25m3</v>
      </c>
      <c r="D23" s="66" t="str">
        <f>'5.Tiên lượng'!E19</f>
        <v>m3</v>
      </c>
      <c r="E23" s="68">
        <f>'5.Tiên lượng'!M19</f>
        <v>0</v>
      </c>
      <c r="F23" s="68"/>
      <c r="G23" s="68"/>
      <c r="H23" s="68"/>
      <c r="I23" s="71"/>
      <c r="J23" s="71">
        <f>'6.Chiết tính'!J87</f>
        <v>34600.056574319053</v>
      </c>
      <c r="K23" s="71"/>
      <c r="L23" s="71">
        <f t="shared" si="0"/>
        <v>0</v>
      </c>
      <c r="M23" s="71"/>
      <c r="N23" s="71">
        <f t="shared" si="1"/>
        <v>0</v>
      </c>
      <c r="O23" s="71">
        <f t="shared" si="2"/>
        <v>0</v>
      </c>
      <c r="P23" s="67">
        <f t="shared" si="3"/>
        <v>0</v>
      </c>
      <c r="Q23" s="67"/>
    </row>
    <row r="24" spans="1:18" ht="14.1" customHeight="1">
      <c r="A24" s="66">
        <v>6</v>
      </c>
      <c r="B24" s="67" t="str">
        <f>'5.Tiên lượng'!C21</f>
        <v>AB.31132(VD)</v>
      </c>
      <c r="C24" s="67" t="str">
        <f>'5.Tiên lượng'!D21</f>
        <v>Đào rãnh bằng máy đào 1,25m3 - Cấp đất II</v>
      </c>
      <c r="D24" s="66" t="str">
        <f>'5.Tiên lượng'!E21</f>
        <v>100m3</v>
      </c>
      <c r="E24" s="68">
        <f>'5.Tiên lượng'!M21</f>
        <v>7.2900000000000006E-2</v>
      </c>
      <c r="F24" s="68"/>
      <c r="G24" s="68"/>
      <c r="H24" s="68"/>
      <c r="I24" s="71"/>
      <c r="J24" s="71">
        <f>'6.Chiết tính'!J103</f>
        <v>2186041.5810053027</v>
      </c>
      <c r="K24" s="71"/>
      <c r="L24" s="71">
        <f t="shared" si="0"/>
        <v>159362.43125528659</v>
      </c>
      <c r="M24" s="71"/>
      <c r="N24" s="71">
        <f t="shared" si="1"/>
        <v>0</v>
      </c>
      <c r="O24" s="71">
        <f t="shared" si="2"/>
        <v>0</v>
      </c>
      <c r="P24" s="67">
        <f t="shared" si="3"/>
        <v>0</v>
      </c>
      <c r="Q24" s="67"/>
    </row>
    <row r="25" spans="1:18" ht="14.1" customHeight="1">
      <c r="A25" s="66">
        <v>7</v>
      </c>
      <c r="B25" s="67" t="str">
        <f>'5.Tiên lượng'!C23</f>
        <v>AB.31133(VD)</v>
      </c>
      <c r="C25" s="67" t="str">
        <f>'5.Tiên lượng'!D23</f>
        <v>Đào rãnh bằng máy đào 1,25m3 - Cấp đất III</v>
      </c>
      <c r="D25" s="66" t="str">
        <f>'5.Tiên lượng'!E23</f>
        <v>100m3</v>
      </c>
      <c r="E25" s="68">
        <f>'5.Tiên lượng'!M23</f>
        <v>0.88529999999999998</v>
      </c>
      <c r="F25" s="68"/>
      <c r="G25" s="68"/>
      <c r="H25" s="68"/>
      <c r="I25" s="71"/>
      <c r="J25" s="71">
        <f>'6.Chiết tính'!J119</f>
        <v>2594786.9371169196</v>
      </c>
      <c r="K25" s="71"/>
      <c r="L25" s="71">
        <f t="shared" si="0"/>
        <v>2297164.8754296089</v>
      </c>
      <c r="M25" s="71"/>
      <c r="N25" s="71">
        <f t="shared" si="1"/>
        <v>0</v>
      </c>
      <c r="O25" s="71">
        <f t="shared" si="2"/>
        <v>0</v>
      </c>
      <c r="P25" s="67">
        <f t="shared" si="3"/>
        <v>0</v>
      </c>
      <c r="Q25" s="67"/>
    </row>
    <row r="26" spans="1:18" ht="14.1" customHeight="1">
      <c r="A26" s="66">
        <v>8</v>
      </c>
      <c r="B26" s="67" t="str">
        <f>'5.Tiên lượng'!C25</f>
        <v>AB.31134(VD)</v>
      </c>
      <c r="C26" s="67" t="str">
        <f>'5.Tiên lượng'!D25</f>
        <v>Đào rãnh bằng máy đào 1,25m3 - Cấp đất IV</v>
      </c>
      <c r="D26" s="66" t="str">
        <f>'5.Tiên lượng'!E25</f>
        <v>100m3</v>
      </c>
      <c r="E26" s="68">
        <f>'5.Tiên lượng'!M25</f>
        <v>1.1000000000000001E-3</v>
      </c>
      <c r="F26" s="68"/>
      <c r="G26" s="68"/>
      <c r="H26" s="68"/>
      <c r="I26" s="71"/>
      <c r="J26" s="71">
        <f>'6.Chiết tính'!J135</f>
        <v>3324173.792495701</v>
      </c>
      <c r="K26" s="71"/>
      <c r="L26" s="71">
        <f t="shared" si="0"/>
        <v>3656.5911717452714</v>
      </c>
      <c r="M26" s="71"/>
      <c r="N26" s="71">
        <f t="shared" si="1"/>
        <v>0</v>
      </c>
      <c r="O26" s="71">
        <f t="shared" si="2"/>
        <v>0</v>
      </c>
      <c r="P26" s="67">
        <f t="shared" si="3"/>
        <v>0</v>
      </c>
      <c r="Q26" s="67"/>
    </row>
    <row r="27" spans="1:18" ht="14.1" customHeight="1">
      <c r="A27" s="66">
        <v>9</v>
      </c>
      <c r="B27" s="67" t="str">
        <f>'5.Tiên lượng'!C27</f>
        <v>MD.QĐ792</v>
      </c>
      <c r="C27" s="67" t="str">
        <f>'5.Tiên lượng'!D27</f>
        <v>Đào rãnh đá cấp IV bằng máy đào 1,6m3</v>
      </c>
      <c r="D27" s="66" t="str">
        <f>'5.Tiên lượng'!E27</f>
        <v>m3</v>
      </c>
      <c r="E27" s="68">
        <f>'5.Tiên lượng'!M27</f>
        <v>13.28</v>
      </c>
      <c r="F27" s="68"/>
      <c r="G27" s="68"/>
      <c r="H27" s="68"/>
      <c r="I27" s="71"/>
      <c r="J27" s="71">
        <f>'6.Chiết tính'!J150</f>
        <v>74946.893146274044</v>
      </c>
      <c r="K27" s="71"/>
      <c r="L27" s="71">
        <f t="shared" si="0"/>
        <v>995294.74098251923</v>
      </c>
      <c r="M27" s="71"/>
      <c r="N27" s="71">
        <f t="shared" si="1"/>
        <v>0</v>
      </c>
      <c r="O27" s="71">
        <f t="shared" si="2"/>
        <v>0</v>
      </c>
      <c r="P27" s="67">
        <f t="shared" si="3"/>
        <v>0</v>
      </c>
      <c r="Q27" s="67"/>
    </row>
    <row r="28" spans="1:18" ht="14.1" customHeight="1">
      <c r="A28" s="66">
        <v>10</v>
      </c>
      <c r="B28" s="67" t="str">
        <f>'5.Tiên lượng'!C29</f>
        <v>AB.31132(VD)</v>
      </c>
      <c r="C28" s="67" t="str">
        <f>'5.Tiên lượng'!D29</f>
        <v>Đào cấp bằng máy đào 1,25m3 - Cấp đất II</v>
      </c>
      <c r="D28" s="66" t="str">
        <f>'5.Tiên lượng'!E29</f>
        <v>100m3</v>
      </c>
      <c r="E28" s="68">
        <f>'5.Tiên lượng'!M29</f>
        <v>0.86290000000000011</v>
      </c>
      <c r="F28" s="68"/>
      <c r="G28" s="68"/>
      <c r="H28" s="68"/>
      <c r="I28" s="71"/>
      <c r="J28" s="71">
        <f>'6.Chiết tính'!J166</f>
        <v>2186041.5810053027</v>
      </c>
      <c r="K28" s="71"/>
      <c r="L28" s="71">
        <f t="shared" si="0"/>
        <v>1886335.280249476</v>
      </c>
      <c r="M28" s="71"/>
      <c r="N28" s="71">
        <f t="shared" si="1"/>
        <v>0</v>
      </c>
      <c r="O28" s="71">
        <f t="shared" si="2"/>
        <v>0</v>
      </c>
      <c r="P28" s="67">
        <f t="shared" si="3"/>
        <v>0</v>
      </c>
      <c r="Q28" s="67"/>
    </row>
    <row r="29" spans="1:18" ht="14.1" customHeight="1">
      <c r="A29" s="66">
        <v>11</v>
      </c>
      <c r="B29" s="67" t="str">
        <f>'5.Tiên lượng'!C31</f>
        <v>AB.31132</v>
      </c>
      <c r="C29" s="67" t="str">
        <f>'5.Tiên lượng'!D31</f>
        <v>Đào hữu cơ bằng máy đào 1,25m3 - Cấp đất II</v>
      </c>
      <c r="D29" s="66" t="str">
        <f>'5.Tiên lượng'!E31</f>
        <v>100m3</v>
      </c>
      <c r="E29" s="68">
        <f>'5.Tiên lượng'!M31</f>
        <v>3.8552999999999997</v>
      </c>
      <c r="F29" s="68"/>
      <c r="G29" s="68"/>
      <c r="H29" s="68"/>
      <c r="I29" s="71"/>
      <c r="J29" s="71">
        <f>'6.Chiết tính'!J182</f>
        <v>2268009.0857081842</v>
      </c>
      <c r="K29" s="71"/>
      <c r="L29" s="71">
        <f t="shared" si="0"/>
        <v>8743855.4281307627</v>
      </c>
      <c r="M29" s="71"/>
      <c r="N29" s="71">
        <f t="shared" si="1"/>
        <v>0</v>
      </c>
      <c r="O29" s="71">
        <f t="shared" si="2"/>
        <v>0</v>
      </c>
      <c r="P29" s="67">
        <f t="shared" si="3"/>
        <v>0</v>
      </c>
      <c r="Q29" s="67"/>
    </row>
    <row r="30" spans="1:18" ht="14.1" customHeight="1">
      <c r="A30" s="66">
        <v>12</v>
      </c>
      <c r="B30" s="67" t="str">
        <f>'5.Tiên lượng'!C34</f>
        <v>AB.67110</v>
      </c>
      <c r="C30" s="67" t="str">
        <f>'5.Tiên lượng'!D34</f>
        <v>Đắp đá hỗn hợp công trình bằng máy ủi 180CV</v>
      </c>
      <c r="D30" s="66" t="str">
        <f>'5.Tiên lượng'!E34</f>
        <v>100m3</v>
      </c>
      <c r="E30" s="68">
        <f>'5.Tiên lượng'!M34</f>
        <v>0</v>
      </c>
      <c r="F30" s="68"/>
      <c r="G30" s="68"/>
      <c r="H30" s="68"/>
      <c r="I30" s="71"/>
      <c r="J30" s="71">
        <f>'6.Chiết tính'!J198</f>
        <v>5548811.2381228032</v>
      </c>
      <c r="K30" s="71"/>
      <c r="L30" s="71">
        <f t="shared" si="0"/>
        <v>0</v>
      </c>
      <c r="M30" s="71"/>
      <c r="N30" s="71">
        <f t="shared" si="1"/>
        <v>0</v>
      </c>
      <c r="O30" s="71">
        <f t="shared" si="2"/>
        <v>0</v>
      </c>
      <c r="P30" s="67">
        <f t="shared" si="3"/>
        <v>0</v>
      </c>
      <c r="Q30" s="67"/>
    </row>
    <row r="31" spans="1:18" ht="14.1" customHeight="1">
      <c r="A31" s="66">
        <v>13</v>
      </c>
      <c r="B31" s="67" t="str">
        <f>'5.Tiên lượng'!C36</f>
        <v>AD.11212</v>
      </c>
      <c r="C31" s="67" t="str">
        <f>'5.Tiên lượng'!D36</f>
        <v>Thi công đắp cấp phối đá dăm loại 2</v>
      </c>
      <c r="D31" s="66" t="str">
        <f>'5.Tiên lượng'!E36</f>
        <v>100m3</v>
      </c>
      <c r="E31" s="68">
        <f>'5.Tiên lượng'!M36</f>
        <v>9.2337371681415927</v>
      </c>
      <c r="F31" s="68"/>
      <c r="G31" s="68"/>
      <c r="H31" s="68"/>
      <c r="I31" s="71"/>
      <c r="J31" s="71">
        <f>'6.Chiết tính'!J219</f>
        <v>45519325.595883742</v>
      </c>
      <c r="K31" s="71"/>
      <c r="L31" s="71">
        <f t="shared" si="0"/>
        <v>420313488.62345064</v>
      </c>
      <c r="M31" s="71"/>
      <c r="N31" s="71">
        <f t="shared" si="1"/>
        <v>0</v>
      </c>
      <c r="O31" s="71">
        <f t="shared" si="2"/>
        <v>0</v>
      </c>
      <c r="P31" s="67">
        <f t="shared" si="3"/>
        <v>0</v>
      </c>
      <c r="Q31" s="67"/>
    </row>
    <row r="32" spans="1:18" ht="14.1" customHeight="1">
      <c r="A32" s="66">
        <v>14</v>
      </c>
      <c r="B32" s="67" t="str">
        <f>'5.Tiên lượng'!C38</f>
        <v>AB.64123</v>
      </c>
      <c r="C32" s="67" t="str">
        <f>'5.Tiên lượng'!D38</f>
        <v>Đắp nền đường bằng máy lu bánh thép 16T, máy ủi 110CV, độ chặt Y/C K = 0,95</v>
      </c>
      <c r="D32" s="66" t="str">
        <f>'5.Tiên lượng'!E38</f>
        <v>100m3</v>
      </c>
      <c r="E32" s="68">
        <f>'5.Tiên lượng'!M38</f>
        <v>4.593362831858407</v>
      </c>
      <c r="F32" s="68"/>
      <c r="G32" s="68"/>
      <c r="H32" s="68"/>
      <c r="I32" s="71"/>
      <c r="J32" s="71">
        <f>'6.Chiết tính'!J236</f>
        <v>1424488.6117183566</v>
      </c>
      <c r="K32" s="71"/>
      <c r="L32" s="71">
        <f t="shared" si="0"/>
        <v>6543193.0434726812</v>
      </c>
      <c r="M32" s="71"/>
      <c r="N32" s="71">
        <f t="shared" si="1"/>
        <v>0</v>
      </c>
      <c r="O32" s="71">
        <f t="shared" si="2"/>
        <v>0</v>
      </c>
      <c r="P32" s="67">
        <f t="shared" si="3"/>
        <v>0</v>
      </c>
      <c r="Q32" s="67"/>
    </row>
    <row r="33" spans="1:17" ht="14.1" customHeight="1">
      <c r="A33" s="66">
        <v>15</v>
      </c>
      <c r="B33" s="67" t="str">
        <f>'5.Tiên lượng'!C42</f>
        <v>AB.31134VD</v>
      </c>
      <c r="C33" s="67" t="str">
        <f>'5.Tiên lượng'!D42</f>
        <v>Đào khuôn đường cũ cấp phối bằng máy đào 1,25m3</v>
      </c>
      <c r="D33" s="66" t="str">
        <f>'5.Tiên lượng'!E42</f>
        <v>m3</v>
      </c>
      <c r="E33" s="68">
        <f>'5.Tiên lượng'!M42</f>
        <v>90.77</v>
      </c>
      <c r="F33" s="68"/>
      <c r="G33" s="68"/>
      <c r="H33" s="68"/>
      <c r="I33" s="71"/>
      <c r="J33" s="71">
        <f>'6.Chiết tính'!J254</f>
        <v>34600.056574319053</v>
      </c>
      <c r="K33" s="71"/>
      <c r="L33" s="71">
        <f t="shared" si="0"/>
        <v>3140647.1352509405</v>
      </c>
      <c r="M33" s="71"/>
      <c r="N33" s="71">
        <f t="shared" si="1"/>
        <v>0</v>
      </c>
      <c r="O33" s="71">
        <f t="shared" si="2"/>
        <v>0</v>
      </c>
      <c r="P33" s="67">
        <f t="shared" si="3"/>
        <v>0</v>
      </c>
      <c r="Q33" s="67"/>
    </row>
    <row r="34" spans="1:17" ht="14.1" customHeight="1">
      <c r="A34" s="66">
        <v>16</v>
      </c>
      <c r="B34" s="67" t="str">
        <f>'5.Tiên lượng'!C43</f>
        <v>AB.31133</v>
      </c>
      <c r="C34" s="67" t="str">
        <f>'5.Tiên lượng'!D43</f>
        <v>Đào nền đường bằng máy đào 1,25m3 - Cấp đất III</v>
      </c>
      <c r="D34" s="66" t="str">
        <f>'5.Tiên lượng'!E43</f>
        <v>100m3</v>
      </c>
      <c r="E34" s="68">
        <f>'5.Tiên lượng'!M43</f>
        <v>1.2237</v>
      </c>
      <c r="F34" s="68"/>
      <c r="G34" s="68"/>
      <c r="H34" s="68"/>
      <c r="I34" s="71"/>
      <c r="J34" s="71">
        <f>'6.Chiết tính'!J270</f>
        <v>2688464.085348784</v>
      </c>
      <c r="K34" s="71"/>
      <c r="L34" s="71">
        <f t="shared" si="0"/>
        <v>3289873.5012413068</v>
      </c>
      <c r="M34" s="71"/>
      <c r="N34" s="71">
        <f t="shared" si="1"/>
        <v>0</v>
      </c>
      <c r="O34" s="71">
        <f t="shared" si="2"/>
        <v>0</v>
      </c>
      <c r="P34" s="67">
        <f t="shared" si="3"/>
        <v>0</v>
      </c>
      <c r="Q34" s="67"/>
    </row>
    <row r="35" spans="1:17" ht="14.1" customHeight="1">
      <c r="A35" s="66">
        <v>17</v>
      </c>
      <c r="B35" s="67" t="str">
        <f>'5.Tiên lượng'!C46</f>
        <v>AF.15433</v>
      </c>
      <c r="C35" s="67" t="str">
        <f>'5.Tiên lượng'!D46</f>
        <v>Bê tông sản xuất bằng máy trộn và đổ bằng thủ công, bê tông mặt đường dày mặt đường ≤25cm, bê tông M250, đá 2x4, PCB40</v>
      </c>
      <c r="D35" s="66" t="str">
        <f>'5.Tiên lượng'!E46</f>
        <v>m3</v>
      </c>
      <c r="E35" s="68">
        <f>'5.Tiên lượng'!M46</f>
        <v>900.03599999999994</v>
      </c>
      <c r="F35" s="68"/>
      <c r="G35" s="68"/>
      <c r="H35" s="68"/>
      <c r="I35" s="71"/>
      <c r="J35" s="71">
        <f>'6.Chiết tính'!J296</f>
        <v>2021696.9202948564</v>
      </c>
      <c r="K35" s="71"/>
      <c r="L35" s="71">
        <f t="shared" si="0"/>
        <v>1819600009.3545012</v>
      </c>
      <c r="M35" s="71"/>
      <c r="N35" s="71">
        <f t="shared" si="1"/>
        <v>0</v>
      </c>
      <c r="O35" s="71">
        <f t="shared" si="2"/>
        <v>0</v>
      </c>
      <c r="P35" s="67">
        <f t="shared" si="3"/>
        <v>0</v>
      </c>
      <c r="Q35" s="67"/>
    </row>
    <row r="36" spans="1:17" ht="14.1" customHeight="1">
      <c r="A36" s="66">
        <v>18</v>
      </c>
      <c r="B36" s="67" t="str">
        <f>'5.Tiên lượng'!C49</f>
        <v>AL.16201</v>
      </c>
      <c r="C36" s="67" t="str">
        <f>'5.Tiên lượng'!D49</f>
        <v>Ni lông chống thấm</v>
      </c>
      <c r="D36" s="66" t="str">
        <f>'5.Tiên lượng'!E49</f>
        <v>100m2</v>
      </c>
      <c r="E36" s="68">
        <f>'5.Tiên lượng'!M49</f>
        <v>45.001800000000003</v>
      </c>
      <c r="F36" s="68"/>
      <c r="G36" s="68"/>
      <c r="H36" s="68"/>
      <c r="I36" s="71"/>
      <c r="J36" s="71">
        <f>'6.Chiết tính'!J312</f>
        <v>335898.66816</v>
      </c>
      <c r="K36" s="71"/>
      <c r="L36" s="71">
        <f t="shared" si="0"/>
        <v>15116044.684802689</v>
      </c>
      <c r="M36" s="71"/>
      <c r="N36" s="71">
        <f t="shared" si="1"/>
        <v>0</v>
      </c>
      <c r="O36" s="71">
        <f t="shared" si="2"/>
        <v>0</v>
      </c>
      <c r="P36" s="67">
        <f t="shared" si="3"/>
        <v>0</v>
      </c>
      <c r="Q36" s="67"/>
    </row>
    <row r="37" spans="1:17" ht="14.1" customHeight="1">
      <c r="A37" s="66">
        <v>19</v>
      </c>
      <c r="B37" s="67" t="str">
        <f>'5.Tiên lượng'!C51</f>
        <v>AD.11212</v>
      </c>
      <c r="C37" s="67" t="str">
        <f>'5.Tiên lượng'!D51</f>
        <v xml:space="preserve">Thi công móng cấp phối đá dăm lớp dưới </v>
      </c>
      <c r="D37" s="66" t="str">
        <f>'5.Tiên lượng'!E51</f>
        <v>100m3</v>
      </c>
      <c r="E37" s="68">
        <f>'5.Tiên lượng'!M51</f>
        <v>1.3379759999999998</v>
      </c>
      <c r="F37" s="68"/>
      <c r="G37" s="68"/>
      <c r="H37" s="68"/>
      <c r="I37" s="71"/>
      <c r="J37" s="71">
        <f>'6.Chiết tính'!J333</f>
        <v>45519325.595883742</v>
      </c>
      <c r="K37" s="71"/>
      <c r="L37" s="71">
        <f t="shared" si="0"/>
        <v>60903765.183478139</v>
      </c>
      <c r="M37" s="71"/>
      <c r="N37" s="71">
        <f t="shared" si="1"/>
        <v>0</v>
      </c>
      <c r="O37" s="71">
        <f t="shared" si="2"/>
        <v>0</v>
      </c>
      <c r="P37" s="67">
        <f t="shared" si="3"/>
        <v>0</v>
      </c>
      <c r="Q37" s="67"/>
    </row>
    <row r="38" spans="1:17" ht="14.1" customHeight="1">
      <c r="A38" s="66">
        <v>20</v>
      </c>
      <c r="B38" s="67" t="str">
        <f>'5.Tiên lượng'!C53</f>
        <v>AD.11212</v>
      </c>
      <c r="C38" s="67" t="str">
        <f>'5.Tiên lượng'!D53</f>
        <v xml:space="preserve">Thi công móng cấp phối đá dăm lớp dưới </v>
      </c>
      <c r="D38" s="66" t="str">
        <f>'5.Tiên lượng'!E53</f>
        <v>100m3</v>
      </c>
      <c r="E38" s="68">
        <f>'5.Tiên lượng'!M53</f>
        <v>1.7016</v>
      </c>
      <c r="F38" s="68"/>
      <c r="G38" s="68"/>
      <c r="H38" s="68"/>
      <c r="I38" s="71"/>
      <c r="J38" s="71">
        <f>'6.Chiết tính'!J354</f>
        <v>45519325.595883742</v>
      </c>
      <c r="K38" s="71"/>
      <c r="L38" s="71">
        <f t="shared" si="0"/>
        <v>77455684.433955774</v>
      </c>
      <c r="M38" s="71"/>
      <c r="N38" s="71">
        <f t="shared" si="1"/>
        <v>0</v>
      </c>
      <c r="O38" s="71">
        <f t="shared" si="2"/>
        <v>0</v>
      </c>
      <c r="P38" s="67">
        <f t="shared" si="3"/>
        <v>0</v>
      </c>
      <c r="Q38" s="67"/>
    </row>
    <row r="39" spans="1:17" ht="14.1" customHeight="1">
      <c r="A39" s="66">
        <v>21</v>
      </c>
      <c r="B39" s="67" t="str">
        <f>'5.Tiên lượng'!C56</f>
        <v>AF.82411</v>
      </c>
      <c r="C39" s="67" t="str">
        <f>'5.Tiên lượng'!D56</f>
        <v>Ván khuôn thép mặt đường bê tông</v>
      </c>
      <c r="D39" s="66" t="str">
        <f>'5.Tiên lượng'!E56</f>
        <v>100m2</v>
      </c>
      <c r="E39" s="68">
        <f>'5.Tiên lượng'!M56</f>
        <v>3.6397000000000004</v>
      </c>
      <c r="F39" s="68"/>
      <c r="G39" s="68"/>
      <c r="H39" s="68"/>
      <c r="I39" s="71"/>
      <c r="J39" s="71">
        <f>'6.Chiết tính'!J373</f>
        <v>5370066.1138137272</v>
      </c>
      <c r="K39" s="71"/>
      <c r="L39" s="71">
        <f t="shared" si="0"/>
        <v>19545429.634447824</v>
      </c>
      <c r="M39" s="71"/>
      <c r="N39" s="71">
        <f t="shared" si="1"/>
        <v>0</v>
      </c>
      <c r="O39" s="71">
        <f t="shared" si="2"/>
        <v>0</v>
      </c>
      <c r="P39" s="67">
        <f t="shared" si="3"/>
        <v>0</v>
      </c>
      <c r="Q39" s="67"/>
    </row>
    <row r="40" spans="1:17" ht="14.1" customHeight="1">
      <c r="A40" s="66">
        <v>22</v>
      </c>
      <c r="B40" s="67" t="str">
        <f>'5.Tiên lượng'!C59</f>
        <v>AF.15433</v>
      </c>
      <c r="C40" s="67" t="str">
        <f>'5.Tiên lượng'!D59</f>
        <v>Bê tông sản xuất bằng máy trộn và đổ bằng thủ công, bê tông mặt đường dày mặt đường ≤25cm, bê tông M250, đá 2x4, PCB40</v>
      </c>
      <c r="D40" s="66" t="str">
        <f>'5.Tiên lượng'!E59</f>
        <v>m3</v>
      </c>
      <c r="E40" s="68">
        <f>'5.Tiên lượng'!M59</f>
        <v>12.764000000000001</v>
      </c>
      <c r="F40" s="68"/>
      <c r="G40" s="68"/>
      <c r="H40" s="68"/>
      <c r="I40" s="71"/>
      <c r="J40" s="71">
        <f>'6.Chiết tính'!J399</f>
        <v>2021696.9202948564</v>
      </c>
      <c r="K40" s="71"/>
      <c r="L40" s="71">
        <f t="shared" si="0"/>
        <v>25804939.49064355</v>
      </c>
      <c r="M40" s="71"/>
      <c r="N40" s="71">
        <f t="shared" si="1"/>
        <v>0</v>
      </c>
      <c r="O40" s="71">
        <f t="shared" si="2"/>
        <v>0</v>
      </c>
      <c r="P40" s="67">
        <f t="shared" si="3"/>
        <v>0</v>
      </c>
      <c r="Q40" s="67"/>
    </row>
    <row r="41" spans="1:17" ht="14.1" customHeight="1">
      <c r="A41" s="66">
        <v>23</v>
      </c>
      <c r="B41" s="67" t="str">
        <f>'5.Tiên lượng'!C61</f>
        <v>AL.16201</v>
      </c>
      <c r="C41" s="67" t="str">
        <f>'5.Tiên lượng'!D61</f>
        <v>Rải giấy dầu lớp cách ly</v>
      </c>
      <c r="D41" s="66" t="str">
        <f>'5.Tiên lượng'!E61</f>
        <v>100m2</v>
      </c>
      <c r="E41" s="68">
        <f>'5.Tiên lượng'!M61</f>
        <v>0.63819999999999999</v>
      </c>
      <c r="F41" s="68"/>
      <c r="G41" s="68"/>
      <c r="H41" s="68"/>
      <c r="I41" s="71"/>
      <c r="J41" s="71">
        <f>'6.Chiết tính'!J415</f>
        <v>335898.66816</v>
      </c>
      <c r="K41" s="71"/>
      <c r="L41" s="71">
        <f t="shared" si="0"/>
        <v>214370.53001971199</v>
      </c>
      <c r="M41" s="71"/>
      <c r="N41" s="71">
        <f t="shared" si="1"/>
        <v>0</v>
      </c>
      <c r="O41" s="71">
        <f t="shared" si="2"/>
        <v>0</v>
      </c>
      <c r="P41" s="67">
        <f t="shared" si="3"/>
        <v>0</v>
      </c>
      <c r="Q41" s="67"/>
    </row>
    <row r="42" spans="1:17" ht="14.1" customHeight="1">
      <c r="A42" s="66">
        <v>24</v>
      </c>
      <c r="B42" s="67" t="str">
        <f>'5.Tiên lượng'!C63</f>
        <v>AD.11212</v>
      </c>
      <c r="C42" s="67" t="str">
        <f>'5.Tiên lượng'!D63</f>
        <v xml:space="preserve">Thi công móng cấp phối đá dăm lớp dưới </v>
      </c>
      <c r="D42" s="66" t="str">
        <f>'5.Tiên lượng'!E63</f>
        <v>100m3</v>
      </c>
      <c r="E42" s="68">
        <f>'5.Tiên lượng'!M63</f>
        <v>7.6583999999999999E-2</v>
      </c>
      <c r="F42" s="68"/>
      <c r="G42" s="68"/>
      <c r="H42" s="68"/>
      <c r="I42" s="71"/>
      <c r="J42" s="71">
        <f>'6.Chiết tính'!J436</f>
        <v>45519325.595883742</v>
      </c>
      <c r="K42" s="71"/>
      <c r="L42" s="71">
        <f t="shared" si="0"/>
        <v>3486052.0314351604</v>
      </c>
      <c r="M42" s="71"/>
      <c r="N42" s="71">
        <f t="shared" si="1"/>
        <v>0</v>
      </c>
      <c r="O42" s="71">
        <f t="shared" si="2"/>
        <v>0</v>
      </c>
      <c r="P42" s="67">
        <f t="shared" si="3"/>
        <v>0</v>
      </c>
      <c r="Q42" s="67"/>
    </row>
    <row r="43" spans="1:17" ht="14.1" customHeight="1">
      <c r="A43" s="66">
        <v>25</v>
      </c>
      <c r="B43" s="67" t="str">
        <f>'5.Tiên lượng'!C65</f>
        <v>AF.82411</v>
      </c>
      <c r="C43" s="67" t="str">
        <f>'5.Tiên lượng'!D65</f>
        <v>Ván khuôn thép mặt đường bê tông</v>
      </c>
      <c r="D43" s="66" t="str">
        <f>'5.Tiên lượng'!E65</f>
        <v>100m2</v>
      </c>
      <c r="E43" s="68">
        <f>'5.Tiên lượng'!M65</f>
        <v>0.14080000000000001</v>
      </c>
      <c r="F43" s="68"/>
      <c r="G43" s="68"/>
      <c r="H43" s="68"/>
      <c r="I43" s="71"/>
      <c r="J43" s="71">
        <f>'6.Chiết tính'!J455</f>
        <v>5370066.1138137272</v>
      </c>
      <c r="K43" s="71"/>
      <c r="L43" s="71">
        <f t="shared" si="0"/>
        <v>756105.30882497283</v>
      </c>
      <c r="M43" s="71"/>
      <c r="N43" s="71">
        <f t="shared" si="1"/>
        <v>0</v>
      </c>
      <c r="O43" s="71">
        <f t="shared" si="2"/>
        <v>0</v>
      </c>
      <c r="P43" s="67">
        <f t="shared" si="3"/>
        <v>0</v>
      </c>
      <c r="Q43" s="67"/>
    </row>
    <row r="44" spans="1:17" ht="14.1" customHeight="1">
      <c r="A44" s="66">
        <v>26</v>
      </c>
      <c r="B44" s="67" t="str">
        <f>'5.Tiên lượng'!C67</f>
        <v>AL.24111</v>
      </c>
      <c r="C44" s="67" t="str">
        <f>'5.Tiên lượng'!D67</f>
        <v>Thi công khe co không có thanh TL</v>
      </c>
      <c r="D44" s="66" t="str">
        <f>'5.Tiên lượng'!E67</f>
        <v>m</v>
      </c>
      <c r="E44" s="68">
        <f>'5.Tiên lượng'!M67</f>
        <v>1026</v>
      </c>
      <c r="F44" s="68"/>
      <c r="G44" s="68"/>
      <c r="H44" s="68"/>
      <c r="I44" s="71"/>
      <c r="J44" s="71">
        <f>'6.Chiết tính'!J476</f>
        <v>44624.816051557631</v>
      </c>
      <c r="K44" s="71"/>
      <c r="L44" s="71">
        <f t="shared" si="0"/>
        <v>45785061.268898129</v>
      </c>
      <c r="M44" s="71"/>
      <c r="N44" s="71">
        <f t="shared" si="1"/>
        <v>0</v>
      </c>
      <c r="O44" s="71">
        <f t="shared" si="2"/>
        <v>0</v>
      </c>
      <c r="P44" s="67">
        <f t="shared" si="3"/>
        <v>0</v>
      </c>
      <c r="Q44" s="67"/>
    </row>
    <row r="45" spans="1:17" ht="14.1" customHeight="1">
      <c r="A45" s="66">
        <v>27</v>
      </c>
      <c r="B45" s="67" t="str">
        <f>'5.Tiên lượng'!C68</f>
        <v>AL.24112(VD)</v>
      </c>
      <c r="C45" s="67" t="str">
        <f>'5.Tiên lượng'!D68</f>
        <v>Thi công khe giãn</v>
      </c>
      <c r="D45" s="66" t="str">
        <f>'5.Tiên lượng'!E68</f>
        <v>m</v>
      </c>
      <c r="E45" s="68">
        <f>'5.Tiên lượng'!M68</f>
        <v>103.46</v>
      </c>
      <c r="F45" s="68"/>
      <c r="G45" s="68"/>
      <c r="H45" s="68"/>
      <c r="I45" s="71"/>
      <c r="J45" s="71">
        <f>'6.Chiết tính'!J500</f>
        <v>115488.889385202</v>
      </c>
      <c r="K45" s="71"/>
      <c r="L45" s="71">
        <f t="shared" si="0"/>
        <v>11948480.495792998</v>
      </c>
      <c r="M45" s="71"/>
      <c r="N45" s="71">
        <f t="shared" si="1"/>
        <v>0</v>
      </c>
      <c r="O45" s="71">
        <f t="shared" si="2"/>
        <v>0</v>
      </c>
      <c r="P45" s="67">
        <f t="shared" si="3"/>
        <v>0</v>
      </c>
      <c r="Q45" s="67"/>
    </row>
    <row r="46" spans="1:17" ht="14.1" customHeight="1">
      <c r="A46" s="66">
        <v>28</v>
      </c>
      <c r="B46" s="67" t="str">
        <f>'5.Tiên lượng'!C69</f>
        <v>AL.24113(VD)</v>
      </c>
      <c r="C46" s="67" t="str">
        <f>'5.Tiên lượng'!D69</f>
        <v>Thi công  khe dọc</v>
      </c>
      <c r="D46" s="66" t="str">
        <f>'5.Tiên lượng'!E69</f>
        <v>m</v>
      </c>
      <c r="E46" s="68">
        <f>'5.Tiên lượng'!M69</f>
        <v>1000.04</v>
      </c>
      <c r="F46" s="68"/>
      <c r="G46" s="68"/>
      <c r="H46" s="68"/>
      <c r="I46" s="71"/>
      <c r="J46" s="71">
        <f>'6.Chiết tính'!J520</f>
        <v>35222.24074371763</v>
      </c>
      <c r="K46" s="71"/>
      <c r="L46" s="71">
        <f t="shared" si="0"/>
        <v>35223649.633347377</v>
      </c>
      <c r="M46" s="71"/>
      <c r="N46" s="71">
        <f t="shared" si="1"/>
        <v>0</v>
      </c>
      <c r="O46" s="71">
        <f t="shared" si="2"/>
        <v>0</v>
      </c>
      <c r="P46" s="67">
        <f t="shared" si="3"/>
        <v>0</v>
      </c>
      <c r="Q46" s="67"/>
    </row>
    <row r="47" spans="1:17" ht="14.1" customHeight="1">
      <c r="A47" s="66">
        <v>29</v>
      </c>
      <c r="B47" s="67" t="str">
        <f>'5.Tiên lượng'!C70</f>
        <v>AL.24310</v>
      </c>
      <c r="C47" s="67" t="str">
        <f>'5.Tiên lượng'!D70</f>
        <v>Cắt khe</v>
      </c>
      <c r="D47" s="66" t="str">
        <f>'5.Tiên lượng'!E70</f>
        <v>100m</v>
      </c>
      <c r="E47" s="68">
        <f>'5.Tiên lượng'!M70</f>
        <v>21.295000000000002</v>
      </c>
      <c r="F47" s="68"/>
      <c r="G47" s="68"/>
      <c r="H47" s="68"/>
      <c r="I47" s="71"/>
      <c r="J47" s="71">
        <f>'6.Chiết tính'!J538</f>
        <v>537800.10638755234</v>
      </c>
      <c r="K47" s="71"/>
      <c r="L47" s="71">
        <f t="shared" si="0"/>
        <v>11452453.265522929</v>
      </c>
      <c r="M47" s="71"/>
      <c r="N47" s="71">
        <f t="shared" si="1"/>
        <v>0</v>
      </c>
      <c r="O47" s="71">
        <f t="shared" si="2"/>
        <v>0</v>
      </c>
      <c r="P47" s="67">
        <f t="shared" si="3"/>
        <v>0</v>
      </c>
      <c r="Q47" s="67"/>
    </row>
    <row r="48" spans="1:17" ht="14.1" customHeight="1">
      <c r="A48" s="66">
        <v>30</v>
      </c>
      <c r="B48" s="67" t="str">
        <f>'5.Tiên lượng'!C76</f>
        <v>AB.31132</v>
      </c>
      <c r="C48" s="67" t="str">
        <f>'5.Tiên lượng'!D76</f>
        <v>Đào nền đường bằng máy đào 1,25m3 - Cấp đất II</v>
      </c>
      <c r="D48" s="66" t="str">
        <f>'5.Tiên lượng'!E76</f>
        <v>100m3</v>
      </c>
      <c r="E48" s="68">
        <f>'5.Tiên lượng'!M76</f>
        <v>1.2262999999999999</v>
      </c>
      <c r="F48" s="68"/>
      <c r="G48" s="68"/>
      <c r="H48" s="68"/>
      <c r="I48" s="71"/>
      <c r="J48" s="71">
        <f>'6.Chiết tính'!J556</f>
        <v>2268009.0857081842</v>
      </c>
      <c r="K48" s="71"/>
      <c r="L48" s="71">
        <f t="shared" si="0"/>
        <v>2781259.5418039463</v>
      </c>
      <c r="M48" s="71"/>
      <c r="N48" s="71">
        <f t="shared" si="1"/>
        <v>0</v>
      </c>
      <c r="O48" s="71">
        <f t="shared" si="2"/>
        <v>0</v>
      </c>
      <c r="P48" s="67">
        <f t="shared" si="3"/>
        <v>0</v>
      </c>
      <c r="Q48" s="67"/>
    </row>
    <row r="49" spans="1:17" ht="14.1" customHeight="1">
      <c r="A49" s="66">
        <v>31</v>
      </c>
      <c r="B49" s="67" t="str">
        <f>'5.Tiên lượng'!C78</f>
        <v>AB.31133</v>
      </c>
      <c r="C49" s="67" t="str">
        <f>'5.Tiên lượng'!D78</f>
        <v>Đào nền đường bằng máy đào 1,25m3 - Cấp đất III</v>
      </c>
      <c r="D49" s="66" t="str">
        <f>'5.Tiên lượng'!E78</f>
        <v>100m3</v>
      </c>
      <c r="E49" s="68">
        <f>'5.Tiên lượng'!M78</f>
        <v>3.6326000000000001</v>
      </c>
      <c r="F49" s="68"/>
      <c r="G49" s="68"/>
      <c r="H49" s="68"/>
      <c r="I49" s="71"/>
      <c r="J49" s="71">
        <f>'6.Chiết tính'!J572</f>
        <v>2688464.085348784</v>
      </c>
      <c r="K49" s="71"/>
      <c r="L49" s="71">
        <f t="shared" si="0"/>
        <v>9766114.6364379935</v>
      </c>
      <c r="M49" s="71"/>
      <c r="N49" s="71">
        <f t="shared" si="1"/>
        <v>0</v>
      </c>
      <c r="O49" s="71">
        <f t="shared" si="2"/>
        <v>0</v>
      </c>
      <c r="P49" s="67">
        <f t="shared" si="3"/>
        <v>0</v>
      </c>
      <c r="Q49" s="67"/>
    </row>
    <row r="50" spans="1:17" ht="14.1" customHeight="1">
      <c r="A50" s="66">
        <v>32</v>
      </c>
      <c r="B50" s="67" t="str">
        <f>'5.Tiên lượng'!C80</f>
        <v>AB.31134</v>
      </c>
      <c r="C50" s="67" t="str">
        <f>'5.Tiên lượng'!D80</f>
        <v>Đào nền đường bằng máy đào 1,25m3 - Cấp đất IV</v>
      </c>
      <c r="D50" s="66" t="str">
        <f>'5.Tiên lượng'!E80</f>
        <v>100m3</v>
      </c>
      <c r="E50" s="68">
        <f>'5.Tiên lượng'!M80</f>
        <v>0.48090000000000005</v>
      </c>
      <c r="F50" s="68"/>
      <c r="G50" s="68"/>
      <c r="H50" s="68"/>
      <c r="I50" s="71"/>
      <c r="J50" s="71">
        <f>'6.Chiết tính'!J588</f>
        <v>3460005.6574319052</v>
      </c>
      <c r="K50" s="71"/>
      <c r="L50" s="71">
        <f t="shared" si="0"/>
        <v>1663916.7206590034</v>
      </c>
      <c r="M50" s="71"/>
      <c r="N50" s="71">
        <f t="shared" si="1"/>
        <v>0</v>
      </c>
      <c r="O50" s="71">
        <f t="shared" si="2"/>
        <v>0</v>
      </c>
      <c r="P50" s="67">
        <f t="shared" si="3"/>
        <v>0</v>
      </c>
      <c r="Q50" s="67"/>
    </row>
    <row r="51" spans="1:17" ht="14.1" customHeight="1">
      <c r="A51" s="66">
        <v>33</v>
      </c>
      <c r="B51" s="67" t="str">
        <f>'5.Tiên lượng'!C82</f>
        <v>AB.31134VD</v>
      </c>
      <c r="C51" s="67" t="str">
        <f>'5.Tiên lượng'!D82</f>
        <v>Đào đường cũ cấp phối bằng máy đào 1,25m3</v>
      </c>
      <c r="D51" s="66" t="str">
        <f>'5.Tiên lượng'!E82</f>
        <v>m3</v>
      </c>
      <c r="E51" s="68">
        <f>'5.Tiên lượng'!M82</f>
        <v>32.340000000000003</v>
      </c>
      <c r="F51" s="68"/>
      <c r="G51" s="68"/>
      <c r="H51" s="68"/>
      <c r="I51" s="71"/>
      <c r="J51" s="71">
        <f>'6.Chiết tính'!J604</f>
        <v>34600.056574319053</v>
      </c>
      <c r="K51" s="71"/>
      <c r="L51" s="71">
        <f t="shared" si="0"/>
        <v>1118965.8296134784</v>
      </c>
      <c r="M51" s="71"/>
      <c r="N51" s="71">
        <f t="shared" si="1"/>
        <v>0</v>
      </c>
      <c r="O51" s="71">
        <f t="shared" si="2"/>
        <v>0</v>
      </c>
      <c r="P51" s="67">
        <f t="shared" si="3"/>
        <v>0</v>
      </c>
      <c r="Q51" s="67"/>
    </row>
    <row r="52" spans="1:17" ht="14.1" customHeight="1">
      <c r="A52" s="66">
        <v>34</v>
      </c>
      <c r="B52" s="67" t="str">
        <f>'5.Tiên lượng'!C85</f>
        <v>AB.31132(VD)</v>
      </c>
      <c r="C52" s="67" t="str">
        <f>'5.Tiên lượng'!D85</f>
        <v>Đào rãnh bằng máy đào 1,25m3 - Cấp đất II</v>
      </c>
      <c r="D52" s="66" t="str">
        <f>'5.Tiên lượng'!E85</f>
        <v>100m3</v>
      </c>
      <c r="E52" s="68">
        <f>'5.Tiên lượng'!M85</f>
        <v>0.2107</v>
      </c>
      <c r="F52" s="68"/>
      <c r="G52" s="68"/>
      <c r="H52" s="68"/>
      <c r="I52" s="71"/>
      <c r="J52" s="71">
        <f>'6.Chiết tính'!J620</f>
        <v>2186041.5810053027</v>
      </c>
      <c r="K52" s="71"/>
      <c r="L52" s="71">
        <f t="shared" si="0"/>
        <v>460598.96111781726</v>
      </c>
      <c r="M52" s="71"/>
      <c r="N52" s="71">
        <f t="shared" si="1"/>
        <v>0</v>
      </c>
      <c r="O52" s="71">
        <f t="shared" si="2"/>
        <v>0</v>
      </c>
      <c r="P52" s="67">
        <f t="shared" si="3"/>
        <v>0</v>
      </c>
      <c r="Q52" s="67"/>
    </row>
    <row r="53" spans="1:17" ht="14.1" customHeight="1">
      <c r="A53" s="66">
        <v>35</v>
      </c>
      <c r="B53" s="67" t="str">
        <f>'5.Tiên lượng'!C87</f>
        <v>AB.31133(VD)</v>
      </c>
      <c r="C53" s="67" t="str">
        <f>'5.Tiên lượng'!D87</f>
        <v>Đào rãnh bằng máy đào 1,25m3 - Cấp đất III</v>
      </c>
      <c r="D53" s="66" t="str">
        <f>'5.Tiên lượng'!E87</f>
        <v>100m3</v>
      </c>
      <c r="E53" s="68">
        <f>'5.Tiên lượng'!M87</f>
        <v>2.9964</v>
      </c>
      <c r="F53" s="68"/>
      <c r="G53" s="68"/>
      <c r="H53" s="68"/>
      <c r="I53" s="71"/>
      <c r="J53" s="71">
        <f>'6.Chiết tính'!J636</f>
        <v>2594786.9371169196</v>
      </c>
      <c r="K53" s="71"/>
      <c r="L53" s="71">
        <f t="shared" si="0"/>
        <v>7775019.5783771379</v>
      </c>
      <c r="M53" s="71"/>
      <c r="N53" s="71">
        <f t="shared" si="1"/>
        <v>0</v>
      </c>
      <c r="O53" s="71">
        <f t="shared" si="2"/>
        <v>0</v>
      </c>
      <c r="P53" s="67">
        <f t="shared" si="3"/>
        <v>0</v>
      </c>
      <c r="Q53" s="67"/>
    </row>
    <row r="54" spans="1:17" ht="14.1" customHeight="1">
      <c r="A54" s="66">
        <v>36</v>
      </c>
      <c r="B54" s="67" t="str">
        <f>'5.Tiên lượng'!C89</f>
        <v>AB.31134(VD)</v>
      </c>
      <c r="C54" s="67" t="str">
        <f>'5.Tiên lượng'!D89</f>
        <v>Đào rãnh bằng máy đào 1,25m3 - Cấp đất IV</v>
      </c>
      <c r="D54" s="66" t="str">
        <f>'5.Tiên lượng'!E89</f>
        <v>100m3</v>
      </c>
      <c r="E54" s="68">
        <f>'5.Tiên lượng'!M89</f>
        <v>6.1699999999999998E-2</v>
      </c>
      <c r="F54" s="68"/>
      <c r="G54" s="68"/>
      <c r="H54" s="68"/>
      <c r="I54" s="71"/>
      <c r="J54" s="71">
        <f>'6.Chiết tính'!J652</f>
        <v>3324173.792495701</v>
      </c>
      <c r="K54" s="71"/>
      <c r="L54" s="71">
        <f t="shared" si="0"/>
        <v>205101.52299698474</v>
      </c>
      <c r="M54" s="71"/>
      <c r="N54" s="71">
        <f t="shared" si="1"/>
        <v>0</v>
      </c>
      <c r="O54" s="71">
        <f t="shared" si="2"/>
        <v>0</v>
      </c>
      <c r="P54" s="67">
        <f t="shared" si="3"/>
        <v>0</v>
      </c>
      <c r="Q54" s="67"/>
    </row>
    <row r="55" spans="1:17" ht="14.1" customHeight="1">
      <c r="A55" s="66">
        <v>37</v>
      </c>
      <c r="B55" s="67" t="str">
        <f>'5.Tiên lượng'!C92</f>
        <v>AB.31132(VD)</v>
      </c>
      <c r="C55" s="67" t="str">
        <f>'5.Tiên lượng'!D92</f>
        <v>Đào cấp bằng máy đào 1,25m3 - Cấp đất II</v>
      </c>
      <c r="D55" s="66" t="str">
        <f>'5.Tiên lượng'!E92</f>
        <v>100m3</v>
      </c>
      <c r="E55" s="68">
        <f>'5.Tiên lượng'!M92</f>
        <v>0.92680000000000007</v>
      </c>
      <c r="F55" s="68"/>
      <c r="G55" s="68"/>
      <c r="H55" s="68"/>
      <c r="I55" s="71"/>
      <c r="J55" s="71">
        <f>'6.Chiết tính'!J668</f>
        <v>2186041.5810053027</v>
      </c>
      <c r="K55" s="71"/>
      <c r="L55" s="71">
        <f t="shared" si="0"/>
        <v>2026023.3372757146</v>
      </c>
      <c r="M55" s="71"/>
      <c r="N55" s="71">
        <f t="shared" si="1"/>
        <v>0</v>
      </c>
      <c r="O55" s="71">
        <f t="shared" si="2"/>
        <v>0</v>
      </c>
      <c r="P55" s="67">
        <f t="shared" si="3"/>
        <v>0</v>
      </c>
      <c r="Q55" s="67"/>
    </row>
    <row r="56" spans="1:17" ht="14.1" customHeight="1">
      <c r="A56" s="66">
        <v>38</v>
      </c>
      <c r="B56" s="67" t="str">
        <f>'5.Tiên lượng'!C94</f>
        <v>AB.31132</v>
      </c>
      <c r="C56" s="67" t="str">
        <f>'5.Tiên lượng'!D94</f>
        <v>Đào hữu cơ bằng máy đào 1,25m3 - Cấp đất II</v>
      </c>
      <c r="D56" s="66" t="str">
        <f>'5.Tiên lượng'!E94</f>
        <v>100m3</v>
      </c>
      <c r="E56" s="68">
        <f>'5.Tiên lượng'!M94</f>
        <v>1.2434000000000001</v>
      </c>
      <c r="F56" s="68"/>
      <c r="G56" s="68"/>
      <c r="H56" s="68"/>
      <c r="I56" s="71"/>
      <c r="J56" s="71">
        <f>'6.Chiết tính'!J684</f>
        <v>2268009.0857081842</v>
      </c>
      <c r="K56" s="71"/>
      <c r="L56" s="71">
        <f t="shared" si="0"/>
        <v>2820042.4971695566</v>
      </c>
      <c r="M56" s="71"/>
      <c r="N56" s="71">
        <f t="shared" si="1"/>
        <v>0</v>
      </c>
      <c r="O56" s="71">
        <f t="shared" si="2"/>
        <v>0</v>
      </c>
      <c r="P56" s="67">
        <f t="shared" si="3"/>
        <v>0</v>
      </c>
      <c r="Q56" s="67"/>
    </row>
    <row r="57" spans="1:17" ht="14.1" customHeight="1">
      <c r="A57" s="66">
        <v>39</v>
      </c>
      <c r="B57" s="67" t="str">
        <f>'5.Tiên lượng'!C97</f>
        <v>AB.67110</v>
      </c>
      <c r="C57" s="67" t="str">
        <f>'5.Tiên lượng'!D97</f>
        <v>Đắp đá hỗn hợp công trình bằng máy ủi 180CV</v>
      </c>
      <c r="D57" s="66" t="str">
        <f>'5.Tiên lượng'!E97</f>
        <v>100m3</v>
      </c>
      <c r="E57" s="68">
        <f>'5.Tiên lượng'!M97</f>
        <v>0</v>
      </c>
      <c r="F57" s="68"/>
      <c r="G57" s="68"/>
      <c r="H57" s="68"/>
      <c r="I57" s="71"/>
      <c r="J57" s="71">
        <f>'6.Chiết tính'!J700</f>
        <v>5548811.2381228032</v>
      </c>
      <c r="K57" s="71"/>
      <c r="L57" s="71">
        <f t="shared" si="0"/>
        <v>0</v>
      </c>
      <c r="M57" s="71"/>
      <c r="N57" s="71">
        <f t="shared" si="1"/>
        <v>0</v>
      </c>
      <c r="O57" s="71">
        <f t="shared" si="2"/>
        <v>0</v>
      </c>
      <c r="P57" s="67">
        <f t="shared" si="3"/>
        <v>0</v>
      </c>
      <c r="Q57" s="67"/>
    </row>
    <row r="58" spans="1:17" ht="14.1" customHeight="1">
      <c r="A58" s="66">
        <v>40</v>
      </c>
      <c r="B58" s="67" t="str">
        <f>'5.Tiên lượng'!C99</f>
        <v>AD.11212</v>
      </c>
      <c r="C58" s="67" t="str">
        <f>'5.Tiên lượng'!D99</f>
        <v xml:space="preserve">Thi công móng cấp phối đá dăm lớp dưới </v>
      </c>
      <c r="D58" s="66" t="str">
        <f>'5.Tiên lượng'!E99</f>
        <v>100m3</v>
      </c>
      <c r="E58" s="68">
        <f>'5.Tiên lượng'!M99</f>
        <v>4.3350070000000001</v>
      </c>
      <c r="F58" s="68"/>
      <c r="G58" s="68"/>
      <c r="H58" s="68"/>
      <c r="I58" s="71"/>
      <c r="J58" s="71">
        <f>'6.Chiết tính'!J721</f>
        <v>45519325.595883742</v>
      </c>
      <c r="K58" s="71"/>
      <c r="L58" s="71">
        <f t="shared" si="0"/>
        <v>197326595.0934352</v>
      </c>
      <c r="M58" s="71"/>
      <c r="N58" s="71">
        <f t="shared" si="1"/>
        <v>0</v>
      </c>
      <c r="O58" s="71">
        <f t="shared" si="2"/>
        <v>0</v>
      </c>
      <c r="P58" s="67">
        <f t="shared" si="3"/>
        <v>0</v>
      </c>
      <c r="Q58" s="67"/>
    </row>
    <row r="59" spans="1:17" ht="14.1" customHeight="1">
      <c r="A59" s="66">
        <v>41</v>
      </c>
      <c r="B59" s="67" t="str">
        <f>'5.Tiên lượng'!C101</f>
        <v>AB.64113</v>
      </c>
      <c r="C59" s="67" t="str">
        <f>'5.Tiên lượng'!D101</f>
        <v>Đắp nền đường bằng máy lu bánh thép 9T, máy ủi 110CV, độ chặt Y/C K = 0,95</v>
      </c>
      <c r="D59" s="66" t="str">
        <f>'5.Tiên lượng'!E101</f>
        <v>100m3</v>
      </c>
      <c r="E59" s="68">
        <f>'5.Tiên lượng'!M101</f>
        <v>8.2415929999999999</v>
      </c>
      <c r="F59" s="68"/>
      <c r="G59" s="68"/>
      <c r="H59" s="68"/>
      <c r="I59" s="71"/>
      <c r="J59" s="71">
        <f>'6.Chiết tính'!J738</f>
        <v>1538724.1206458865</v>
      </c>
      <c r="K59" s="71"/>
      <c r="L59" s="71">
        <f t="shared" si="0"/>
        <v>12681537.941646295</v>
      </c>
      <c r="M59" s="71"/>
      <c r="N59" s="71">
        <f t="shared" si="1"/>
        <v>0</v>
      </c>
      <c r="O59" s="71">
        <f t="shared" si="2"/>
        <v>0</v>
      </c>
      <c r="P59" s="67">
        <f t="shared" si="3"/>
        <v>0</v>
      </c>
      <c r="Q59" s="67"/>
    </row>
    <row r="60" spans="1:17" ht="14.1" customHeight="1">
      <c r="A60" s="66">
        <v>42</v>
      </c>
      <c r="B60" s="67" t="str">
        <f>'5.Tiên lượng'!C105</f>
        <v>AD.11212(VD)</v>
      </c>
      <c r="C60" s="67" t="str">
        <f>'5.Tiên lượng'!D105</f>
        <v>Bù vật liệu (trên mặt đường cũ lồi lõm) bằng cấp phối đá dăm loại 2 (không lu)</v>
      </c>
      <c r="D60" s="66" t="str">
        <f>'5.Tiên lượng'!E105</f>
        <v>100m3</v>
      </c>
      <c r="E60" s="68">
        <f>'5.Tiên lượng'!M105</f>
        <v>10.24</v>
      </c>
      <c r="F60" s="68"/>
      <c r="G60" s="68"/>
      <c r="H60" s="68"/>
      <c r="I60" s="71"/>
      <c r="J60" s="71">
        <f>'6.Chiết tính'!J761</f>
        <v>43439631.166095808</v>
      </c>
      <c r="K60" s="71"/>
      <c r="L60" s="71">
        <f t="shared" si="0"/>
        <v>444821823.1408211</v>
      </c>
      <c r="M60" s="71"/>
      <c r="N60" s="71">
        <f t="shared" si="1"/>
        <v>0</v>
      </c>
      <c r="O60" s="71">
        <f t="shared" si="2"/>
        <v>0</v>
      </c>
      <c r="P60" s="67">
        <f t="shared" si="3"/>
        <v>0</v>
      </c>
      <c r="Q60" s="67"/>
    </row>
    <row r="61" spans="1:17" ht="14.1" customHeight="1">
      <c r="A61" s="66">
        <v>43</v>
      </c>
      <c r="B61" s="67" t="str">
        <f>'5.Tiên lượng'!C107</f>
        <v>AB.31133</v>
      </c>
      <c r="C61" s="67" t="str">
        <f>'5.Tiên lượng'!D107</f>
        <v>Đào đất phần cạp mở rộng bằng máy đào 1,25m3 - Cấp đất III</v>
      </c>
      <c r="D61" s="66" t="str">
        <f>'5.Tiên lượng'!E107</f>
        <v>100m3</v>
      </c>
      <c r="E61" s="68">
        <f>'5.Tiên lượng'!M107</f>
        <v>2.1415000000000002</v>
      </c>
      <c r="F61" s="68"/>
      <c r="G61" s="68"/>
      <c r="H61" s="68"/>
      <c r="I61" s="71"/>
      <c r="J61" s="71">
        <f>'6.Chiết tính'!J777</f>
        <v>2688464.085348784</v>
      </c>
      <c r="K61" s="71"/>
      <c r="L61" s="71">
        <f t="shared" si="0"/>
        <v>5757345.8387744213</v>
      </c>
      <c r="M61" s="71"/>
      <c r="N61" s="71">
        <f t="shared" si="1"/>
        <v>0</v>
      </c>
      <c r="O61" s="71">
        <f t="shared" si="2"/>
        <v>0</v>
      </c>
      <c r="P61" s="67">
        <f t="shared" si="3"/>
        <v>0</v>
      </c>
      <c r="Q61" s="67"/>
    </row>
    <row r="62" spans="1:17" ht="14.1" customHeight="1">
      <c r="A62" s="66">
        <v>44</v>
      </c>
      <c r="B62" s="67" t="str">
        <f>'5.Tiên lượng'!C109</f>
        <v>AD.11212</v>
      </c>
      <c r="C62" s="67" t="str">
        <f>'5.Tiên lượng'!D109</f>
        <v>Bù trả vật liệu phần cạp mở rộng bằng cấp phối đá dăm loại 2 dày 18cm (không lu)</v>
      </c>
      <c r="D62" s="66" t="str">
        <f>'5.Tiên lượng'!E109</f>
        <v>100m3</v>
      </c>
      <c r="E62" s="68">
        <f>'5.Tiên lượng'!M109</f>
        <v>4.8311000000000002</v>
      </c>
      <c r="F62" s="68"/>
      <c r="G62" s="68"/>
      <c r="H62" s="68"/>
      <c r="I62" s="71"/>
      <c r="J62" s="71">
        <f>'6.Chiết tính'!J798</f>
        <v>43434802.5000154</v>
      </c>
      <c r="K62" s="71"/>
      <c r="L62" s="71">
        <f t="shared" si="0"/>
        <v>209837874.35782441</v>
      </c>
      <c r="M62" s="71"/>
      <c r="N62" s="71">
        <f t="shared" si="1"/>
        <v>0</v>
      </c>
      <c r="O62" s="71">
        <f t="shared" si="2"/>
        <v>0</v>
      </c>
      <c r="P62" s="67">
        <f t="shared" si="3"/>
        <v>0</v>
      </c>
      <c r="Q62" s="67"/>
    </row>
    <row r="63" spans="1:17" ht="14.1" customHeight="1">
      <c r="A63" s="66">
        <v>45</v>
      </c>
      <c r="B63" s="67" t="str">
        <f>'5.Tiên lượng'!C111</f>
        <v>LS.11110(ĐM.1322)</v>
      </c>
      <c r="C63" s="67" t="str">
        <f>'5.Tiên lượng'!D111</f>
        <v>Cào bóc tái sinh nguội tại chỗ bằng máy cào bóc tái sinh WR2400 trên mặt đường láng nhựa, chiều dày 18cm (4% xi măng rải thủ công)</v>
      </c>
      <c r="D63" s="66" t="str">
        <f>'5.Tiên lượng'!E111</f>
        <v>100m3</v>
      </c>
      <c r="E63" s="68">
        <f>'5.Tiên lượng'!M111</f>
        <v>19.253299999999999</v>
      </c>
      <c r="F63" s="68"/>
      <c r="G63" s="68"/>
      <c r="H63" s="68"/>
      <c r="I63" s="71"/>
      <c r="J63" s="71">
        <f>'6.Chiết tính'!J826</f>
        <v>47766092.724215478</v>
      </c>
      <c r="K63" s="71"/>
      <c r="L63" s="71">
        <f t="shared" si="0"/>
        <v>919654913.04713786</v>
      </c>
      <c r="M63" s="71"/>
      <c r="N63" s="71">
        <f t="shared" si="1"/>
        <v>0</v>
      </c>
      <c r="O63" s="71">
        <f t="shared" si="2"/>
        <v>0</v>
      </c>
      <c r="P63" s="67">
        <f t="shared" si="3"/>
        <v>0</v>
      </c>
      <c r="Q63" s="67"/>
    </row>
    <row r="64" spans="1:17" ht="14.1" customHeight="1">
      <c r="A64" s="66">
        <v>46</v>
      </c>
      <c r="B64" s="67" t="str">
        <f>'5.Tiên lượng'!C113</f>
        <v>AD.24223</v>
      </c>
      <c r="C64" s="67" t="str">
        <f>'5.Tiên lượng'!D113</f>
        <v>Tưới lớp dính bám mặt đường, nhũ tương CSS1, lượng nhũ tương 1kg/m2</v>
      </c>
      <c r="D64" s="66" t="str">
        <f>'5.Tiên lượng'!E113</f>
        <v>100m2</v>
      </c>
      <c r="E64" s="68">
        <f>'5.Tiên lượng'!M113</f>
        <v>106.9627</v>
      </c>
      <c r="F64" s="68"/>
      <c r="G64" s="68"/>
      <c r="H64" s="68"/>
      <c r="I64" s="71"/>
      <c r="J64" s="71">
        <f>'6.Chiết tính'!J844</f>
        <v>2223602.9637722257</v>
      </c>
      <c r="K64" s="71"/>
      <c r="L64" s="71">
        <f t="shared" si="0"/>
        <v>237842576.73307943</v>
      </c>
      <c r="M64" s="71"/>
      <c r="N64" s="71">
        <f t="shared" si="1"/>
        <v>0</v>
      </c>
      <c r="O64" s="71">
        <f t="shared" si="2"/>
        <v>0</v>
      </c>
      <c r="P64" s="67">
        <f t="shared" si="3"/>
        <v>0</v>
      </c>
      <c r="Q64" s="67"/>
    </row>
    <row r="65" spans="1:17" ht="14.1" customHeight="1">
      <c r="A65" s="66">
        <v>47</v>
      </c>
      <c r="B65" s="67" t="str">
        <f>'5.Tiên lượng'!C115</f>
        <v>AD.24132</v>
      </c>
      <c r="C65" s="67" t="str">
        <f>'5.Tiên lượng'!D115</f>
        <v>Thi công mặt đường láng nhũ tương 03 lớp - Tiêu chuẩn nhựa 4,5kg/m2</v>
      </c>
      <c r="D65" s="66" t="str">
        <f>'5.Tiên lượng'!E115</f>
        <v>100m2</v>
      </c>
      <c r="E65" s="68">
        <f>'5.Tiên lượng'!M115</f>
        <v>106.9627</v>
      </c>
      <c r="F65" s="68"/>
      <c r="G65" s="68"/>
      <c r="H65" s="68"/>
      <c r="I65" s="71"/>
      <c r="J65" s="71">
        <f>'6.Chiết tính'!J865</f>
        <v>12306400.086340882</v>
      </c>
      <c r="K65" s="71"/>
      <c r="L65" s="71">
        <f t="shared" si="0"/>
        <v>1316325780.5152538</v>
      </c>
      <c r="M65" s="71"/>
      <c r="N65" s="71">
        <f t="shared" si="1"/>
        <v>0</v>
      </c>
      <c r="O65" s="71">
        <f t="shared" si="2"/>
        <v>0</v>
      </c>
      <c r="P65" s="67">
        <f t="shared" si="3"/>
        <v>0</v>
      </c>
      <c r="Q65" s="67"/>
    </row>
    <row r="66" spans="1:17" ht="14.1" customHeight="1">
      <c r="A66" s="66">
        <v>48</v>
      </c>
      <c r="B66" s="67" t="str">
        <f>'5.Tiên lượng'!C118</f>
        <v>LS.11110(ĐM.1322)</v>
      </c>
      <c r="C66" s="67" t="str">
        <f>'5.Tiên lượng'!D118</f>
        <v>Cào bóc tái sinh nguội tại chỗ bằng máy cào bóc tái sinh WR2400 trên mặt đường láng nhựa, chiều dày 18cm (4% xi măng rải thủ công)</v>
      </c>
      <c r="D66" s="66" t="str">
        <f>'5.Tiên lượng'!E118</f>
        <v>100m3</v>
      </c>
      <c r="E66" s="68">
        <f>'5.Tiên lượng'!M118</f>
        <v>0.2389</v>
      </c>
      <c r="F66" s="68"/>
      <c r="G66" s="68"/>
      <c r="H66" s="68"/>
      <c r="I66" s="71"/>
      <c r="J66" s="71">
        <f>'6.Chiết tính'!J894</f>
        <v>47766092.724215478</v>
      </c>
      <c r="K66" s="71"/>
      <c r="L66" s="71">
        <f t="shared" si="0"/>
        <v>11411319.551815078</v>
      </c>
      <c r="M66" s="71"/>
      <c r="N66" s="71">
        <f t="shared" si="1"/>
        <v>0</v>
      </c>
      <c r="O66" s="71">
        <f t="shared" si="2"/>
        <v>0</v>
      </c>
      <c r="P66" s="67">
        <f t="shared" si="3"/>
        <v>0</v>
      </c>
      <c r="Q66" s="67"/>
    </row>
    <row r="67" spans="1:17" ht="14.1" customHeight="1">
      <c r="A67" s="66">
        <v>49</v>
      </c>
      <c r="B67" s="67" t="str">
        <f>'5.Tiên lượng'!C120</f>
        <v>AD.24223</v>
      </c>
      <c r="C67" s="67" t="str">
        <f>'5.Tiên lượng'!D120</f>
        <v>Tưới lớp dính bám mặt đường, nhũ tương CSS1, lượng nhũ tương 1kg/m2</v>
      </c>
      <c r="D67" s="66" t="str">
        <f>'5.Tiên lượng'!E120</f>
        <v>100m2</v>
      </c>
      <c r="E67" s="68">
        <f>'5.Tiên lượng'!M120</f>
        <v>1.3271999999999999</v>
      </c>
      <c r="F67" s="68"/>
      <c r="G67" s="68"/>
      <c r="H67" s="68"/>
      <c r="I67" s="71"/>
      <c r="J67" s="71">
        <f>'6.Chiết tính'!J912</f>
        <v>2223602.9637722257</v>
      </c>
      <c r="K67" s="71"/>
      <c r="L67" s="71">
        <f t="shared" si="0"/>
        <v>2951165.8535184977</v>
      </c>
      <c r="M67" s="71"/>
      <c r="N67" s="71">
        <f t="shared" si="1"/>
        <v>0</v>
      </c>
      <c r="O67" s="71">
        <f t="shared" si="2"/>
        <v>0</v>
      </c>
      <c r="P67" s="67">
        <f t="shared" si="3"/>
        <v>0</v>
      </c>
      <c r="Q67" s="67"/>
    </row>
    <row r="68" spans="1:17" ht="14.1" customHeight="1">
      <c r="A68" s="66">
        <v>50</v>
      </c>
      <c r="B68" s="67" t="str">
        <f>'5.Tiên lượng'!C122</f>
        <v>AD.24132</v>
      </c>
      <c r="C68" s="67" t="str">
        <f>'5.Tiên lượng'!D122</f>
        <v>Thi công mặt đường láng nhũ tương 03 lớp - Tiêu chuẩn nhựa 4,5kg/m2</v>
      </c>
      <c r="D68" s="66" t="str">
        <f>'5.Tiên lượng'!E122</f>
        <v>100m2</v>
      </c>
      <c r="E68" s="68">
        <f>'5.Tiên lượng'!M122</f>
        <v>1.3271999999999999</v>
      </c>
      <c r="F68" s="68"/>
      <c r="G68" s="68"/>
      <c r="H68" s="68"/>
      <c r="I68" s="71"/>
      <c r="J68" s="71">
        <f>'6.Chiết tính'!J933</f>
        <v>12306400.086340882</v>
      </c>
      <c r="K68" s="71"/>
      <c r="L68" s="71">
        <f t="shared" si="0"/>
        <v>16333054.194591617</v>
      </c>
      <c r="M68" s="71"/>
      <c r="N68" s="71">
        <f t="shared" si="1"/>
        <v>0</v>
      </c>
      <c r="O68" s="71">
        <f t="shared" si="2"/>
        <v>0</v>
      </c>
      <c r="P68" s="67">
        <f t="shared" si="3"/>
        <v>0</v>
      </c>
      <c r="Q68" s="67"/>
    </row>
    <row r="69" spans="1:17" ht="14.1" customHeight="1">
      <c r="A69" s="66">
        <v>51</v>
      </c>
      <c r="B69" s="67" t="str">
        <f>'5.Tiên lượng'!C127</f>
        <v>AK.98110(VD)</v>
      </c>
      <c r="C69" s="67" t="str">
        <f>'5.Tiên lượng'!D127</f>
        <v>Đá dăm đệm rãnh, đá (1x2)cm, dày 10cm</v>
      </c>
      <c r="D69" s="66" t="str">
        <f>'5.Tiên lượng'!E127</f>
        <v>m3</v>
      </c>
      <c r="E69" s="68">
        <f>'5.Tiên lượng'!M127</f>
        <v>7.43</v>
      </c>
      <c r="F69" s="68"/>
      <c r="G69" s="68"/>
      <c r="H69" s="68"/>
      <c r="I69" s="71"/>
      <c r="J69" s="71">
        <f>'6.Chiết tính'!J951</f>
        <v>957171.65673770616</v>
      </c>
      <c r="K69" s="71"/>
      <c r="L69" s="71">
        <f t="shared" si="0"/>
        <v>7111785.4095611563</v>
      </c>
      <c r="M69" s="71"/>
      <c r="N69" s="71">
        <f t="shared" si="1"/>
        <v>0</v>
      </c>
      <c r="O69" s="71">
        <f t="shared" si="2"/>
        <v>0</v>
      </c>
      <c r="P69" s="67">
        <f t="shared" si="3"/>
        <v>0</v>
      </c>
      <c r="Q69" s="67"/>
    </row>
    <row r="70" spans="1:17" ht="14.1" customHeight="1">
      <c r="A70" s="66">
        <v>52</v>
      </c>
      <c r="B70" s="67" t="str">
        <f>'5.Tiên lượng'!C128</f>
        <v>AF.11231</v>
      </c>
      <c r="C70" s="67" t="str">
        <f>'5.Tiên lượng'!D128</f>
        <v>BTXM móng rãnh, M150, đá 2x4, PCB40</v>
      </c>
      <c r="D70" s="66" t="str">
        <f>'5.Tiên lượng'!E128</f>
        <v>m3</v>
      </c>
      <c r="E70" s="68">
        <f>'5.Tiên lượng'!M128</f>
        <v>7.43</v>
      </c>
      <c r="F70" s="68"/>
      <c r="G70" s="68"/>
      <c r="H70" s="68"/>
      <c r="I70" s="71"/>
      <c r="J70" s="71">
        <f>'6.Chiết tính'!J972</f>
        <v>1789501.4158042176</v>
      </c>
      <c r="K70" s="71"/>
      <c r="L70" s="71">
        <f t="shared" si="0"/>
        <v>13295995.519425336</v>
      </c>
      <c r="M70" s="71"/>
      <c r="N70" s="71">
        <f t="shared" si="1"/>
        <v>0</v>
      </c>
      <c r="O70" s="71">
        <f t="shared" si="2"/>
        <v>0</v>
      </c>
      <c r="P70" s="67">
        <f t="shared" si="3"/>
        <v>0</v>
      </c>
      <c r="Q70" s="67"/>
    </row>
    <row r="71" spans="1:17" ht="14.1" customHeight="1">
      <c r="A71" s="66">
        <v>53</v>
      </c>
      <c r="B71" s="67" t="str">
        <f>'5.Tiên lượng'!C129</f>
        <v>AE.26313</v>
      </c>
      <c r="C71" s="67" t="str">
        <f>'5.Tiên lượng'!D129</f>
        <v>Xây rãnh thoát nước bằng gạch KN 6,5x10,5x22cm, vữa XM M75, PCB40</v>
      </c>
      <c r="D71" s="66" t="str">
        <f>'5.Tiên lượng'!E129</f>
        <v>m3</v>
      </c>
      <c r="E71" s="68">
        <f>'5.Tiên lượng'!M129</f>
        <v>10.43</v>
      </c>
      <c r="F71" s="68"/>
      <c r="G71" s="68"/>
      <c r="H71" s="68"/>
      <c r="I71" s="71"/>
      <c r="J71" s="71">
        <f>'6.Chiết tính'!J992</f>
        <v>3116769.9581218893</v>
      </c>
      <c r="K71" s="71"/>
      <c r="L71" s="71">
        <f t="shared" si="0"/>
        <v>32507910.663211305</v>
      </c>
      <c r="M71" s="71"/>
      <c r="N71" s="71">
        <f t="shared" si="1"/>
        <v>0</v>
      </c>
      <c r="O71" s="71">
        <f t="shared" si="2"/>
        <v>0</v>
      </c>
      <c r="P71" s="67">
        <f t="shared" si="3"/>
        <v>0</v>
      </c>
      <c r="Q71" s="67"/>
    </row>
    <row r="72" spans="1:17" ht="14.1" customHeight="1">
      <c r="A72" s="66">
        <v>54</v>
      </c>
      <c r="B72" s="67" t="str">
        <f>'5.Tiên lượng'!C130</f>
        <v>AK.21113</v>
      </c>
      <c r="C72" s="67" t="str">
        <f>'5.Tiên lượng'!D130</f>
        <v>Trát tường ngoài dày 1cm, vữa XM M75, PCB40</v>
      </c>
      <c r="D72" s="66" t="str">
        <f>'5.Tiên lượng'!E130</f>
        <v>m2</v>
      </c>
      <c r="E72" s="68">
        <f>'5.Tiên lượng'!M130</f>
        <v>47.4</v>
      </c>
      <c r="F72" s="68"/>
      <c r="G72" s="68"/>
      <c r="H72" s="68"/>
      <c r="I72" s="71"/>
      <c r="J72" s="71">
        <f>'6.Chiết tính'!J1011</f>
        <v>91303.717017968578</v>
      </c>
      <c r="K72" s="71"/>
      <c r="L72" s="71">
        <f t="shared" si="0"/>
        <v>4327796.1866517104</v>
      </c>
      <c r="M72" s="71"/>
      <c r="N72" s="71">
        <f t="shared" si="1"/>
        <v>0</v>
      </c>
      <c r="O72" s="71">
        <f t="shared" si="2"/>
        <v>0</v>
      </c>
      <c r="P72" s="67">
        <f t="shared" si="3"/>
        <v>0</v>
      </c>
      <c r="Q72" s="67"/>
    </row>
    <row r="73" spans="1:17" ht="14.1" customHeight="1">
      <c r="A73" s="66">
        <v>55</v>
      </c>
      <c r="B73" s="67" t="str">
        <f>'5.Tiên lượng'!C132</f>
        <v>AF.14212</v>
      </c>
      <c r="C73" s="67" t="str">
        <f>'5.Tiên lượng'!D132</f>
        <v>Bê tông mũ mố, mũ trụ trên cạn SX bằng máy trộn, đổ bằng thủ công, bê tông M200, đá 1x2, PCB40</v>
      </c>
      <c r="D73" s="66" t="str">
        <f>'5.Tiên lượng'!E132</f>
        <v>m3</v>
      </c>
      <c r="E73" s="68">
        <f>'5.Tiên lượng'!M132</f>
        <v>5.91</v>
      </c>
      <c r="F73" s="68"/>
      <c r="G73" s="68"/>
      <c r="H73" s="68"/>
      <c r="I73" s="71"/>
      <c r="J73" s="71">
        <f>'6.Chiết tính'!J1034</f>
        <v>2551804.4621140463</v>
      </c>
      <c r="K73" s="71"/>
      <c r="L73" s="71">
        <f t="shared" si="0"/>
        <v>15081164.371094014</v>
      </c>
      <c r="M73" s="71"/>
      <c r="N73" s="71">
        <f t="shared" si="1"/>
        <v>0</v>
      </c>
      <c r="O73" s="71">
        <f t="shared" si="2"/>
        <v>0</v>
      </c>
      <c r="P73" s="67">
        <f t="shared" si="3"/>
        <v>0</v>
      </c>
      <c r="Q73" s="67"/>
    </row>
    <row r="74" spans="1:17" ht="14.1" customHeight="1">
      <c r="A74" s="66">
        <v>56</v>
      </c>
      <c r="B74" s="67" t="str">
        <f>'5.Tiên lượng'!C133</f>
        <v>AF.61110</v>
      </c>
      <c r="C74" s="67" t="str">
        <f>'5.Tiên lượng'!D133</f>
        <v>Lắp dựng cốt thép móng, ĐK ≤10mm</v>
      </c>
      <c r="D74" s="66" t="str">
        <f>'5.Tiên lượng'!E133</f>
        <v>tấn</v>
      </c>
      <c r="E74" s="68">
        <f>'5.Tiên lượng'!M133</f>
        <v>0.24490000000000001</v>
      </c>
      <c r="F74" s="68"/>
      <c r="G74" s="68"/>
      <c r="H74" s="68"/>
      <c r="I74" s="71"/>
      <c r="J74" s="71">
        <f>'6.Chiết tính'!J1051</f>
        <v>27050625.806872122</v>
      </c>
      <c r="K74" s="71"/>
      <c r="L74" s="71">
        <f t="shared" si="0"/>
        <v>6624698.2601029826</v>
      </c>
      <c r="M74" s="71"/>
      <c r="N74" s="71">
        <f t="shared" si="1"/>
        <v>0</v>
      </c>
      <c r="O74" s="71">
        <f t="shared" si="2"/>
        <v>0</v>
      </c>
      <c r="P74" s="67">
        <f t="shared" si="3"/>
        <v>0</v>
      </c>
      <c r="Q74" s="67"/>
    </row>
    <row r="75" spans="1:17" ht="14.1" customHeight="1">
      <c r="A75" s="66">
        <v>57</v>
      </c>
      <c r="B75" s="67" t="str">
        <f>'5.Tiên lượng'!C135</f>
        <v>AF.82511</v>
      </c>
      <c r="C75" s="67" t="str">
        <f>'5.Tiên lượng'!D135</f>
        <v>Ván khuôn thép mũ  mố</v>
      </c>
      <c r="D75" s="66" t="str">
        <f>'5.Tiên lượng'!E135</f>
        <v>100m2</v>
      </c>
      <c r="E75" s="68">
        <f>'5.Tiên lượng'!M135</f>
        <v>0.93220000000000003</v>
      </c>
      <c r="F75" s="68"/>
      <c r="G75" s="68"/>
      <c r="H75" s="68"/>
      <c r="I75" s="71"/>
      <c r="J75" s="71">
        <f>'6.Chiết tính'!J1071</f>
        <v>7171231.0739318607</v>
      </c>
      <c r="K75" s="71"/>
      <c r="L75" s="71">
        <f t="shared" si="0"/>
        <v>6685021.6071192808</v>
      </c>
      <c r="M75" s="71"/>
      <c r="N75" s="71">
        <f t="shared" si="1"/>
        <v>0</v>
      </c>
      <c r="O75" s="71">
        <f t="shared" si="2"/>
        <v>0</v>
      </c>
      <c r="P75" s="67">
        <f t="shared" si="3"/>
        <v>0</v>
      </c>
      <c r="Q75" s="67"/>
    </row>
    <row r="76" spans="1:17" ht="14.1" customHeight="1">
      <c r="A76" s="66">
        <v>58</v>
      </c>
      <c r="B76" s="67" t="str">
        <f>'5.Tiên lượng'!C138</f>
        <v>AG.11413</v>
      </c>
      <c r="C76" s="67" t="str">
        <f>'5.Tiên lượng'!D138</f>
        <v>Bê tông tấm đan, mái hắt, lanh tô, bê tông M250, đá 1x2, PCB40 - Đổ bê tông đúc sẵn bằng thủ công (vữa bê tông sản xuất bằng máy trộn)</v>
      </c>
      <c r="D76" s="66" t="str">
        <f>'5.Tiên lượng'!E138</f>
        <v>m3</v>
      </c>
      <c r="E76" s="68">
        <f>'5.Tiên lượng'!M138</f>
        <v>6.64</v>
      </c>
      <c r="F76" s="68"/>
      <c r="G76" s="68"/>
      <c r="H76" s="68"/>
      <c r="I76" s="71"/>
      <c r="J76" s="71">
        <f>'6.Chiết tính'!J1091</f>
        <v>2160840.0048695421</v>
      </c>
      <c r="K76" s="71"/>
      <c r="L76" s="71">
        <f t="shared" si="0"/>
        <v>14347977.632333759</v>
      </c>
      <c r="M76" s="71"/>
      <c r="N76" s="71">
        <f t="shared" si="1"/>
        <v>0</v>
      </c>
      <c r="O76" s="71">
        <f t="shared" si="2"/>
        <v>0</v>
      </c>
      <c r="P76" s="67">
        <f t="shared" si="3"/>
        <v>0</v>
      </c>
      <c r="Q76" s="67"/>
    </row>
    <row r="77" spans="1:17" ht="14.1" customHeight="1">
      <c r="A77" s="66">
        <v>59</v>
      </c>
      <c r="B77" s="67" t="str">
        <f>'5.Tiên lượng'!C139</f>
        <v>AG.41610</v>
      </c>
      <c r="C77" s="67" t="str">
        <f>'5.Tiên lượng'!D139</f>
        <v>Lắp đặt cấu kiện bê tông đúc sẵn trọng lượng từ 50kg đến 200kg bằng cần cẩu</v>
      </c>
      <c r="D77" s="66" t="str">
        <f>'5.Tiên lượng'!E139</f>
        <v>1cấu kiện</v>
      </c>
      <c r="E77" s="68">
        <f>'5.Tiên lượng'!M139</f>
        <v>79</v>
      </c>
      <c r="F77" s="68"/>
      <c r="G77" s="68"/>
      <c r="H77" s="68"/>
      <c r="I77" s="71"/>
      <c r="J77" s="71">
        <f>'6.Chiết tính'!J1106</f>
        <v>40657.448852591995</v>
      </c>
      <c r="K77" s="71"/>
      <c r="L77" s="71">
        <f t="shared" si="0"/>
        <v>3211938.4593547676</v>
      </c>
      <c r="M77" s="71"/>
      <c r="N77" s="71">
        <f t="shared" si="1"/>
        <v>0</v>
      </c>
      <c r="O77" s="71">
        <f t="shared" si="2"/>
        <v>0</v>
      </c>
      <c r="P77" s="67">
        <f t="shared" si="3"/>
        <v>0</v>
      </c>
      <c r="Q77" s="67"/>
    </row>
    <row r="78" spans="1:17" ht="14.1" customHeight="1">
      <c r="A78" s="66">
        <v>60</v>
      </c>
      <c r="B78" s="67" t="str">
        <f>'5.Tiên lượng'!C141</f>
        <v>AG.13231</v>
      </c>
      <c r="C78" s="67" t="str">
        <f>'5.Tiên lượng'!D141</f>
        <v>Cốt thép tấm đậy</v>
      </c>
      <c r="D78" s="66" t="str">
        <f>'5.Tiên lượng'!E141</f>
        <v>tấn</v>
      </c>
      <c r="E78" s="68">
        <f>'5.Tiên lượng'!M141</f>
        <v>1.7095600000000002</v>
      </c>
      <c r="F78" s="68"/>
      <c r="G78" s="68"/>
      <c r="H78" s="68"/>
      <c r="I78" s="71"/>
      <c r="J78" s="71">
        <f>'6.Chiết tính'!J1123</f>
        <v>29301812.934146743</v>
      </c>
      <c r="K78" s="71"/>
      <c r="L78" s="71">
        <f t="shared" si="0"/>
        <v>50093207.319699913</v>
      </c>
      <c r="M78" s="71"/>
      <c r="N78" s="71">
        <f t="shared" si="1"/>
        <v>0</v>
      </c>
      <c r="O78" s="71">
        <f t="shared" si="2"/>
        <v>0</v>
      </c>
      <c r="P78" s="67">
        <f t="shared" si="3"/>
        <v>0</v>
      </c>
      <c r="Q78" s="67"/>
    </row>
    <row r="79" spans="1:17" ht="14.1" customHeight="1">
      <c r="A79" s="66">
        <v>61</v>
      </c>
      <c r="B79" s="67" t="str">
        <f>'5.Tiên lượng'!C143</f>
        <v>AG.32511</v>
      </c>
      <c r="C79" s="67" t="str">
        <f>'5.Tiên lượng'!D143</f>
        <v>Ván khuôn thép tấm đậy</v>
      </c>
      <c r="D79" s="66" t="str">
        <f>'5.Tiên lượng'!E143</f>
        <v>100m2</v>
      </c>
      <c r="E79" s="68">
        <f>'5.Tiên lượng'!M143</f>
        <v>0.35389999999999999</v>
      </c>
      <c r="F79" s="68"/>
      <c r="G79" s="68"/>
      <c r="H79" s="68"/>
      <c r="I79" s="71"/>
      <c r="J79" s="71">
        <f>'6.Chiết tính'!J1143</f>
        <v>9799038.0184733067</v>
      </c>
      <c r="K79" s="71"/>
      <c r="L79" s="71">
        <f t="shared" si="0"/>
        <v>3467879.5547377029</v>
      </c>
      <c r="M79" s="71"/>
      <c r="N79" s="71">
        <f t="shared" si="1"/>
        <v>0</v>
      </c>
      <c r="O79" s="71">
        <f t="shared" si="2"/>
        <v>0</v>
      </c>
      <c r="P79" s="67">
        <f t="shared" si="3"/>
        <v>0</v>
      </c>
      <c r="Q79" s="67"/>
    </row>
    <row r="80" spans="1:17" ht="14.1" customHeight="1">
      <c r="A80" s="66">
        <v>62</v>
      </c>
      <c r="B80" s="67" t="str">
        <f>'5.Tiên lượng'!C146</f>
        <v>BB.11112</v>
      </c>
      <c r="C80" s="67" t="str">
        <f>'5.Tiên lượng'!D146</f>
        <v xml:space="preserve">Lắp đặt ống bê tông bằng thủ công, đoạn ống dài 1m - Đường kính 300mm </v>
      </c>
      <c r="D80" s="66" t="str">
        <f>'5.Tiên lượng'!E146</f>
        <v>1 đoạn ống</v>
      </c>
      <c r="E80" s="68">
        <f>'5.Tiên lượng'!M146</f>
        <v>38</v>
      </c>
      <c r="F80" s="68"/>
      <c r="G80" s="68"/>
      <c r="H80" s="68"/>
      <c r="I80" s="71"/>
      <c r="J80" s="71">
        <f>'6.Chiết tính'!J1160</f>
        <v>530345.51533608441</v>
      </c>
      <c r="K80" s="71"/>
      <c r="L80" s="71">
        <f t="shared" si="0"/>
        <v>20153129.582771208</v>
      </c>
      <c r="M80" s="71"/>
      <c r="N80" s="71">
        <f t="shared" si="1"/>
        <v>0</v>
      </c>
      <c r="O80" s="71">
        <f t="shared" si="2"/>
        <v>0</v>
      </c>
      <c r="P80" s="67">
        <f t="shared" si="3"/>
        <v>0</v>
      </c>
      <c r="Q80" s="67"/>
    </row>
    <row r="81" spans="1:17" ht="14.1" customHeight="1">
      <c r="A81" s="66">
        <v>63</v>
      </c>
      <c r="B81" s="67" t="str">
        <f>'5.Tiên lượng'!C147</f>
        <v>BB.11122</v>
      </c>
      <c r="C81" s="67" t="str">
        <f>'5.Tiên lượng'!D147</f>
        <v xml:space="preserve">Lắp đặt ống bê tông bằng thủ công, đoạn ống dài 2m - Đường kính 300mm </v>
      </c>
      <c r="D81" s="66" t="str">
        <f>'5.Tiên lượng'!E147</f>
        <v>1 đoạn ống</v>
      </c>
      <c r="E81" s="68">
        <f>'5.Tiên lượng'!M147</f>
        <v>74</v>
      </c>
      <c r="F81" s="68"/>
      <c r="G81" s="68"/>
      <c r="H81" s="68"/>
      <c r="I81" s="71"/>
      <c r="J81" s="71">
        <f>'6.Chiết tính'!J1176</f>
        <v>1001605.6130721689</v>
      </c>
      <c r="K81" s="71"/>
      <c r="L81" s="71">
        <f t="shared" si="0"/>
        <v>74118815.367340505</v>
      </c>
      <c r="M81" s="71"/>
      <c r="N81" s="71">
        <f t="shared" si="1"/>
        <v>0</v>
      </c>
      <c r="O81" s="71">
        <f t="shared" si="2"/>
        <v>0</v>
      </c>
      <c r="P81" s="67">
        <f t="shared" si="3"/>
        <v>0</v>
      </c>
      <c r="Q81" s="67"/>
    </row>
    <row r="82" spans="1:17" ht="14.1" customHeight="1">
      <c r="A82" s="66">
        <v>64</v>
      </c>
      <c r="B82" s="67" t="str">
        <f>'5.Tiên lượng'!C148</f>
        <v>BB.13502</v>
      </c>
      <c r="C82" s="67" t="str">
        <f>'5.Tiên lượng'!D148</f>
        <v xml:space="preserve">Nối ống bê tông bằng phương pháp xảm - Đường kính 300mm </v>
      </c>
      <c r="D82" s="66" t="str">
        <f>'5.Tiên lượng'!E148</f>
        <v>mối nối</v>
      </c>
      <c r="E82" s="68">
        <f>'5.Tiên lượng'!M148</f>
        <v>64</v>
      </c>
      <c r="F82" s="68"/>
      <c r="G82" s="68"/>
      <c r="H82" s="68"/>
      <c r="I82" s="71"/>
      <c r="J82" s="71">
        <f>'6.Chiết tính'!J1193</f>
        <v>33625.87176399376</v>
      </c>
      <c r="K82" s="71"/>
      <c r="L82" s="71">
        <f t="shared" si="0"/>
        <v>2152055.7928956007</v>
      </c>
      <c r="M82" s="71"/>
      <c r="N82" s="71">
        <f t="shared" si="1"/>
        <v>0</v>
      </c>
      <c r="O82" s="71">
        <f t="shared" si="2"/>
        <v>0</v>
      </c>
      <c r="P82" s="67">
        <f t="shared" si="3"/>
        <v>0</v>
      </c>
      <c r="Q82" s="67"/>
    </row>
    <row r="83" spans="1:17" ht="14.1" customHeight="1">
      <c r="A83" s="66">
        <v>65</v>
      </c>
      <c r="B83" s="67" t="str">
        <f>'5.Tiên lượng'!C149</f>
        <v>AB.64113</v>
      </c>
      <c r="C83" s="67" t="str">
        <f>'5.Tiên lượng'!D149</f>
        <v>Đắp nền đường bằng máy lu bánh thép 9T, máy ủi 110CV, độ chặt Y/C K = 0,95</v>
      </c>
      <c r="D83" s="66" t="str">
        <f>'5.Tiên lượng'!E149</f>
        <v>100m3</v>
      </c>
      <c r="E83" s="68">
        <f>'5.Tiên lượng'!M149</f>
        <v>0.27899999999999997</v>
      </c>
      <c r="F83" s="68"/>
      <c r="G83" s="68"/>
      <c r="H83" s="68"/>
      <c r="I83" s="71"/>
      <c r="J83" s="71">
        <f>'6.Chiết tính'!J1210</f>
        <v>1538724.1206458865</v>
      </c>
      <c r="K83" s="71"/>
      <c r="L83" s="71">
        <f t="shared" si="0"/>
        <v>429304.02966020227</v>
      </c>
      <c r="M83" s="71"/>
      <c r="N83" s="71">
        <f t="shared" si="1"/>
        <v>0</v>
      </c>
      <c r="O83" s="71">
        <f t="shared" si="2"/>
        <v>0</v>
      </c>
      <c r="P83" s="67">
        <f t="shared" si="3"/>
        <v>0</v>
      </c>
      <c r="Q83" s="67"/>
    </row>
    <row r="84" spans="1:17" ht="14.1" customHeight="1">
      <c r="A84" s="66">
        <v>66</v>
      </c>
      <c r="B84" s="67" t="str">
        <f>'5.Tiên lượng'!C152</f>
        <v>AF.13211</v>
      </c>
      <c r="C84" s="67" t="str">
        <f>'5.Tiên lượng'!D152</f>
        <v>BTXM rãnh dọc, M150, đá 1x2, PCB40</v>
      </c>
      <c r="D84" s="66" t="str">
        <f>'5.Tiên lượng'!E152</f>
        <v>m3</v>
      </c>
      <c r="E84" s="68">
        <f>'5.Tiên lượng'!M152</f>
        <v>3.3</v>
      </c>
      <c r="F84" s="68"/>
      <c r="G84" s="68"/>
      <c r="H84" s="68"/>
      <c r="I84" s="71"/>
      <c r="J84" s="71">
        <f>'6.Chiết tính'!J1232</f>
        <v>2017018.0217496702</v>
      </c>
      <c r="K84" s="71"/>
      <c r="L84" s="71">
        <f t="shared" si="0"/>
        <v>6656159.4717739113</v>
      </c>
      <c r="M84" s="71"/>
      <c r="N84" s="71">
        <f t="shared" si="1"/>
        <v>0</v>
      </c>
      <c r="O84" s="71">
        <f t="shared" si="2"/>
        <v>0</v>
      </c>
      <c r="P84" s="67">
        <f t="shared" si="3"/>
        <v>0</v>
      </c>
      <c r="Q84" s="67"/>
    </row>
    <row r="85" spans="1:17" ht="14.1" customHeight="1">
      <c r="A85" s="66">
        <v>67</v>
      </c>
      <c r="B85" s="67" t="str">
        <f>'5.Tiên lượng'!C154</f>
        <v>AL.16201</v>
      </c>
      <c r="C85" s="67" t="str">
        <f>'5.Tiên lượng'!D154</f>
        <v>Ni lông chống thấm</v>
      </c>
      <c r="D85" s="66" t="str">
        <f>'5.Tiên lượng'!E154</f>
        <v>100m2</v>
      </c>
      <c r="E85" s="68">
        <f>'5.Tiên lượng'!M154</f>
        <v>0.13200000000000001</v>
      </c>
      <c r="F85" s="68"/>
      <c r="G85" s="68"/>
      <c r="H85" s="68"/>
      <c r="I85" s="71"/>
      <c r="J85" s="71">
        <f>'6.Chiết tính'!J1248</f>
        <v>335898.66816</v>
      </c>
      <c r="K85" s="71"/>
      <c r="L85" s="71">
        <f t="shared" si="0"/>
        <v>44338.62419712</v>
      </c>
      <c r="M85" s="71"/>
      <c r="N85" s="71">
        <f t="shared" si="1"/>
        <v>0</v>
      </c>
      <c r="O85" s="71">
        <f t="shared" si="2"/>
        <v>0</v>
      </c>
      <c r="P85" s="67">
        <f t="shared" si="3"/>
        <v>0</v>
      </c>
      <c r="Q85" s="67"/>
    </row>
    <row r="86" spans="1:17" ht="14.1" customHeight="1">
      <c r="A86" s="66">
        <v>68</v>
      </c>
      <c r="B86" s="67" t="str">
        <f>'5.Tiên lượng'!C156</f>
        <v>AK.98110</v>
      </c>
      <c r="C86" s="67" t="str">
        <f>'5.Tiên lượng'!D156</f>
        <v>Cấp phối đá dăm đệm móng, dày 5cm</v>
      </c>
      <c r="D86" s="66" t="str">
        <f>'5.Tiên lượng'!E156</f>
        <v>m3</v>
      </c>
      <c r="E86" s="68">
        <f>'5.Tiên lượng'!M156</f>
        <v>0.66</v>
      </c>
      <c r="F86" s="68"/>
      <c r="G86" s="68"/>
      <c r="H86" s="68"/>
      <c r="I86" s="71"/>
      <c r="J86" s="71">
        <f>'6.Chiết tính'!J1264</f>
        <v>1084234.8454592994</v>
      </c>
      <c r="K86" s="71"/>
      <c r="L86" s="71">
        <f t="shared" si="0"/>
        <v>715594.99800313765</v>
      </c>
      <c r="M86" s="71"/>
      <c r="N86" s="71">
        <f t="shared" si="1"/>
        <v>0</v>
      </c>
      <c r="O86" s="71">
        <f t="shared" si="2"/>
        <v>0</v>
      </c>
      <c r="P86" s="67">
        <f t="shared" si="3"/>
        <v>0</v>
      </c>
      <c r="Q86" s="67"/>
    </row>
    <row r="87" spans="1:17" ht="14.1" customHeight="1">
      <c r="A87" s="66">
        <v>69</v>
      </c>
      <c r="B87" s="67" t="str">
        <f>'5.Tiên lượng'!C158</f>
        <v>AF.82511</v>
      </c>
      <c r="C87" s="67" t="str">
        <f>'5.Tiên lượng'!D158</f>
        <v>Ván khuôn thép rãnh</v>
      </c>
      <c r="D87" s="66" t="str">
        <f>'5.Tiên lượng'!E158</f>
        <v>100m2</v>
      </c>
      <c r="E87" s="68">
        <f>'5.Tiên lượng'!M158</f>
        <v>0.61380000000000001</v>
      </c>
      <c r="F87" s="68"/>
      <c r="G87" s="68"/>
      <c r="H87" s="68"/>
      <c r="I87" s="71"/>
      <c r="J87" s="71">
        <f>'6.Chiết tính'!J1284</f>
        <v>7171231.0739318607</v>
      </c>
      <c r="K87" s="71"/>
      <c r="L87" s="71">
        <f t="shared" si="0"/>
        <v>4401701.6331793759</v>
      </c>
      <c r="M87" s="71"/>
      <c r="N87" s="71">
        <f t="shared" si="1"/>
        <v>0</v>
      </c>
      <c r="O87" s="71">
        <f t="shared" si="2"/>
        <v>0</v>
      </c>
      <c r="P87" s="67">
        <f t="shared" si="3"/>
        <v>0</v>
      </c>
      <c r="Q87" s="67"/>
    </row>
    <row r="88" spans="1:17" ht="14.1" customHeight="1">
      <c r="A88" s="66">
        <v>70</v>
      </c>
      <c r="B88" s="67" t="str">
        <f>'5.Tiên lượng'!C161</f>
        <v>AB.25123</v>
      </c>
      <c r="C88" s="67" t="str">
        <f>'5.Tiên lượng'!D161</f>
        <v>Đào móng bằng máy đào 1,25m3, chiều rộng móng ≤6m - Cấp đất III</v>
      </c>
      <c r="D88" s="66" t="str">
        <f>'5.Tiên lượng'!E161</f>
        <v>100m3</v>
      </c>
      <c r="E88" s="68">
        <f>'5.Tiên lượng'!M161</f>
        <v>1.8000000000000002E-2</v>
      </c>
      <c r="F88" s="68"/>
      <c r="G88" s="68"/>
      <c r="H88" s="68"/>
      <c r="I88" s="71"/>
      <c r="J88" s="71">
        <f>'6.Chiết tính'!J1300</f>
        <v>2742803.9124860293</v>
      </c>
      <c r="K88" s="71"/>
      <c r="L88" s="71">
        <f t="shared" si="0"/>
        <v>49370.470424748535</v>
      </c>
      <c r="M88" s="71"/>
      <c r="N88" s="71">
        <f t="shared" si="1"/>
        <v>0</v>
      </c>
      <c r="O88" s="71">
        <f t="shared" si="2"/>
        <v>0</v>
      </c>
      <c r="P88" s="67">
        <f t="shared" si="3"/>
        <v>0</v>
      </c>
      <c r="Q88" s="67"/>
    </row>
    <row r="89" spans="1:17" ht="14.1" customHeight="1">
      <c r="A89" s="66">
        <v>71</v>
      </c>
      <c r="B89" s="67" t="str">
        <f>'5.Tiên lượng'!C163</f>
        <v>AE.11114</v>
      </c>
      <c r="C89" s="67" t="str">
        <f>'5.Tiên lượng'!D163</f>
        <v>Khối xây bó nền bằng đá hộc - Chiều dày ≤60cm, vữa XM M100, PCB40</v>
      </c>
      <c r="D89" s="66" t="str">
        <f>'5.Tiên lượng'!E163</f>
        <v>m3</v>
      </c>
      <c r="E89" s="68">
        <f>'5.Tiên lượng'!M163</f>
        <v>3.6</v>
      </c>
      <c r="F89" s="68"/>
      <c r="G89" s="68"/>
      <c r="H89" s="68"/>
      <c r="I89" s="71"/>
      <c r="J89" s="71">
        <f>'6.Chiết tính'!J1320</f>
        <v>1852270.6737688095</v>
      </c>
      <c r="K89" s="71"/>
      <c r="L89" s="71">
        <f t="shared" si="0"/>
        <v>6668174.4255677145</v>
      </c>
      <c r="M89" s="71"/>
      <c r="N89" s="71">
        <f t="shared" si="1"/>
        <v>0</v>
      </c>
      <c r="O89" s="71">
        <f t="shared" si="2"/>
        <v>0</v>
      </c>
      <c r="P89" s="67">
        <f t="shared" si="3"/>
        <v>0</v>
      </c>
      <c r="Q89" s="67"/>
    </row>
    <row r="90" spans="1:17" ht="14.1" customHeight="1">
      <c r="A90" s="66">
        <v>72</v>
      </c>
      <c r="B90" s="67" t="str">
        <f>'5.Tiên lượng'!C165</f>
        <v>AA.22121</v>
      </c>
      <c r="C90" s="67" t="str">
        <f>'5.Tiên lượng'!D165</f>
        <v>Phá dỡ kết cấu gạch đá bằng búa căn khí nén 3m3/ph</v>
      </c>
      <c r="D90" s="66" t="str">
        <f>'5.Tiên lượng'!E165</f>
        <v>m3</v>
      </c>
      <c r="E90" s="68">
        <f>'5.Tiên lượng'!M165</f>
        <v>8.4240000000000013</v>
      </c>
      <c r="F90" s="68"/>
      <c r="G90" s="68"/>
      <c r="H90" s="68"/>
      <c r="I90" s="71"/>
      <c r="J90" s="71">
        <f>'6.Chiết tính'!J1337</f>
        <v>174761.56949503999</v>
      </c>
      <c r="K90" s="71"/>
      <c r="L90" s="71">
        <f t="shared" si="0"/>
        <v>1472191.4614262171</v>
      </c>
      <c r="M90" s="71"/>
      <c r="N90" s="71">
        <f t="shared" si="1"/>
        <v>0</v>
      </c>
      <c r="O90" s="71">
        <f t="shared" si="2"/>
        <v>0</v>
      </c>
      <c r="P90" s="67">
        <f t="shared" si="3"/>
        <v>0</v>
      </c>
      <c r="Q90" s="67"/>
    </row>
    <row r="91" spans="1:17" ht="14.1" customHeight="1">
      <c r="A91" s="66">
        <v>73</v>
      </c>
      <c r="B91" s="67" t="str">
        <f>'5.Tiên lượng'!C169</f>
        <v>AB.25112</v>
      </c>
      <c r="C91" s="67" t="str">
        <f>'5.Tiên lượng'!D169</f>
        <v>Đào móng bằng máy đào 0,8m3, chiều rộng móng ≤6m - Cấp đất II</v>
      </c>
      <c r="D91" s="66" t="str">
        <f>'5.Tiên lượng'!E169</f>
        <v>100m3</v>
      </c>
      <c r="E91" s="68">
        <f>'5.Tiên lượng'!M169</f>
        <v>0.13830000000000001</v>
      </c>
      <c r="F91" s="68"/>
      <c r="G91" s="68"/>
      <c r="H91" s="68"/>
      <c r="I91" s="71"/>
      <c r="J91" s="71">
        <f>'6.Chiết tính'!J1353</f>
        <v>2337162.8992389217</v>
      </c>
      <c r="K91" s="71"/>
      <c r="L91" s="71">
        <f t="shared" si="0"/>
        <v>323229.62896474288</v>
      </c>
      <c r="M91" s="71"/>
      <c r="N91" s="71">
        <f t="shared" si="1"/>
        <v>0</v>
      </c>
      <c r="O91" s="71">
        <f t="shared" si="2"/>
        <v>0</v>
      </c>
      <c r="P91" s="67">
        <f t="shared" si="3"/>
        <v>0</v>
      </c>
      <c r="Q91" s="67"/>
    </row>
    <row r="92" spans="1:17" ht="14.1" customHeight="1">
      <c r="A92" s="66">
        <v>74</v>
      </c>
      <c r="B92" s="67" t="str">
        <f>'5.Tiên lượng'!C171</f>
        <v>AB.25113</v>
      </c>
      <c r="C92" s="67" t="str">
        <f>'5.Tiên lượng'!D171</f>
        <v>Đào móng bằng máy đào 0,8m3, chiều rộng móng ≤6m - Cấp đất III</v>
      </c>
      <c r="D92" s="66" t="str">
        <f>'5.Tiên lượng'!E171</f>
        <v>100m3</v>
      </c>
      <c r="E92" s="68">
        <f>'5.Tiên lượng'!M171</f>
        <v>0.67</v>
      </c>
      <c r="F92" s="68"/>
      <c r="G92" s="68"/>
      <c r="H92" s="68"/>
      <c r="I92" s="71"/>
      <c r="J92" s="71">
        <f>'6.Chiết tính'!J1368</f>
        <v>3019258.9037856967</v>
      </c>
      <c r="K92" s="71"/>
      <c r="L92" s="71">
        <f t="shared" si="0"/>
        <v>2022903.465536417</v>
      </c>
      <c r="M92" s="71"/>
      <c r="N92" s="71">
        <f t="shared" si="1"/>
        <v>0</v>
      </c>
      <c r="O92" s="71">
        <f t="shared" si="2"/>
        <v>0</v>
      </c>
      <c r="P92" s="67">
        <f t="shared" si="3"/>
        <v>0</v>
      </c>
      <c r="Q92" s="67"/>
    </row>
    <row r="93" spans="1:17" ht="14.1" customHeight="1">
      <c r="A93" s="66">
        <v>75</v>
      </c>
      <c r="B93" s="67" t="str">
        <f>'5.Tiên lượng'!C173</f>
        <v>AB.25114</v>
      </c>
      <c r="C93" s="67" t="str">
        <f>'5.Tiên lượng'!D173</f>
        <v>Đào móng bằng máy đào 0,8m3, chiều rộng móng ≤6m - Cấp đất IV</v>
      </c>
      <c r="D93" s="66" t="str">
        <f>'5.Tiên lượng'!E173</f>
        <v>100m3</v>
      </c>
      <c r="E93" s="68">
        <f>'5.Tiên lượng'!M173</f>
        <v>4.8999999999999998E-3</v>
      </c>
      <c r="F93" s="68"/>
      <c r="G93" s="68"/>
      <c r="H93" s="68"/>
      <c r="I93" s="71"/>
      <c r="J93" s="71">
        <f>'6.Chiết tính'!J1383</f>
        <v>3435410.5347455791</v>
      </c>
      <c r="K93" s="71"/>
      <c r="L93" s="71">
        <f t="shared" si="0"/>
        <v>16833.511620253335</v>
      </c>
      <c r="M93" s="71"/>
      <c r="N93" s="71">
        <f t="shared" si="1"/>
        <v>0</v>
      </c>
      <c r="O93" s="71">
        <f t="shared" si="2"/>
        <v>0</v>
      </c>
      <c r="P93" s="67">
        <f t="shared" si="3"/>
        <v>0</v>
      </c>
      <c r="Q93" s="67"/>
    </row>
    <row r="94" spans="1:17" ht="14.1" customHeight="1">
      <c r="A94" s="66">
        <v>76</v>
      </c>
      <c r="B94" s="67" t="str">
        <f>'5.Tiên lượng'!C175</f>
        <v>AB.65130</v>
      </c>
      <c r="C94" s="67" t="str">
        <f>'5.Tiên lượng'!D175</f>
        <v>Đắp đất bằng đầm đất cầm tay 70kg, độ chặt Y/C K = 0,95</v>
      </c>
      <c r="D94" s="66" t="str">
        <f>'5.Tiên lượng'!E175</f>
        <v>100m3</v>
      </c>
      <c r="E94" s="68">
        <f>'5.Tiên lượng'!M175</f>
        <v>0.31850000000000001</v>
      </c>
      <c r="F94" s="68"/>
      <c r="G94" s="68"/>
      <c r="H94" s="68"/>
      <c r="I94" s="71"/>
      <c r="J94" s="71">
        <f>'6.Chiết tính'!J1398</f>
        <v>4239768.0782873435</v>
      </c>
      <c r="K94" s="71"/>
      <c r="L94" s="71">
        <f t="shared" si="0"/>
        <v>1350366.1329345189</v>
      </c>
      <c r="M94" s="71"/>
      <c r="N94" s="71">
        <f t="shared" si="1"/>
        <v>0</v>
      </c>
      <c r="O94" s="71">
        <f t="shared" si="2"/>
        <v>0</v>
      </c>
      <c r="P94" s="67">
        <f t="shared" si="3"/>
        <v>0</v>
      </c>
      <c r="Q94" s="67"/>
    </row>
    <row r="95" spans="1:17" ht="14.1" customHeight="1">
      <c r="A95" s="66">
        <v>77</v>
      </c>
      <c r="B95" s="67" t="str">
        <f>'5.Tiên lượng'!C178</f>
        <v>AE.12314</v>
      </c>
      <c r="C95" s="67" t="str">
        <f>'5.Tiên lượng'!D178</f>
        <v>Xây cống, vữa XM M100, PCB40</v>
      </c>
      <c r="D95" s="66" t="str">
        <f>'5.Tiên lượng'!E178</f>
        <v>m3</v>
      </c>
      <c r="E95" s="68">
        <f>'5.Tiên lượng'!M178</f>
        <v>41.57</v>
      </c>
      <c r="F95" s="68"/>
      <c r="G95" s="68"/>
      <c r="H95" s="68"/>
      <c r="I95" s="71"/>
      <c r="J95" s="71">
        <f>'6.Chiết tính'!J1420</f>
        <v>2319054.5397722023</v>
      </c>
      <c r="K95" s="71"/>
      <c r="L95" s="71">
        <f t="shared" si="0"/>
        <v>96403097.218330443</v>
      </c>
      <c r="M95" s="71"/>
      <c r="N95" s="71">
        <f t="shared" si="1"/>
        <v>0</v>
      </c>
      <c r="O95" s="71">
        <f t="shared" si="2"/>
        <v>0</v>
      </c>
      <c r="P95" s="67">
        <f t="shared" si="3"/>
        <v>0</v>
      </c>
      <c r="Q95" s="67"/>
    </row>
    <row r="96" spans="1:17" ht="14.1" customHeight="1">
      <c r="A96" s="66">
        <v>78</v>
      </c>
      <c r="B96" s="67" t="str">
        <f>'5.Tiên lượng'!C179</f>
        <v>AK.98110</v>
      </c>
      <c r="C96" s="67" t="str">
        <f>'5.Tiên lượng'!D179</f>
        <v>Đá dăm đệm móng, đá (2x4)cm, dày 5cm</v>
      </c>
      <c r="D96" s="66" t="str">
        <f>'5.Tiên lượng'!E179</f>
        <v>m3</v>
      </c>
      <c r="E96" s="68">
        <f>'5.Tiên lượng'!M179</f>
        <v>5.35</v>
      </c>
      <c r="F96" s="68"/>
      <c r="G96" s="68"/>
      <c r="H96" s="68"/>
      <c r="I96" s="71"/>
      <c r="J96" s="71">
        <f>'6.Chiết tính'!J1436</f>
        <v>1084234.8454592994</v>
      </c>
      <c r="K96" s="71"/>
      <c r="L96" s="71">
        <f t="shared" si="0"/>
        <v>5800656.4232072514</v>
      </c>
      <c r="M96" s="71"/>
      <c r="N96" s="71">
        <f t="shared" si="1"/>
        <v>0</v>
      </c>
      <c r="O96" s="71">
        <f t="shared" si="2"/>
        <v>0</v>
      </c>
      <c r="P96" s="67">
        <f t="shared" si="3"/>
        <v>0</v>
      </c>
      <c r="Q96" s="67"/>
    </row>
    <row r="97" spans="1:17" ht="14.1" customHeight="1">
      <c r="A97" s="66">
        <v>79</v>
      </c>
      <c r="B97" s="67" t="str">
        <f>'5.Tiên lượng'!C180</f>
        <v>BB.11211VD</v>
      </c>
      <c r="C97" s="67" t="str">
        <f>'5.Tiên lượng'!D180</f>
        <v>Lắp đặt ống bê tông bằng cần cẩu, đoạn ống dài 1m - Đường kính 400mm</v>
      </c>
      <c r="D97" s="66" t="str">
        <f>'5.Tiên lượng'!E180</f>
        <v>1 đoạn ống</v>
      </c>
      <c r="E97" s="68">
        <f>'5.Tiên lượng'!M180</f>
        <v>3</v>
      </c>
      <c r="F97" s="68"/>
      <c r="G97" s="68"/>
      <c r="H97" s="68"/>
      <c r="I97" s="71"/>
      <c r="J97" s="71">
        <f>'6.Chiết tính'!J1454</f>
        <v>688729.04656374955</v>
      </c>
      <c r="K97" s="71"/>
      <c r="L97" s="71">
        <f t="shared" si="0"/>
        <v>2066187.1396912485</v>
      </c>
      <c r="M97" s="71"/>
      <c r="N97" s="71">
        <f t="shared" si="1"/>
        <v>0</v>
      </c>
      <c r="O97" s="71">
        <f t="shared" si="2"/>
        <v>0</v>
      </c>
      <c r="P97" s="67">
        <f t="shared" si="3"/>
        <v>0</v>
      </c>
      <c r="Q97" s="67"/>
    </row>
    <row r="98" spans="1:17" ht="14.1" customHeight="1">
      <c r="A98" s="66">
        <v>80</v>
      </c>
      <c r="B98" s="67" t="str">
        <f>'5.Tiên lượng'!C181</f>
        <v>BB.11221VD</v>
      </c>
      <c r="C98" s="67" t="str">
        <f>'5.Tiên lượng'!D181</f>
        <v>Lắp đặt ống bê tông bằng cần cẩu, đoạn ống dài 2m - Đường kính 400mm</v>
      </c>
      <c r="D98" s="66" t="str">
        <f>'5.Tiên lượng'!E181</f>
        <v>1 đoạn ống</v>
      </c>
      <c r="E98" s="68">
        <f>'5.Tiên lượng'!M181</f>
        <v>15</v>
      </c>
      <c r="F98" s="68"/>
      <c r="G98" s="68"/>
      <c r="H98" s="68"/>
      <c r="I98" s="71"/>
      <c r="J98" s="71">
        <f>'6.Chiết tính'!J1472</f>
        <v>1279158.4824463467</v>
      </c>
      <c r="K98" s="71"/>
      <c r="L98" s="71">
        <f t="shared" si="0"/>
        <v>19187377.2366952</v>
      </c>
      <c r="M98" s="71"/>
      <c r="N98" s="71">
        <f t="shared" si="1"/>
        <v>0</v>
      </c>
      <c r="O98" s="71">
        <f t="shared" si="2"/>
        <v>0</v>
      </c>
      <c r="P98" s="67">
        <f t="shared" si="3"/>
        <v>0</v>
      </c>
      <c r="Q98" s="67"/>
    </row>
    <row r="99" spans="1:17" ht="14.1" customHeight="1">
      <c r="A99" s="66">
        <v>81</v>
      </c>
      <c r="B99" s="67" t="str">
        <f>'5.Tiên lượng'!C182</f>
        <v>BB.11211</v>
      </c>
      <c r="C99" s="67" t="str">
        <f>'5.Tiên lượng'!D182</f>
        <v>Lắp đặt ống bê tông bằng cần cẩu, đoạn ống dài 1m - Đường kính 600mm</v>
      </c>
      <c r="D99" s="66" t="str">
        <f>'5.Tiên lượng'!E182</f>
        <v>1 đoạn ống</v>
      </c>
      <c r="E99" s="68">
        <f>'5.Tiên lượng'!M182</f>
        <v>1</v>
      </c>
      <c r="F99" s="68"/>
      <c r="G99" s="68"/>
      <c r="H99" s="68"/>
      <c r="I99" s="71"/>
      <c r="J99" s="71">
        <f>'6.Chiết tính'!J1490</f>
        <v>900151.21862849512</v>
      </c>
      <c r="K99" s="71"/>
      <c r="L99" s="71">
        <f t="shared" si="0"/>
        <v>900151.21862849512</v>
      </c>
      <c r="M99" s="71"/>
      <c r="N99" s="71">
        <f t="shared" si="1"/>
        <v>0</v>
      </c>
      <c r="O99" s="71">
        <f t="shared" si="2"/>
        <v>0</v>
      </c>
      <c r="P99" s="67">
        <f t="shared" si="3"/>
        <v>0</v>
      </c>
      <c r="Q99" s="67"/>
    </row>
    <row r="100" spans="1:17" ht="14.1" customHeight="1">
      <c r="A100" s="66">
        <v>82</v>
      </c>
      <c r="B100" s="67" t="str">
        <f>'5.Tiên lượng'!C183</f>
        <v>BB.11221</v>
      </c>
      <c r="C100" s="67" t="str">
        <f>'5.Tiên lượng'!D183</f>
        <v>Lắp đặt ống bê tông bằng cần cẩu, đoạn ống dài 2m - Đường kính 600mm</v>
      </c>
      <c r="D100" s="66" t="str">
        <f>'5.Tiên lượng'!E183</f>
        <v>1 đoạn ống</v>
      </c>
      <c r="E100" s="68">
        <f>'5.Tiên lượng'!M183</f>
        <v>1</v>
      </c>
      <c r="F100" s="68"/>
      <c r="G100" s="68"/>
      <c r="H100" s="68"/>
      <c r="I100" s="71"/>
      <c r="J100" s="71">
        <f>'6.Chiết tính'!J1508</f>
        <v>1699298.2312846296</v>
      </c>
      <c r="K100" s="71"/>
      <c r="L100" s="71">
        <f t="shared" si="0"/>
        <v>1699298.2312846296</v>
      </c>
      <c r="M100" s="71"/>
      <c r="N100" s="71">
        <f t="shared" si="1"/>
        <v>0</v>
      </c>
      <c r="O100" s="71">
        <f t="shared" si="2"/>
        <v>0</v>
      </c>
      <c r="P100" s="67">
        <f t="shared" si="3"/>
        <v>0</v>
      </c>
      <c r="Q100" s="67"/>
    </row>
    <row r="101" spans="1:17" ht="14.1" customHeight="1">
      <c r="A101" s="66">
        <v>83</v>
      </c>
      <c r="B101" s="67" t="str">
        <f>'5.Tiên lượng'!C184</f>
        <v>BB.11222VD</v>
      </c>
      <c r="C101" s="67" t="str">
        <f>'5.Tiên lượng'!D184</f>
        <v>Lắp đặt ống bê tông bằng cần cẩu, đoạn ống dài 2m - Đường kính 800mm</v>
      </c>
      <c r="D101" s="66" t="str">
        <f>'5.Tiên lượng'!E184</f>
        <v>1 đoạn ống</v>
      </c>
      <c r="E101" s="68">
        <f>'5.Tiên lượng'!M184</f>
        <v>1</v>
      </c>
      <c r="F101" s="68"/>
      <c r="G101" s="68"/>
      <c r="H101" s="68"/>
      <c r="I101" s="71"/>
      <c r="J101" s="71">
        <f>'6.Chiết tính'!J1526</f>
        <v>2849756.7080540415</v>
      </c>
      <c r="K101" s="71"/>
      <c r="L101" s="71">
        <f t="shared" si="0"/>
        <v>2849756.7080540415</v>
      </c>
      <c r="M101" s="71"/>
      <c r="N101" s="71">
        <f t="shared" si="1"/>
        <v>0</v>
      </c>
      <c r="O101" s="71">
        <f t="shared" si="2"/>
        <v>0</v>
      </c>
      <c r="P101" s="67">
        <f t="shared" si="3"/>
        <v>0</v>
      </c>
      <c r="Q101" s="67"/>
    </row>
    <row r="102" spans="1:17" ht="14.1" customHeight="1">
      <c r="A102" s="66">
        <v>84</v>
      </c>
      <c r="B102" s="67" t="str">
        <f>'5.Tiên lượng'!C185</f>
        <v>BB.13503</v>
      </c>
      <c r="C102" s="67" t="str">
        <f>'5.Tiên lượng'!D185</f>
        <v>Nối ống bê tông bằng phương pháp xảm - Đường kính 400mm</v>
      </c>
      <c r="D102" s="66" t="str">
        <f>'5.Tiên lượng'!E185</f>
        <v>mối nối</v>
      </c>
      <c r="E102" s="68">
        <f>'5.Tiên lượng'!M185</f>
        <v>13</v>
      </c>
      <c r="F102" s="68"/>
      <c r="G102" s="68"/>
      <c r="H102" s="68"/>
      <c r="I102" s="71"/>
      <c r="J102" s="71">
        <f>'6.Chiết tính'!J1543</f>
        <v>43675.958085325008</v>
      </c>
      <c r="K102" s="71"/>
      <c r="L102" s="71">
        <f t="shared" si="0"/>
        <v>567787.45510922512</v>
      </c>
      <c r="M102" s="71"/>
      <c r="N102" s="71">
        <f t="shared" si="1"/>
        <v>0</v>
      </c>
      <c r="O102" s="71">
        <f t="shared" si="2"/>
        <v>0</v>
      </c>
      <c r="P102" s="67">
        <f t="shared" si="3"/>
        <v>0</v>
      </c>
      <c r="Q102" s="67"/>
    </row>
    <row r="103" spans="1:17" ht="14.1" customHeight="1">
      <c r="A103" s="66">
        <v>85</v>
      </c>
      <c r="B103" s="67" t="str">
        <f>'5.Tiên lượng'!C186</f>
        <v>BB.13505</v>
      </c>
      <c r="C103" s="67" t="str">
        <f>'5.Tiên lượng'!D186</f>
        <v>Nối ống bê tông bằng phương pháp xảm - Đường kính 600mm</v>
      </c>
      <c r="D103" s="66" t="str">
        <f>'5.Tiên lượng'!E186</f>
        <v>mối nối</v>
      </c>
      <c r="E103" s="68">
        <f>'5.Tiên lượng'!M186</f>
        <v>2</v>
      </c>
      <c r="F103" s="68"/>
      <c r="G103" s="68"/>
      <c r="H103" s="68"/>
      <c r="I103" s="71"/>
      <c r="J103" s="71">
        <f>'6.Chiết tính'!J1560</f>
        <v>63776.130727987525</v>
      </c>
      <c r="K103" s="71"/>
      <c r="L103" s="71">
        <f t="shared" si="0"/>
        <v>127552.26145597505</v>
      </c>
      <c r="M103" s="71"/>
      <c r="N103" s="71">
        <f t="shared" si="1"/>
        <v>0</v>
      </c>
      <c r="O103" s="71">
        <f t="shared" si="2"/>
        <v>0</v>
      </c>
      <c r="P103" s="67">
        <f t="shared" si="3"/>
        <v>0</v>
      </c>
      <c r="Q103" s="67"/>
    </row>
    <row r="104" spans="1:17" ht="14.1" customHeight="1">
      <c r="A104" s="66">
        <v>86</v>
      </c>
      <c r="B104" s="67" t="str">
        <f>'5.Tiên lượng'!C187</f>
        <v>BB.13507</v>
      </c>
      <c r="C104" s="67" t="str">
        <f>'5.Tiên lượng'!D187</f>
        <v>Nối ống bê tông bằng phương pháp xảm - Đường kính 800mm</v>
      </c>
      <c r="D104" s="66" t="str">
        <f>'5.Tiên lượng'!E187</f>
        <v>mối nối</v>
      </c>
      <c r="E104" s="68">
        <f>'5.Tiên lượng'!M187</f>
        <v>1</v>
      </c>
      <c r="F104" s="68"/>
      <c r="G104" s="68"/>
      <c r="H104" s="68"/>
      <c r="I104" s="71"/>
      <c r="J104" s="71">
        <f>'6.Chiết tính'!J1577</f>
        <v>87158.237375566838</v>
      </c>
      <c r="K104" s="71"/>
      <c r="L104" s="71">
        <f t="shared" si="0"/>
        <v>87158.237375566838</v>
      </c>
      <c r="M104" s="71"/>
      <c r="N104" s="71">
        <f t="shared" si="1"/>
        <v>0</v>
      </c>
      <c r="O104" s="71">
        <f t="shared" si="2"/>
        <v>0</v>
      </c>
      <c r="P104" s="67">
        <f t="shared" si="3"/>
        <v>0</v>
      </c>
      <c r="Q104" s="67"/>
    </row>
    <row r="105" spans="1:17" ht="14.1" customHeight="1">
      <c r="A105" s="66">
        <v>87</v>
      </c>
      <c r="B105" s="67" t="str">
        <f>'5.Tiên lượng'!C188</f>
        <v>BB.33011</v>
      </c>
      <c r="C105" s="67" t="str">
        <f>'5.Tiên lượng'!D188</f>
        <v>Khối xây gia cố bằng đá hộc - Chiều dày ≤60cm, vữa XM M100, PCB40</v>
      </c>
      <c r="D105" s="66" t="str">
        <f>'5.Tiên lượng'!E188</f>
        <v>100m</v>
      </c>
      <c r="E105" s="68">
        <f>'5.Tiên lượng'!M188</f>
        <v>8.199999999999999E-2</v>
      </c>
      <c r="F105" s="68"/>
      <c r="G105" s="68"/>
      <c r="H105" s="68"/>
      <c r="I105" s="71"/>
      <c r="J105" s="71">
        <f>'6.Chiết tính'!J1594</f>
        <v>65961932.638888448</v>
      </c>
      <c r="K105" s="71"/>
      <c r="L105" s="71">
        <f t="shared" si="0"/>
        <v>5408878.4763888521</v>
      </c>
      <c r="M105" s="71"/>
      <c r="N105" s="71">
        <f t="shared" si="1"/>
        <v>0</v>
      </c>
      <c r="O105" s="71">
        <f t="shared" si="2"/>
        <v>0</v>
      </c>
      <c r="P105" s="67">
        <f t="shared" si="3"/>
        <v>0</v>
      </c>
      <c r="Q105" s="67"/>
    </row>
    <row r="106" spans="1:17" ht="14.1" customHeight="1">
      <c r="A106" s="66">
        <v>88</v>
      </c>
      <c r="B106" s="67" t="str">
        <f>'5.Tiên lượng'!C190</f>
        <v>TT</v>
      </c>
      <c r="C106" s="67" t="str">
        <f>'5.Tiên lượng'!D190</f>
        <v>Tấm gỗ chắn nước</v>
      </c>
      <c r="D106" s="66" t="str">
        <f>'5.Tiên lượng'!E190</f>
        <v>m3</v>
      </c>
      <c r="E106" s="68">
        <f>'5.Tiên lượng'!M190</f>
        <v>0.01</v>
      </c>
      <c r="F106" s="68"/>
      <c r="G106" s="68"/>
      <c r="H106" s="68"/>
      <c r="I106" s="71"/>
      <c r="J106" s="71">
        <f>'6.Chiết tính'!J1608</f>
        <v>3661115.0775649846</v>
      </c>
      <c r="K106" s="71"/>
      <c r="L106" s="71">
        <f t="shared" si="0"/>
        <v>36611.150775649847</v>
      </c>
      <c r="M106" s="71"/>
      <c r="N106" s="71">
        <f t="shared" si="1"/>
        <v>0</v>
      </c>
      <c r="O106" s="71">
        <f t="shared" si="2"/>
        <v>0</v>
      </c>
      <c r="P106" s="67">
        <f t="shared" si="3"/>
        <v>0</v>
      </c>
      <c r="Q106" s="67"/>
    </row>
    <row r="107" spans="1:17" ht="14.1" customHeight="1">
      <c r="A107" s="66">
        <v>89</v>
      </c>
      <c r="B107" s="67" t="str">
        <f>'5.Tiên lượng'!C192</f>
        <v>AF.12151</v>
      </c>
      <c r="C107" s="67" t="str">
        <f>'5.Tiên lượng'!D192</f>
        <v>BTXM đầu cống - Chiều dày ≤45cm, chiều cao ≤6m, M150, đá 2x4, PCB40</v>
      </c>
      <c r="D107" s="66" t="str">
        <f>'5.Tiên lượng'!E192</f>
        <v>m3</v>
      </c>
      <c r="E107" s="68">
        <f>'5.Tiên lượng'!M192</f>
        <v>2.29</v>
      </c>
      <c r="F107" s="68"/>
      <c r="G107" s="68"/>
      <c r="H107" s="68"/>
      <c r="I107" s="71"/>
      <c r="J107" s="71">
        <f>'6.Chiết tính'!J1630</f>
        <v>2349472.3884105361</v>
      </c>
      <c r="K107" s="71"/>
      <c r="L107" s="71">
        <f t="shared" si="0"/>
        <v>5380291.7694601277</v>
      </c>
      <c r="M107" s="71"/>
      <c r="N107" s="71">
        <f t="shared" si="1"/>
        <v>0</v>
      </c>
      <c r="O107" s="71">
        <f t="shared" si="2"/>
        <v>0</v>
      </c>
      <c r="P107" s="67">
        <f t="shared" si="3"/>
        <v>0</v>
      </c>
      <c r="Q107" s="67"/>
    </row>
    <row r="108" spans="1:17" ht="14.1" customHeight="1">
      <c r="A108" s="66">
        <v>90</v>
      </c>
      <c r="B108" s="67" t="str">
        <f>'5.Tiên lượng'!C193</f>
        <v>AF.12152</v>
      </c>
      <c r="C108" s="67" t="str">
        <f>'5.Tiên lượng'!D193</f>
        <v>BTXM thân cống - Chiều dày ≤45cm, chiều cao ≤6m, M200, đá 2x4, PCB40</v>
      </c>
      <c r="D108" s="66" t="str">
        <f>'5.Tiên lượng'!E193</f>
        <v>m3</v>
      </c>
      <c r="E108" s="68">
        <f>'5.Tiên lượng'!M193</f>
        <v>1.0900000000000001</v>
      </c>
      <c r="F108" s="68"/>
      <c r="G108" s="68"/>
      <c r="H108" s="68"/>
      <c r="I108" s="71"/>
      <c r="J108" s="71">
        <f>'6.Chiết tính'!J1651</f>
        <v>2428728.4722722042</v>
      </c>
      <c r="K108" s="71"/>
      <c r="L108" s="71">
        <f t="shared" si="0"/>
        <v>2647314.034776703</v>
      </c>
      <c r="M108" s="71"/>
      <c r="N108" s="71">
        <f t="shared" si="1"/>
        <v>0</v>
      </c>
      <c r="O108" s="71">
        <f t="shared" si="2"/>
        <v>0</v>
      </c>
      <c r="P108" s="67">
        <f t="shared" si="3"/>
        <v>0</v>
      </c>
      <c r="Q108" s="67"/>
    </row>
    <row r="109" spans="1:17" ht="14.1" customHeight="1">
      <c r="A109" s="66">
        <v>91</v>
      </c>
      <c r="B109" s="67" t="str">
        <f>'5.Tiên lượng'!C194</f>
        <v>AF.11231</v>
      </c>
      <c r="C109" s="67" t="str">
        <f>'5.Tiên lượng'!D194</f>
        <v>BTXM móng cống, M150, đá 2x4, PCB40</v>
      </c>
      <c r="D109" s="66" t="str">
        <f>'5.Tiên lượng'!E194</f>
        <v>m3</v>
      </c>
      <c r="E109" s="68">
        <f>'5.Tiên lượng'!M194</f>
        <v>4.38</v>
      </c>
      <c r="F109" s="68"/>
      <c r="G109" s="68"/>
      <c r="H109" s="68"/>
      <c r="I109" s="71"/>
      <c r="J109" s="71">
        <f>'6.Chiết tính'!J1672</f>
        <v>1789501.4158042176</v>
      </c>
      <c r="K109" s="71"/>
      <c r="L109" s="71">
        <f t="shared" si="0"/>
        <v>7838016.2012224728</v>
      </c>
      <c r="M109" s="71"/>
      <c r="N109" s="71">
        <f t="shared" si="1"/>
        <v>0</v>
      </c>
      <c r="O109" s="71">
        <f t="shared" si="2"/>
        <v>0</v>
      </c>
      <c r="P109" s="67">
        <f t="shared" si="3"/>
        <v>0</v>
      </c>
      <c r="Q109" s="67"/>
    </row>
    <row r="110" spans="1:17" ht="14.1" customHeight="1">
      <c r="A110" s="66">
        <v>92</v>
      </c>
      <c r="B110" s="67" t="str">
        <f>'5.Tiên lượng'!C195</f>
        <v>AG.11413</v>
      </c>
      <c r="C110" s="67" t="str">
        <f>'5.Tiên lượng'!D195</f>
        <v>BTCT tấm bản mặt, M250, đá 1x2, PCB40 - Đổ bê tông đúc sẵn bằng thủ công (vữa bê tông sản xuất bằng máy trộn)</v>
      </c>
      <c r="D110" s="66" t="str">
        <f>'5.Tiên lượng'!E195</f>
        <v>m3</v>
      </c>
      <c r="E110" s="68">
        <f>'5.Tiên lượng'!M195</f>
        <v>1.23</v>
      </c>
      <c r="F110" s="68"/>
      <c r="G110" s="68"/>
      <c r="H110" s="68"/>
      <c r="I110" s="71"/>
      <c r="J110" s="71">
        <f>'6.Chiết tính'!J1692</f>
        <v>2160840.0048695421</v>
      </c>
      <c r="K110" s="71"/>
      <c r="L110" s="71">
        <f t="shared" si="0"/>
        <v>2657833.2059895368</v>
      </c>
      <c r="M110" s="71"/>
      <c r="N110" s="71">
        <f t="shared" si="1"/>
        <v>0</v>
      </c>
      <c r="O110" s="71">
        <f t="shared" si="2"/>
        <v>0</v>
      </c>
      <c r="P110" s="67">
        <f t="shared" si="3"/>
        <v>0</v>
      </c>
      <c r="Q110" s="67"/>
    </row>
    <row r="111" spans="1:17" ht="14.1" customHeight="1">
      <c r="A111" s="66">
        <v>93</v>
      </c>
      <c r="B111" s="67" t="str">
        <f>'5.Tiên lượng'!C196</f>
        <v>AG.41610</v>
      </c>
      <c r="C111" s="67" t="str">
        <f>'5.Tiên lượng'!D196</f>
        <v>Lắp đặt tấm bản mặt bằng cần cẩu</v>
      </c>
      <c r="D111" s="66" t="str">
        <f>'5.Tiên lượng'!E196</f>
        <v>1cấu kiện</v>
      </c>
      <c r="E111" s="68">
        <f>'5.Tiên lượng'!M196</f>
        <v>8</v>
      </c>
      <c r="F111" s="68"/>
      <c r="G111" s="68"/>
      <c r="H111" s="68"/>
      <c r="I111" s="71"/>
      <c r="J111" s="71">
        <f>'6.Chiết tính'!J1707</f>
        <v>81314.89770518399</v>
      </c>
      <c r="K111" s="71"/>
      <c r="L111" s="71">
        <f t="shared" si="0"/>
        <v>650519.18164147192</v>
      </c>
      <c r="M111" s="71"/>
      <c r="N111" s="71">
        <f t="shared" si="1"/>
        <v>0</v>
      </c>
      <c r="O111" s="71">
        <f t="shared" si="2"/>
        <v>0</v>
      </c>
      <c r="P111" s="67">
        <f t="shared" si="3"/>
        <v>0</v>
      </c>
      <c r="Q111" s="67"/>
    </row>
    <row r="112" spans="1:17" ht="14.1" customHeight="1">
      <c r="A112" s="66">
        <v>94</v>
      </c>
      <c r="B112" s="67" t="str">
        <f>'5.Tiên lượng'!C197</f>
        <v>AF.14232</v>
      </c>
      <c r="C112" s="67" t="str">
        <f>'5.Tiên lượng'!D197</f>
        <v>BTCT mũ mố, M200, đá 2x4, PCB40</v>
      </c>
      <c r="D112" s="66" t="str">
        <f>'5.Tiên lượng'!E197</f>
        <v>m3</v>
      </c>
      <c r="E112" s="68">
        <f>'5.Tiên lượng'!M197</f>
        <v>0.79</v>
      </c>
      <c r="F112" s="68"/>
      <c r="G112" s="68"/>
      <c r="H112" s="68"/>
      <c r="I112" s="71"/>
      <c r="J112" s="71">
        <f>'6.Chiết tính'!J1730</f>
        <v>2505966.1571947578</v>
      </c>
      <c r="K112" s="71"/>
      <c r="L112" s="71">
        <f t="shared" si="0"/>
        <v>1979713.2641838589</v>
      </c>
      <c r="M112" s="71"/>
      <c r="N112" s="71">
        <f t="shared" si="1"/>
        <v>0</v>
      </c>
      <c r="O112" s="71">
        <f t="shared" si="2"/>
        <v>0</v>
      </c>
      <c r="P112" s="67">
        <f t="shared" si="3"/>
        <v>0</v>
      </c>
      <c r="Q112" s="67"/>
    </row>
    <row r="113" spans="1:18" ht="14.1" customHeight="1">
      <c r="A113" s="66">
        <v>95</v>
      </c>
      <c r="B113" s="67" t="str">
        <f>'5.Tiên lượng'!C198</f>
        <v>AG.13231</v>
      </c>
      <c r="C113" s="67" t="str">
        <f>'5.Tiên lượng'!D198</f>
        <v>Cốt thép tấm bản mặt</v>
      </c>
      <c r="D113" s="66" t="str">
        <f>'5.Tiên lượng'!E198</f>
        <v>tấn</v>
      </c>
      <c r="E113" s="68">
        <f>'5.Tiên lượng'!M198</f>
        <v>0.20314999999999997</v>
      </c>
      <c r="F113" s="68"/>
      <c r="G113" s="68"/>
      <c r="H113" s="68"/>
      <c r="I113" s="71"/>
      <c r="J113" s="71">
        <f>'6.Chiết tính'!J1747</f>
        <v>29301812.934146743</v>
      </c>
      <c r="K113" s="71"/>
      <c r="L113" s="71">
        <f t="shared" si="0"/>
        <v>5952663.2975719096</v>
      </c>
      <c r="M113" s="71"/>
      <c r="N113" s="71">
        <f t="shared" si="1"/>
        <v>0</v>
      </c>
      <c r="O113" s="71">
        <f t="shared" si="2"/>
        <v>0</v>
      </c>
      <c r="P113" s="67">
        <f t="shared" si="3"/>
        <v>0</v>
      </c>
      <c r="Q113" s="67"/>
    </row>
    <row r="114" spans="1:18" ht="14.1" customHeight="1">
      <c r="A114" s="66">
        <v>96</v>
      </c>
      <c r="B114" s="67" t="str">
        <f>'5.Tiên lượng'!C200</f>
        <v>AG.32511</v>
      </c>
      <c r="C114" s="67" t="str">
        <f>'5.Tiên lượng'!D200</f>
        <v>Ván khuôn thép tấm bản</v>
      </c>
      <c r="D114" s="66" t="str">
        <f>'5.Tiên lượng'!E200</f>
        <v>100m2</v>
      </c>
      <c r="E114" s="68">
        <f>'5.Tiên lượng'!M200</f>
        <v>6.0100000000000001E-2</v>
      </c>
      <c r="F114" s="68"/>
      <c r="G114" s="68"/>
      <c r="H114" s="68"/>
      <c r="I114" s="71"/>
      <c r="J114" s="71">
        <f>'6.Chiết tính'!J1767</f>
        <v>9799038.0184733067</v>
      </c>
      <c r="K114" s="71"/>
      <c r="L114" s="71">
        <f t="shared" si="0"/>
        <v>588922.18491024571</v>
      </c>
      <c r="M114" s="71"/>
      <c r="N114" s="71">
        <f t="shared" si="1"/>
        <v>0</v>
      </c>
      <c r="O114" s="71">
        <f t="shared" si="2"/>
        <v>0</v>
      </c>
      <c r="P114" s="67">
        <f t="shared" si="3"/>
        <v>0</v>
      </c>
      <c r="Q114" s="67"/>
    </row>
    <row r="115" spans="1:18" ht="14.1" customHeight="1">
      <c r="A115" s="66">
        <v>97</v>
      </c>
      <c r="B115" s="67" t="str">
        <f>'5.Tiên lượng'!C202</f>
        <v>AF.82511</v>
      </c>
      <c r="C115" s="67" t="str">
        <f>'5.Tiên lượng'!D202</f>
        <v>Ván khuôn thép cống</v>
      </c>
      <c r="D115" s="66" t="str">
        <f>'5.Tiên lượng'!E202</f>
        <v>100m2</v>
      </c>
      <c r="E115" s="68">
        <f>'5.Tiên lượng'!M202</f>
        <v>0.27440000000000003</v>
      </c>
      <c r="F115" s="68"/>
      <c r="G115" s="68"/>
      <c r="H115" s="68"/>
      <c r="I115" s="71"/>
      <c r="J115" s="71">
        <f>'6.Chiết tính'!J1787</f>
        <v>7171231.0739318607</v>
      </c>
      <c r="K115" s="71"/>
      <c r="L115" s="71">
        <f t="shared" si="0"/>
        <v>1967785.8066869029</v>
      </c>
      <c r="M115" s="71"/>
      <c r="N115" s="71">
        <f t="shared" si="1"/>
        <v>0</v>
      </c>
      <c r="O115" s="71">
        <f t="shared" si="2"/>
        <v>0</v>
      </c>
      <c r="P115" s="67">
        <f t="shared" si="3"/>
        <v>0</v>
      </c>
      <c r="Q115" s="67"/>
    </row>
    <row r="116" spans="1:18" ht="14.1" customHeight="1">
      <c r="A116" s="66">
        <v>98</v>
      </c>
      <c r="B116" s="67" t="str">
        <f>'5.Tiên lượng'!C204</f>
        <v>AG.41610</v>
      </c>
      <c r="C116" s="67" t="str">
        <f>'5.Tiên lượng'!D204</f>
        <v>Tháo dỡ tấm bản mặt cầu cũ bằng cần cẩu</v>
      </c>
      <c r="D116" s="66" t="str">
        <f>'5.Tiên lượng'!E204</f>
        <v>1cấu kiện</v>
      </c>
      <c r="E116" s="68">
        <f>'5.Tiên lượng'!M204</f>
        <v>3</v>
      </c>
      <c r="F116" s="68"/>
      <c r="G116" s="68"/>
      <c r="H116" s="68"/>
      <c r="I116" s="71"/>
      <c r="J116" s="71">
        <f>'6.Chiết tính'!J1802</f>
        <v>24394.469311555196</v>
      </c>
      <c r="K116" s="71"/>
      <c r="L116" s="71">
        <f t="shared" si="0"/>
        <v>73183.407934665593</v>
      </c>
      <c r="M116" s="71"/>
      <c r="N116" s="71">
        <f t="shared" si="1"/>
        <v>0</v>
      </c>
      <c r="O116" s="71">
        <f t="shared" si="2"/>
        <v>0</v>
      </c>
      <c r="P116" s="67">
        <f t="shared" si="3"/>
        <v>0</v>
      </c>
      <c r="Q116" s="67"/>
    </row>
    <row r="117" spans="1:18" ht="14.1" customHeight="1">
      <c r="A117" s="66">
        <v>99</v>
      </c>
      <c r="B117" s="67" t="str">
        <f>'5.Tiên lượng'!C205</f>
        <v>BB.11211VD</v>
      </c>
      <c r="C117" s="67" t="str">
        <f>'5.Tiên lượng'!D205</f>
        <v>Tháo dỡ ống bê tông bằng cần cẩu, đoạn ống dài 1m - Đường kính 400mm</v>
      </c>
      <c r="D117" s="66" t="str">
        <f>'5.Tiên lượng'!E205</f>
        <v>1 đoạn ống</v>
      </c>
      <c r="E117" s="68">
        <f>'5.Tiên lượng'!M205</f>
        <v>5</v>
      </c>
      <c r="F117" s="68"/>
      <c r="G117" s="68"/>
      <c r="H117" s="68"/>
      <c r="I117" s="71"/>
      <c r="J117" s="71">
        <f>'6.Chiết tính'!J1818</f>
        <v>170972.88524459087</v>
      </c>
      <c r="K117" s="71"/>
      <c r="L117" s="71">
        <f t="shared" si="0"/>
        <v>854864.42622295441</v>
      </c>
      <c r="M117" s="71"/>
      <c r="N117" s="71">
        <f t="shared" si="1"/>
        <v>0</v>
      </c>
      <c r="O117" s="71">
        <f t="shared" si="2"/>
        <v>0</v>
      </c>
      <c r="P117" s="67">
        <f t="shared" si="3"/>
        <v>0</v>
      </c>
      <c r="Q117" s="67"/>
    </row>
    <row r="118" spans="1:18" ht="14.1" customHeight="1">
      <c r="A118" s="66">
        <v>100</v>
      </c>
      <c r="B118" s="67" t="str">
        <f>'5.Tiên lượng'!C206</f>
        <v>AA.22121</v>
      </c>
      <c r="C118" s="67" t="str">
        <f>'5.Tiên lượng'!D206</f>
        <v>Phá dỡ kết cấu gạch đá bằng búa căn khí nén 3m3/ph</v>
      </c>
      <c r="D118" s="66" t="str">
        <f>'5.Tiên lượng'!E206</f>
        <v>m3</v>
      </c>
      <c r="E118" s="68">
        <f>'5.Tiên lượng'!M206</f>
        <v>2.1</v>
      </c>
      <c r="F118" s="68"/>
      <c r="G118" s="68"/>
      <c r="H118" s="68"/>
      <c r="I118" s="71"/>
      <c r="J118" s="71">
        <f>'6.Chiết tính'!J1834</f>
        <v>174761.56949503999</v>
      </c>
      <c r="K118" s="71"/>
      <c r="L118" s="71">
        <f t="shared" si="0"/>
        <v>366999.29593958397</v>
      </c>
      <c r="M118" s="71"/>
      <c r="N118" s="71">
        <f t="shared" si="1"/>
        <v>0</v>
      </c>
      <c r="O118" s="71">
        <f t="shared" si="2"/>
        <v>0</v>
      </c>
      <c r="P118" s="67">
        <f t="shared" si="3"/>
        <v>0</v>
      </c>
      <c r="Q118" s="67"/>
    </row>
    <row r="119" spans="1:18" ht="14.1" customHeight="1">
      <c r="A119" s="66">
        <v>101</v>
      </c>
      <c r="B119" s="67" t="str">
        <f>'5.Tiên lượng'!C209</f>
        <v>AB.41432</v>
      </c>
      <c r="C119" s="67" t="str">
        <f>'5.Tiên lượng'!D209</f>
        <v>Vận chuyển đất bằng ô tô tự đổ 10T, phạm vi ≤1000m - Cấp đất II</v>
      </c>
      <c r="D119" s="66" t="str">
        <f>'5.Tiên lượng'!E209</f>
        <v>100m3</v>
      </c>
      <c r="E119" s="68">
        <f>'5.Tiên lượng'!M209</f>
        <v>9.4894999999999996</v>
      </c>
      <c r="F119" s="68"/>
      <c r="G119" s="68"/>
      <c r="H119" s="68"/>
      <c r="I119" s="71"/>
      <c r="J119" s="71">
        <f>'6.Chiết tính'!J1848</f>
        <v>1954227.9053598745</v>
      </c>
      <c r="K119" s="71"/>
      <c r="L119" s="71">
        <f t="shared" si="0"/>
        <v>18544645.707912527</v>
      </c>
      <c r="M119" s="71"/>
      <c r="N119" s="71">
        <f t="shared" si="1"/>
        <v>0</v>
      </c>
      <c r="O119" s="71">
        <f t="shared" si="2"/>
        <v>0</v>
      </c>
      <c r="P119" s="67">
        <f t="shared" si="3"/>
        <v>0</v>
      </c>
      <c r="Q119" s="67"/>
    </row>
    <row r="120" spans="1:18" ht="14.7" customHeight="1">
      <c r="A120" s="66">
        <v>102</v>
      </c>
      <c r="B120" s="67" t="str">
        <f>'5.Tiên lượng'!C211</f>
        <v>AB.53431</v>
      </c>
      <c r="C120" s="67" t="str">
        <f>'5.Tiên lượng'!D211</f>
        <v>Vận chuyển đá sau nổ mìn bằng ô tô tự đổ 10T trong phạm vi ≤1000m</v>
      </c>
      <c r="D120" s="66" t="str">
        <f>'5.Tiên lượng'!E211</f>
        <v>100m3</v>
      </c>
      <c r="E120" s="68">
        <f>'5.Tiên lượng'!M211</f>
        <v>2.2446000000000002</v>
      </c>
      <c r="F120" s="68"/>
      <c r="G120" s="68"/>
      <c r="H120" s="68"/>
      <c r="I120" s="71"/>
      <c r="J120" s="71">
        <f>'6.Chiết tính'!J1862</f>
        <v>3651788.6866087639</v>
      </c>
      <c r="K120" s="71"/>
      <c r="L120" s="71">
        <f t="shared" si="0"/>
        <v>8196804.8859620318</v>
      </c>
      <c r="M120" s="71"/>
      <c r="N120" s="71">
        <f t="shared" si="1"/>
        <v>0</v>
      </c>
      <c r="O120" s="71">
        <f t="shared" si="2"/>
        <v>0</v>
      </c>
      <c r="P120" s="67">
        <f t="shared" si="3"/>
        <v>0</v>
      </c>
      <c r="Q120" s="67"/>
    </row>
    <row r="121" spans="1:18" ht="14.7" customHeight="1">
      <c r="A121" s="63"/>
      <c r="B121" s="64" t="s">
        <v>587</v>
      </c>
      <c r="C121" s="64" t="s">
        <v>85</v>
      </c>
      <c r="D121" s="63"/>
      <c r="E121" s="65"/>
      <c r="F121" s="65"/>
      <c r="G121" s="65"/>
      <c r="H121" s="65"/>
      <c r="I121" s="70"/>
      <c r="J121" s="70"/>
      <c r="K121" s="70"/>
      <c r="L121" s="70">
        <f t="shared" ref="L121:P121" si="4">SUM(L19:L120)</f>
        <v>6464667779.0517035</v>
      </c>
      <c r="M121" s="70">
        <f t="shared" si="4"/>
        <v>0</v>
      </c>
      <c r="N121" s="70">
        <f t="shared" si="4"/>
        <v>0</v>
      </c>
      <c r="O121" s="70">
        <f t="shared" si="4"/>
        <v>0</v>
      </c>
      <c r="P121" s="64">
        <f t="shared" si="4"/>
        <v>0</v>
      </c>
      <c r="Q121" s="64"/>
    </row>
    <row r="122" spans="1:18" ht="14.7" customHeight="1">
      <c r="A122" s="5" t="s">
        <v>1292</v>
      </c>
      <c r="B122" s="4"/>
      <c r="C122" s="4"/>
      <c r="D122" s="4"/>
      <c r="E122" s="4"/>
      <c r="F122" s="4"/>
      <c r="G122" s="4"/>
      <c r="H122" s="4"/>
      <c r="I122" s="4"/>
      <c r="J122" s="4"/>
      <c r="K122" s="4"/>
      <c r="L122" s="4"/>
      <c r="M122" s="4"/>
      <c r="N122" s="4"/>
      <c r="O122" s="4"/>
      <c r="P122" s="4"/>
      <c r="Q122" s="4"/>
      <c r="R122" s="72"/>
    </row>
    <row r="123" spans="1:18" ht="14.7" customHeight="1">
      <c r="A123" s="5" t="s">
        <v>1293</v>
      </c>
      <c r="B123" s="4"/>
      <c r="C123" s="4"/>
      <c r="D123" s="4"/>
      <c r="E123" s="4"/>
      <c r="F123" s="4"/>
      <c r="G123" s="4"/>
      <c r="H123" s="4"/>
      <c r="I123" s="4"/>
      <c r="J123" s="4"/>
      <c r="K123" s="4"/>
      <c r="L123" s="4"/>
      <c r="M123" s="4"/>
      <c r="N123" s="4"/>
      <c r="O123" s="4"/>
      <c r="P123" s="4"/>
      <c r="Q123" s="4"/>
      <c r="R123" s="72"/>
    </row>
    <row r="124" spans="1:18" ht="14.7" customHeight="1">
      <c r="A124" s="5" t="s">
        <v>1294</v>
      </c>
      <c r="B124" s="4"/>
      <c r="C124" s="4"/>
      <c r="D124" s="4"/>
      <c r="E124" s="4"/>
      <c r="F124" s="4"/>
      <c r="G124" s="4"/>
      <c r="H124" s="4"/>
      <c r="I124" s="4"/>
      <c r="J124" s="4"/>
      <c r="K124" s="4"/>
      <c r="L124" s="4"/>
      <c r="M124" s="4"/>
      <c r="N124" s="4"/>
      <c r="O124" s="4"/>
      <c r="P124" s="4"/>
      <c r="Q124" s="4"/>
      <c r="R124" s="72"/>
    </row>
    <row r="125" spans="1:18" ht="14.7" customHeight="1">
      <c r="A125" s="5" t="s">
        <v>1295</v>
      </c>
      <c r="B125" s="4"/>
      <c r="C125" s="4"/>
      <c r="D125" s="4"/>
      <c r="E125" s="4"/>
      <c r="F125" s="4"/>
      <c r="G125" s="4"/>
      <c r="H125" s="4"/>
      <c r="I125" s="4"/>
      <c r="J125" s="4"/>
      <c r="K125" s="4"/>
      <c r="L125" s="4"/>
      <c r="M125" s="4"/>
      <c r="N125" s="4"/>
      <c r="O125" s="4"/>
      <c r="P125" s="4"/>
      <c r="Q125" s="4"/>
      <c r="R125" s="72"/>
    </row>
    <row r="126" spans="1:18" ht="14.7" customHeight="1">
      <c r="A126" s="5" t="s">
        <v>1296</v>
      </c>
      <c r="B126" s="4"/>
      <c r="C126" s="4"/>
      <c r="D126" s="4"/>
      <c r="E126" s="4"/>
      <c r="F126" s="4"/>
      <c r="G126" s="4"/>
      <c r="H126" s="4"/>
      <c r="I126" s="4"/>
      <c r="J126" s="4"/>
      <c r="K126" s="4"/>
      <c r="L126" s="4"/>
      <c r="M126" s="4"/>
      <c r="N126" s="4"/>
      <c r="O126" s="4"/>
      <c r="P126" s="4"/>
      <c r="Q126" s="4"/>
      <c r="R126" s="72"/>
    </row>
    <row r="127" spans="1:18" ht="14.7" customHeight="1">
      <c r="A127" s="5" t="s">
        <v>1297</v>
      </c>
      <c r="B127" s="4"/>
      <c r="C127" s="4"/>
      <c r="D127" s="4"/>
      <c r="E127" s="4"/>
      <c r="F127" s="4"/>
      <c r="G127" s="4"/>
      <c r="H127" s="4"/>
      <c r="I127" s="4"/>
      <c r="J127" s="4"/>
      <c r="K127" s="4"/>
      <c r="L127" s="4"/>
      <c r="M127" s="4"/>
      <c r="N127" s="4"/>
      <c r="O127" s="4"/>
      <c r="P127" s="4"/>
      <c r="Q127" s="4"/>
      <c r="R127" s="72"/>
    </row>
    <row r="128" spans="1:18" ht="14.7" customHeight="1">
      <c r="A128" s="5" t="s">
        <v>1298</v>
      </c>
      <c r="B128" s="4"/>
      <c r="C128" s="4"/>
      <c r="D128" s="4"/>
      <c r="E128" s="4"/>
      <c r="F128" s="4"/>
      <c r="G128" s="4"/>
      <c r="H128" s="4"/>
      <c r="I128" s="4"/>
      <c r="J128" s="4"/>
      <c r="K128" s="4"/>
      <c r="L128" s="4"/>
      <c r="M128" s="4"/>
      <c r="N128" s="4"/>
      <c r="O128" s="4"/>
      <c r="P128" s="4"/>
      <c r="Q128" s="4"/>
      <c r="R128" s="72"/>
    </row>
    <row r="129" spans="1:18" ht="14.7" customHeight="1">
      <c r="A129" s="5" t="s">
        <v>1299</v>
      </c>
      <c r="B129" s="4"/>
      <c r="C129" s="4"/>
      <c r="D129" s="4"/>
      <c r="E129" s="4"/>
      <c r="F129" s="4"/>
      <c r="G129" s="4"/>
      <c r="H129" s="4"/>
      <c r="I129" s="4"/>
      <c r="J129" s="4"/>
      <c r="K129" s="4"/>
      <c r="L129" s="4"/>
      <c r="M129" s="4"/>
      <c r="N129" s="4"/>
      <c r="O129" s="4"/>
      <c r="P129" s="4"/>
      <c r="Q129" s="4"/>
      <c r="R129" s="72"/>
    </row>
    <row r="130" spans="1:18" ht="14.7" customHeight="1">
      <c r="A130" s="4"/>
      <c r="B130" s="4"/>
      <c r="C130" s="4"/>
      <c r="D130" s="4"/>
      <c r="E130" s="4"/>
      <c r="F130" s="4"/>
      <c r="G130" s="4"/>
      <c r="H130" s="4"/>
      <c r="I130" s="4"/>
      <c r="J130" s="4"/>
      <c r="K130" s="4"/>
      <c r="L130" s="4"/>
      <c r="M130" s="4"/>
      <c r="N130" s="4"/>
      <c r="O130" s="4"/>
      <c r="P130" s="4"/>
      <c r="Q130" s="4"/>
      <c r="R130" s="72"/>
    </row>
    <row r="131" spans="1:18" ht="14.7" customHeight="1">
      <c r="A131" s="4"/>
      <c r="B131" s="4"/>
      <c r="C131" s="4"/>
      <c r="D131" s="4"/>
      <c r="E131" s="4"/>
      <c r="F131" s="4"/>
      <c r="G131" s="4"/>
      <c r="H131" s="4"/>
      <c r="I131" s="4"/>
      <c r="J131" s="4"/>
      <c r="K131" s="4"/>
      <c r="L131" s="1064"/>
      <c r="M131" s="1064"/>
      <c r="N131" s="1062"/>
      <c r="O131" s="1062"/>
      <c r="P131" s="1062"/>
      <c r="Q131" s="1062"/>
      <c r="R131" s="72"/>
    </row>
    <row r="132" spans="1:18" ht="17.850000000000001" customHeight="1">
      <c r="A132" s="1067" t="s">
        <v>1300</v>
      </c>
      <c r="B132" s="1062"/>
      <c r="C132" s="1062"/>
      <c r="D132" s="895"/>
      <c r="E132" s="1062"/>
      <c r="F132" s="1062"/>
      <c r="G132" s="1062"/>
      <c r="H132" s="1062"/>
      <c r="I132" s="1062"/>
      <c r="J132" s="1062"/>
      <c r="K132" s="43"/>
      <c r="L132" s="1067" t="s">
        <v>1301</v>
      </c>
      <c r="M132" s="1067"/>
      <c r="N132" s="1062"/>
      <c r="O132" s="1062"/>
      <c r="P132" s="1062"/>
      <c r="Q132" s="1062"/>
      <c r="R132" s="72"/>
    </row>
    <row r="133" spans="1:18" ht="15.6" customHeight="1">
      <c r="A133" s="1061" t="s">
        <v>1302</v>
      </c>
      <c r="B133" s="1062"/>
      <c r="C133" s="1062"/>
      <c r="D133" s="1063"/>
      <c r="E133" s="1062"/>
      <c r="F133" s="1062"/>
      <c r="G133" s="1062"/>
      <c r="H133" s="1062"/>
      <c r="I133" s="1062"/>
      <c r="J133" s="1062"/>
      <c r="K133" s="44"/>
      <c r="L133" s="1061" t="s">
        <v>1302</v>
      </c>
      <c r="M133" s="1061"/>
      <c r="N133" s="1062"/>
      <c r="O133" s="1062"/>
      <c r="P133" s="1062"/>
      <c r="Q133" s="1062"/>
      <c r="R133" s="72"/>
    </row>
  </sheetData>
  <mergeCells count="25">
    <mergeCell ref="P1:Q1"/>
    <mergeCell ref="A2:Q2"/>
    <mergeCell ref="A3:Q3"/>
    <mergeCell ref="A4:Q4"/>
    <mergeCell ref="E14:I14"/>
    <mergeCell ref="J14:K14"/>
    <mergeCell ref="L14:P14"/>
    <mergeCell ref="A14:A16"/>
    <mergeCell ref="B14:B16"/>
    <mergeCell ref="C14:C16"/>
    <mergeCell ref="D14:D16"/>
    <mergeCell ref="E15:F15"/>
    <mergeCell ref="G15:H15"/>
    <mergeCell ref="L15:M15"/>
    <mergeCell ref="N15:P15"/>
    <mergeCell ref="A133:C133"/>
    <mergeCell ref="D133:J133"/>
    <mergeCell ref="L133:Q133"/>
    <mergeCell ref="L131:Q131"/>
    <mergeCell ref="J15:J16"/>
    <mergeCell ref="K15:K16"/>
    <mergeCell ref="Q14:Q16"/>
    <mergeCell ref="A132:C132"/>
    <mergeCell ref="D132:J132"/>
    <mergeCell ref="L132:Q13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132"/>
  <sheetViews>
    <sheetView showGridLines="0" showZeros="0" workbookViewId="0"/>
  </sheetViews>
  <sheetFormatPr defaultColWidth="9" defaultRowHeight="14.4"/>
  <cols>
    <col min="1" max="1" width="5.77734375" customWidth="1"/>
    <col min="2" max="2" width="11.77734375" customWidth="1"/>
    <col min="3" max="3" width="60.77734375" customWidth="1"/>
    <col min="4" max="4" width="7.77734375" customWidth="1"/>
    <col min="5" max="8" width="9.77734375" customWidth="1"/>
    <col min="9" max="10" width="11.77734375" customWidth="1"/>
    <col min="11" max="14" width="13.77734375" customWidth="1"/>
    <col min="15" max="15" width="11.77734375" customWidth="1"/>
  </cols>
  <sheetData>
    <row r="1" spans="1:15" ht="17.850000000000001" customHeight="1">
      <c r="A1" s="37"/>
      <c r="B1" s="37"/>
      <c r="C1" s="37"/>
      <c r="D1" s="37"/>
      <c r="E1" s="37"/>
      <c r="F1" s="37"/>
      <c r="G1" s="37"/>
      <c r="H1" s="37"/>
      <c r="I1" s="37"/>
      <c r="J1" s="37"/>
      <c r="K1" s="37"/>
      <c r="L1" s="37"/>
      <c r="M1" s="37"/>
      <c r="N1" s="37"/>
      <c r="O1" s="2" t="s">
        <v>1303</v>
      </c>
    </row>
    <row r="2" spans="1:15" ht="17.850000000000001" customHeight="1">
      <c r="A2" s="1067" t="s">
        <v>1269</v>
      </c>
      <c r="B2" s="1071"/>
      <c r="C2" s="1071"/>
      <c r="D2" s="1071"/>
      <c r="E2" s="1071"/>
      <c r="F2" s="1071"/>
      <c r="G2" s="1071"/>
      <c r="H2" s="1071"/>
      <c r="I2" s="1071"/>
      <c r="J2" s="1071"/>
      <c r="K2" s="1071"/>
      <c r="L2" s="1071"/>
      <c r="M2" s="1071"/>
      <c r="N2" s="1071"/>
      <c r="O2" s="1071"/>
    </row>
    <row r="3" spans="1:15" ht="15.6" customHeight="1">
      <c r="A3" s="1061" t="s">
        <v>1304</v>
      </c>
      <c r="B3" s="1071"/>
      <c r="C3" s="1071"/>
      <c r="D3" s="1071"/>
      <c r="E3" s="1071"/>
      <c r="F3" s="1071"/>
      <c r="G3" s="1071"/>
      <c r="H3" s="1071"/>
      <c r="I3" s="1071"/>
      <c r="J3" s="1071"/>
      <c r="K3" s="1071"/>
      <c r="L3" s="1071"/>
      <c r="M3" s="1071"/>
      <c r="N3" s="1071"/>
      <c r="O3" s="1071"/>
    </row>
    <row r="4" spans="1:15" ht="15" customHeight="1">
      <c r="A4" s="5" t="s">
        <v>1272</v>
      </c>
      <c r="B4" s="4"/>
      <c r="C4" s="4"/>
      <c r="D4" s="4"/>
      <c r="E4" s="4"/>
      <c r="F4" s="4"/>
      <c r="G4" s="4"/>
      <c r="H4" s="4"/>
      <c r="I4" s="4"/>
      <c r="J4" s="4"/>
      <c r="K4" s="4"/>
      <c r="L4" s="4"/>
      <c r="M4" s="4"/>
      <c r="N4" s="4"/>
      <c r="O4" s="4"/>
    </row>
    <row r="5" spans="1:15" ht="15" customHeight="1">
      <c r="A5" s="5" t="s">
        <v>1273</v>
      </c>
      <c r="B5" s="4"/>
      <c r="C5" s="4"/>
      <c r="D5" s="4"/>
      <c r="E5" s="4"/>
      <c r="F5" s="4"/>
      <c r="G5" s="4"/>
      <c r="H5" s="4"/>
      <c r="I5" s="4"/>
      <c r="J5" s="4"/>
      <c r="K5" s="4"/>
      <c r="L5" s="4"/>
      <c r="M5" s="4"/>
      <c r="N5" s="4"/>
      <c r="O5" s="4"/>
    </row>
    <row r="6" spans="1:15" ht="15" customHeight="1">
      <c r="A6" s="5" t="s">
        <v>1274</v>
      </c>
      <c r="B6" s="4"/>
      <c r="C6" s="4"/>
      <c r="D6" s="5" t="s">
        <v>1275</v>
      </c>
      <c r="E6" s="4"/>
      <c r="F6" s="4"/>
      <c r="G6" s="4"/>
      <c r="H6" s="4"/>
      <c r="I6" s="4"/>
      <c r="J6" s="4"/>
      <c r="K6" s="4"/>
      <c r="L6" s="4"/>
      <c r="M6" s="4"/>
      <c r="N6" s="4"/>
      <c r="O6" s="4"/>
    </row>
    <row r="7" spans="1:15" ht="15" customHeight="1">
      <c r="A7" s="5" t="s">
        <v>1276</v>
      </c>
      <c r="B7" s="4"/>
      <c r="C7" s="4"/>
      <c r="D7" s="4"/>
      <c r="E7" s="4"/>
      <c r="F7" s="4"/>
      <c r="G7" s="4"/>
      <c r="H7" s="4"/>
      <c r="I7" s="4"/>
      <c r="J7" s="4"/>
      <c r="K7" s="4"/>
      <c r="L7" s="4"/>
      <c r="M7" s="4"/>
      <c r="N7" s="4"/>
      <c r="O7" s="4"/>
    </row>
    <row r="8" spans="1:15" ht="15" customHeight="1">
      <c r="A8" s="5" t="s">
        <v>1277</v>
      </c>
      <c r="B8" s="4"/>
      <c r="C8" s="4"/>
      <c r="D8" s="4"/>
      <c r="E8" s="4"/>
      <c r="F8" s="4"/>
      <c r="G8" s="4"/>
      <c r="H8" s="4"/>
      <c r="I8" s="4"/>
      <c r="J8" s="4"/>
      <c r="K8" s="4"/>
      <c r="L8" s="4"/>
      <c r="M8" s="4"/>
      <c r="N8" s="4"/>
      <c r="O8" s="4"/>
    </row>
    <row r="9" spans="1:15" ht="15" customHeight="1">
      <c r="A9" s="5" t="s">
        <v>1278</v>
      </c>
      <c r="B9" s="4"/>
      <c r="C9" s="4"/>
      <c r="D9" s="4"/>
      <c r="E9" s="4"/>
      <c r="F9" s="4"/>
      <c r="G9" s="4"/>
      <c r="H9" s="4"/>
      <c r="I9" s="4"/>
      <c r="J9" s="4"/>
      <c r="K9" s="4"/>
      <c r="L9" s="4"/>
      <c r="M9" s="4"/>
      <c r="N9" s="4"/>
      <c r="O9" s="4"/>
    </row>
    <row r="10" spans="1:15" ht="15" customHeight="1">
      <c r="A10" s="5" t="s">
        <v>1279</v>
      </c>
      <c r="B10" s="4"/>
      <c r="C10" s="4"/>
      <c r="D10" s="4"/>
      <c r="E10" s="4"/>
      <c r="F10" s="4"/>
      <c r="G10" s="4"/>
      <c r="H10" s="4"/>
      <c r="I10" s="4"/>
      <c r="J10" s="4"/>
      <c r="K10" s="4"/>
      <c r="L10" s="4"/>
      <c r="M10" s="4"/>
      <c r="N10" s="4"/>
      <c r="O10" s="4"/>
    </row>
    <row r="11" spans="1:15" ht="15" customHeight="1">
      <c r="A11" s="5" t="s">
        <v>1280</v>
      </c>
      <c r="B11" s="4"/>
      <c r="C11" s="4"/>
      <c r="D11" s="4"/>
      <c r="E11" s="4"/>
      <c r="F11" s="4"/>
      <c r="G11" s="4"/>
      <c r="H11" s="4"/>
      <c r="I11" s="4"/>
      <c r="J11" s="4"/>
      <c r="K11" s="4"/>
      <c r="L11" s="4"/>
      <c r="M11" s="4"/>
      <c r="N11" s="4"/>
      <c r="O11" s="4"/>
    </row>
    <row r="12" spans="1:15" ht="15" customHeight="1">
      <c r="A12" s="4"/>
      <c r="B12" s="4"/>
      <c r="C12" s="4"/>
      <c r="D12" s="4"/>
      <c r="E12" s="4"/>
      <c r="F12" s="4"/>
      <c r="G12" s="4"/>
      <c r="H12" s="4"/>
      <c r="I12" s="4"/>
      <c r="J12" s="4"/>
      <c r="K12" s="4"/>
      <c r="L12" s="4"/>
      <c r="M12" s="4"/>
      <c r="N12" s="4"/>
      <c r="O12" s="4"/>
    </row>
    <row r="13" spans="1:15" ht="14.25" customHeight="1">
      <c r="A13" s="1072" t="s">
        <v>5</v>
      </c>
      <c r="B13" s="1075" t="s">
        <v>320</v>
      </c>
      <c r="C13" s="1072" t="s">
        <v>321</v>
      </c>
      <c r="D13" s="1072" t="s">
        <v>1281</v>
      </c>
      <c r="E13" s="1076" t="s">
        <v>325</v>
      </c>
      <c r="F13" s="1078"/>
      <c r="G13" s="1078"/>
      <c r="H13" s="1077"/>
      <c r="I13" s="1076" t="s">
        <v>1282</v>
      </c>
      <c r="J13" s="1077"/>
      <c r="K13" s="1076" t="s">
        <v>1283</v>
      </c>
      <c r="L13" s="1078"/>
      <c r="M13" s="1078"/>
      <c r="N13" s="1077"/>
      <c r="O13" s="1072" t="s">
        <v>698</v>
      </c>
    </row>
    <row r="14" spans="1:15" ht="16.5" customHeight="1">
      <c r="A14" s="1073"/>
      <c r="B14" s="1073"/>
      <c r="C14" s="1073"/>
      <c r="D14" s="1073"/>
      <c r="E14" s="1072" t="s">
        <v>1286</v>
      </c>
      <c r="F14" s="1076" t="s">
        <v>1284</v>
      </c>
      <c r="G14" s="1077"/>
      <c r="H14" s="58"/>
      <c r="I14" s="1072" t="s">
        <v>1282</v>
      </c>
      <c r="J14" s="1072" t="s">
        <v>1285</v>
      </c>
      <c r="K14" s="1072" t="s">
        <v>1286</v>
      </c>
      <c r="L14" s="1076" t="s">
        <v>1284</v>
      </c>
      <c r="M14" s="1078"/>
      <c r="N14" s="1077"/>
      <c r="O14" s="1073"/>
    </row>
    <row r="15" spans="1:15" ht="41.85" customHeight="1">
      <c r="A15" s="1074"/>
      <c r="B15" s="1074"/>
      <c r="C15" s="1074"/>
      <c r="D15" s="1074"/>
      <c r="E15" s="1074"/>
      <c r="F15" s="32" t="s">
        <v>1288</v>
      </c>
      <c r="G15" s="32" t="s">
        <v>1289</v>
      </c>
      <c r="H15" s="32" t="s">
        <v>1290</v>
      </c>
      <c r="I15" s="1074"/>
      <c r="J15" s="1074"/>
      <c r="K15" s="1074"/>
      <c r="L15" s="32" t="s">
        <v>1288</v>
      </c>
      <c r="M15" s="32" t="s">
        <v>1289</v>
      </c>
      <c r="N15" s="32" t="s">
        <v>1290</v>
      </c>
      <c r="O15" s="1074"/>
    </row>
    <row r="16" spans="1:15" ht="15" customHeight="1">
      <c r="A16" s="59"/>
      <c r="B16" s="60"/>
      <c r="C16" s="61"/>
      <c r="D16" s="59"/>
      <c r="E16" s="62"/>
      <c r="F16" s="62"/>
      <c r="G16" s="62"/>
      <c r="H16" s="62"/>
      <c r="I16" s="69"/>
      <c r="J16" s="69"/>
      <c r="K16" s="69"/>
      <c r="L16" s="69"/>
      <c r="M16" s="69"/>
      <c r="N16" s="69"/>
      <c r="O16" s="62"/>
    </row>
    <row r="17" spans="1:15" ht="15" customHeight="1">
      <c r="A17" s="63">
        <v>0</v>
      </c>
      <c r="B17" s="64" t="s">
        <v>336</v>
      </c>
      <c r="C17" s="64" t="s">
        <v>1090</v>
      </c>
      <c r="D17" s="63"/>
      <c r="E17" s="65"/>
      <c r="F17" s="65"/>
      <c r="G17" s="65"/>
      <c r="H17" s="65"/>
      <c r="I17" s="70"/>
      <c r="J17" s="70"/>
      <c r="K17" s="70"/>
      <c r="L17" s="70"/>
      <c r="M17" s="70"/>
      <c r="N17" s="70"/>
      <c r="O17" s="64"/>
    </row>
    <row r="18" spans="1:15" ht="15" customHeight="1">
      <c r="A18" s="66">
        <v>1</v>
      </c>
      <c r="B18" s="67" t="str">
        <f>'5.Tiên lượng'!C12</f>
        <v>AB.31132</v>
      </c>
      <c r="C18" s="67" t="str">
        <f>'5.Tiên lượng'!D12</f>
        <v>Đào nền đường bằng máy đào 1,25m3 - Cấp đất II</v>
      </c>
      <c r="D18" s="66" t="str">
        <f>'5.Tiên lượng'!E12</f>
        <v>100m3</v>
      </c>
      <c r="E18" s="68">
        <f>'5.Tiên lượng'!M12</f>
        <v>0.95230000000000004</v>
      </c>
      <c r="F18" s="68"/>
      <c r="G18" s="68"/>
      <c r="H18" s="68"/>
      <c r="I18" s="71">
        <f>'6.Chiết tính'!J23</f>
        <v>2268009.0857081842</v>
      </c>
      <c r="J18" s="71"/>
      <c r="K18" s="71">
        <f t="shared" ref="K18:K119" si="0">E18*I18</f>
        <v>2159825.0523199039</v>
      </c>
      <c r="L18" s="71">
        <f t="shared" ref="L18:L119" si="1">F18*I18</f>
        <v>0</v>
      </c>
      <c r="M18" s="71">
        <f t="shared" ref="M18:M119" si="2">G18*I18</f>
        <v>0</v>
      </c>
      <c r="N18" s="71">
        <f t="shared" ref="N18:N119" si="3">H18*I18</f>
        <v>0</v>
      </c>
      <c r="O18" s="67"/>
    </row>
    <row r="19" spans="1:15" ht="15" customHeight="1">
      <c r="A19" s="66">
        <v>2</v>
      </c>
      <c r="B19" s="67" t="str">
        <f>'5.Tiên lượng'!C14</f>
        <v>AB.31133</v>
      </c>
      <c r="C19" s="67" t="str">
        <f>'5.Tiên lượng'!D14</f>
        <v>Đào nền đường bằng máy đào 1,25m3 - Cấp đất III</v>
      </c>
      <c r="D19" s="66" t="str">
        <f>'5.Tiên lượng'!E14</f>
        <v>100m3</v>
      </c>
      <c r="E19" s="68">
        <f>'5.Tiên lượng'!M14</f>
        <v>2.7511999999999999</v>
      </c>
      <c r="F19" s="68"/>
      <c r="G19" s="68"/>
      <c r="H19" s="68"/>
      <c r="I19" s="71">
        <f>'6.Chiết tính'!J39</f>
        <v>2688464.085348784</v>
      </c>
      <c r="J19" s="71"/>
      <c r="K19" s="71">
        <f t="shared" si="0"/>
        <v>7396502.3916115742</v>
      </c>
      <c r="L19" s="71">
        <f t="shared" si="1"/>
        <v>0</v>
      </c>
      <c r="M19" s="71">
        <f t="shared" si="2"/>
        <v>0</v>
      </c>
      <c r="N19" s="71">
        <f t="shared" si="3"/>
        <v>0</v>
      </c>
      <c r="O19" s="67"/>
    </row>
    <row r="20" spans="1:15" ht="15" customHeight="1">
      <c r="A20" s="66">
        <v>3</v>
      </c>
      <c r="B20" s="67" t="str">
        <f>'5.Tiên lượng'!C16</f>
        <v>AB.31134</v>
      </c>
      <c r="C20" s="67" t="str">
        <f>'5.Tiên lượng'!D16</f>
        <v>Đào nền đường bằng máy đào 1,25m3 - Cấp đất IV</v>
      </c>
      <c r="D20" s="66" t="str">
        <f>'5.Tiên lượng'!E16</f>
        <v>100m3</v>
      </c>
      <c r="E20" s="68">
        <f>'5.Tiên lượng'!M16</f>
        <v>1.4199999999999999E-2</v>
      </c>
      <c r="F20" s="68"/>
      <c r="G20" s="68"/>
      <c r="H20" s="68"/>
      <c r="I20" s="71">
        <f>'6.Chiết tính'!J55</f>
        <v>3460005.6574319052</v>
      </c>
      <c r="J20" s="71"/>
      <c r="K20" s="71">
        <f t="shared" si="0"/>
        <v>49132.08033553305</v>
      </c>
      <c r="L20" s="71">
        <f t="shared" si="1"/>
        <v>0</v>
      </c>
      <c r="M20" s="71">
        <f t="shared" si="2"/>
        <v>0</v>
      </c>
      <c r="N20" s="71">
        <f t="shared" si="3"/>
        <v>0</v>
      </c>
      <c r="O20" s="67"/>
    </row>
    <row r="21" spans="1:15" ht="15" customHeight="1">
      <c r="A21" s="66">
        <v>4</v>
      </c>
      <c r="B21" s="67" t="str">
        <f>'5.Tiên lượng'!C18</f>
        <v>MD.QĐ792</v>
      </c>
      <c r="C21" s="67" t="str">
        <f>'5.Tiên lượng'!D18</f>
        <v>Đào nền đường đá cấp IV bằng máy đào 1,6m3</v>
      </c>
      <c r="D21" s="66" t="str">
        <f>'5.Tiên lượng'!E18</f>
        <v>m3</v>
      </c>
      <c r="E21" s="68">
        <f>'5.Tiên lượng'!M18</f>
        <v>88.07</v>
      </c>
      <c r="F21" s="68"/>
      <c r="G21" s="68"/>
      <c r="H21" s="68"/>
      <c r="I21" s="71">
        <f>'6.Chiết tính'!J71</f>
        <v>75766.568193302868</v>
      </c>
      <c r="J21" s="71"/>
      <c r="K21" s="71">
        <f t="shared" si="0"/>
        <v>6672761.6607841831</v>
      </c>
      <c r="L21" s="71">
        <f t="shared" si="1"/>
        <v>0</v>
      </c>
      <c r="M21" s="71">
        <f t="shared" si="2"/>
        <v>0</v>
      </c>
      <c r="N21" s="71">
        <f t="shared" si="3"/>
        <v>0</v>
      </c>
      <c r="O21" s="67"/>
    </row>
    <row r="22" spans="1:15" ht="15" customHeight="1">
      <c r="A22" s="66">
        <v>5</v>
      </c>
      <c r="B22" s="67" t="str">
        <f>'5.Tiên lượng'!C19</f>
        <v>AB.31134VD</v>
      </c>
      <c r="C22" s="67" t="str">
        <f>'5.Tiên lượng'!D19</f>
        <v>Đào đường cũ cấp phối bằng máy đào 1,25m3</v>
      </c>
      <c r="D22" s="66" t="str">
        <f>'5.Tiên lượng'!E19</f>
        <v>m3</v>
      </c>
      <c r="E22" s="68">
        <f>'5.Tiên lượng'!M19</f>
        <v>0</v>
      </c>
      <c r="F22" s="68"/>
      <c r="G22" s="68"/>
      <c r="H22" s="68"/>
      <c r="I22" s="71">
        <f>'6.Chiết tính'!J87</f>
        <v>34600.056574319053</v>
      </c>
      <c r="J22" s="71"/>
      <c r="K22" s="71">
        <f t="shared" si="0"/>
        <v>0</v>
      </c>
      <c r="L22" s="71">
        <f t="shared" si="1"/>
        <v>0</v>
      </c>
      <c r="M22" s="71">
        <f t="shared" si="2"/>
        <v>0</v>
      </c>
      <c r="N22" s="71">
        <f t="shared" si="3"/>
        <v>0</v>
      </c>
      <c r="O22" s="67"/>
    </row>
    <row r="23" spans="1:15" ht="15" customHeight="1">
      <c r="A23" s="66">
        <v>6</v>
      </c>
      <c r="B23" s="67" t="str">
        <f>'5.Tiên lượng'!C21</f>
        <v>AB.31132(VD)</v>
      </c>
      <c r="C23" s="67" t="str">
        <f>'5.Tiên lượng'!D21</f>
        <v>Đào rãnh bằng máy đào 1,25m3 - Cấp đất II</v>
      </c>
      <c r="D23" s="66" t="str">
        <f>'5.Tiên lượng'!E21</f>
        <v>100m3</v>
      </c>
      <c r="E23" s="68">
        <f>'5.Tiên lượng'!M21</f>
        <v>7.2900000000000006E-2</v>
      </c>
      <c r="F23" s="68"/>
      <c r="G23" s="68"/>
      <c r="H23" s="68"/>
      <c r="I23" s="71">
        <f>'6.Chiết tính'!J103</f>
        <v>2186041.5810053027</v>
      </c>
      <c r="J23" s="71"/>
      <c r="K23" s="71">
        <f t="shared" si="0"/>
        <v>159362.43125528659</v>
      </c>
      <c r="L23" s="71">
        <f t="shared" si="1"/>
        <v>0</v>
      </c>
      <c r="M23" s="71">
        <f t="shared" si="2"/>
        <v>0</v>
      </c>
      <c r="N23" s="71">
        <f t="shared" si="3"/>
        <v>0</v>
      </c>
      <c r="O23" s="67"/>
    </row>
    <row r="24" spans="1:15" ht="15" customHeight="1">
      <c r="A24" s="66">
        <v>7</v>
      </c>
      <c r="B24" s="67" t="str">
        <f>'5.Tiên lượng'!C23</f>
        <v>AB.31133(VD)</v>
      </c>
      <c r="C24" s="67" t="str">
        <f>'5.Tiên lượng'!D23</f>
        <v>Đào rãnh bằng máy đào 1,25m3 - Cấp đất III</v>
      </c>
      <c r="D24" s="66" t="str">
        <f>'5.Tiên lượng'!E23</f>
        <v>100m3</v>
      </c>
      <c r="E24" s="68">
        <f>'5.Tiên lượng'!M23</f>
        <v>0.88529999999999998</v>
      </c>
      <c r="F24" s="68"/>
      <c r="G24" s="68"/>
      <c r="H24" s="68"/>
      <c r="I24" s="71">
        <f>'6.Chiết tính'!J119</f>
        <v>2594786.9371169196</v>
      </c>
      <c r="J24" s="71"/>
      <c r="K24" s="71">
        <f t="shared" si="0"/>
        <v>2297164.8754296089</v>
      </c>
      <c r="L24" s="71">
        <f t="shared" si="1"/>
        <v>0</v>
      </c>
      <c r="M24" s="71">
        <f t="shared" si="2"/>
        <v>0</v>
      </c>
      <c r="N24" s="71">
        <f t="shared" si="3"/>
        <v>0</v>
      </c>
      <c r="O24" s="67"/>
    </row>
    <row r="25" spans="1:15" ht="15" customHeight="1">
      <c r="A25" s="66">
        <v>8</v>
      </c>
      <c r="B25" s="67" t="str">
        <f>'5.Tiên lượng'!C25</f>
        <v>AB.31134(VD)</v>
      </c>
      <c r="C25" s="67" t="str">
        <f>'5.Tiên lượng'!D25</f>
        <v>Đào rãnh bằng máy đào 1,25m3 - Cấp đất IV</v>
      </c>
      <c r="D25" s="66" t="str">
        <f>'5.Tiên lượng'!E25</f>
        <v>100m3</v>
      </c>
      <c r="E25" s="68">
        <f>'5.Tiên lượng'!M25</f>
        <v>1.1000000000000001E-3</v>
      </c>
      <c r="F25" s="68"/>
      <c r="G25" s="68"/>
      <c r="H25" s="68"/>
      <c r="I25" s="71">
        <f>'6.Chiết tính'!J135</f>
        <v>3324173.792495701</v>
      </c>
      <c r="J25" s="71"/>
      <c r="K25" s="71">
        <f t="shared" si="0"/>
        <v>3656.5911717452714</v>
      </c>
      <c r="L25" s="71">
        <f t="shared" si="1"/>
        <v>0</v>
      </c>
      <c r="M25" s="71">
        <f t="shared" si="2"/>
        <v>0</v>
      </c>
      <c r="N25" s="71">
        <f t="shared" si="3"/>
        <v>0</v>
      </c>
      <c r="O25" s="67"/>
    </row>
    <row r="26" spans="1:15" ht="15" customHeight="1">
      <c r="A26" s="66">
        <v>9</v>
      </c>
      <c r="B26" s="67" t="str">
        <f>'5.Tiên lượng'!C27</f>
        <v>MD.QĐ792</v>
      </c>
      <c r="C26" s="67" t="str">
        <f>'5.Tiên lượng'!D27</f>
        <v>Đào rãnh đá cấp IV bằng máy đào 1,6m3</v>
      </c>
      <c r="D26" s="66" t="str">
        <f>'5.Tiên lượng'!E27</f>
        <v>m3</v>
      </c>
      <c r="E26" s="68">
        <f>'5.Tiên lượng'!M27</f>
        <v>13.28</v>
      </c>
      <c r="F26" s="68"/>
      <c r="G26" s="68"/>
      <c r="H26" s="68"/>
      <c r="I26" s="71">
        <f>'6.Chiết tính'!J150</f>
        <v>74946.893146274044</v>
      </c>
      <c r="J26" s="71"/>
      <c r="K26" s="71">
        <f t="shared" si="0"/>
        <v>995294.74098251923</v>
      </c>
      <c r="L26" s="71">
        <f t="shared" si="1"/>
        <v>0</v>
      </c>
      <c r="M26" s="71">
        <f t="shared" si="2"/>
        <v>0</v>
      </c>
      <c r="N26" s="71">
        <f t="shared" si="3"/>
        <v>0</v>
      </c>
      <c r="O26" s="67"/>
    </row>
    <row r="27" spans="1:15" ht="15" customHeight="1">
      <c r="A27" s="66">
        <v>10</v>
      </c>
      <c r="B27" s="67" t="str">
        <f>'5.Tiên lượng'!C29</f>
        <v>AB.31132(VD)</v>
      </c>
      <c r="C27" s="67" t="str">
        <f>'5.Tiên lượng'!D29</f>
        <v>Đào cấp bằng máy đào 1,25m3 - Cấp đất II</v>
      </c>
      <c r="D27" s="66" t="str">
        <f>'5.Tiên lượng'!E29</f>
        <v>100m3</v>
      </c>
      <c r="E27" s="68">
        <f>'5.Tiên lượng'!M29</f>
        <v>0.86290000000000011</v>
      </c>
      <c r="F27" s="68"/>
      <c r="G27" s="68"/>
      <c r="H27" s="68"/>
      <c r="I27" s="71">
        <f>'6.Chiết tính'!J166</f>
        <v>2186041.5810053027</v>
      </c>
      <c r="J27" s="71"/>
      <c r="K27" s="71">
        <f t="shared" si="0"/>
        <v>1886335.280249476</v>
      </c>
      <c r="L27" s="71">
        <f t="shared" si="1"/>
        <v>0</v>
      </c>
      <c r="M27" s="71">
        <f t="shared" si="2"/>
        <v>0</v>
      </c>
      <c r="N27" s="71">
        <f t="shared" si="3"/>
        <v>0</v>
      </c>
      <c r="O27" s="67"/>
    </row>
    <row r="28" spans="1:15" ht="15" customHeight="1">
      <c r="A28" s="66">
        <v>11</v>
      </c>
      <c r="B28" s="67" t="str">
        <f>'5.Tiên lượng'!C31</f>
        <v>AB.31132</v>
      </c>
      <c r="C28" s="67" t="str">
        <f>'5.Tiên lượng'!D31</f>
        <v>Đào hữu cơ bằng máy đào 1,25m3 - Cấp đất II</v>
      </c>
      <c r="D28" s="66" t="str">
        <f>'5.Tiên lượng'!E31</f>
        <v>100m3</v>
      </c>
      <c r="E28" s="68">
        <f>'5.Tiên lượng'!M31</f>
        <v>3.8552999999999997</v>
      </c>
      <c r="F28" s="68"/>
      <c r="G28" s="68"/>
      <c r="H28" s="68"/>
      <c r="I28" s="71">
        <f>'6.Chiết tính'!J182</f>
        <v>2268009.0857081842</v>
      </c>
      <c r="J28" s="71"/>
      <c r="K28" s="71">
        <f t="shared" si="0"/>
        <v>8743855.4281307627</v>
      </c>
      <c r="L28" s="71">
        <f t="shared" si="1"/>
        <v>0</v>
      </c>
      <c r="M28" s="71">
        <f t="shared" si="2"/>
        <v>0</v>
      </c>
      <c r="N28" s="71">
        <f t="shared" si="3"/>
        <v>0</v>
      </c>
      <c r="O28" s="67"/>
    </row>
    <row r="29" spans="1:15" ht="15" customHeight="1">
      <c r="A29" s="66">
        <v>12</v>
      </c>
      <c r="B29" s="67" t="str">
        <f>'5.Tiên lượng'!C34</f>
        <v>AB.67110</v>
      </c>
      <c r="C29" s="67" t="str">
        <f>'5.Tiên lượng'!D34</f>
        <v>Đắp đá hỗn hợp công trình bằng máy ủi 180CV</v>
      </c>
      <c r="D29" s="66" t="str">
        <f>'5.Tiên lượng'!E34</f>
        <v>100m3</v>
      </c>
      <c r="E29" s="68">
        <f>'5.Tiên lượng'!M34</f>
        <v>0</v>
      </c>
      <c r="F29" s="68"/>
      <c r="G29" s="68"/>
      <c r="H29" s="68"/>
      <c r="I29" s="71">
        <f>'6.Chiết tính'!J198</f>
        <v>5548811.2381228032</v>
      </c>
      <c r="J29" s="71"/>
      <c r="K29" s="71">
        <f t="shared" si="0"/>
        <v>0</v>
      </c>
      <c r="L29" s="71">
        <f t="shared" si="1"/>
        <v>0</v>
      </c>
      <c r="M29" s="71">
        <f t="shared" si="2"/>
        <v>0</v>
      </c>
      <c r="N29" s="71">
        <f t="shared" si="3"/>
        <v>0</v>
      </c>
      <c r="O29" s="67"/>
    </row>
    <row r="30" spans="1:15" ht="15" customHeight="1">
      <c r="A30" s="66">
        <v>13</v>
      </c>
      <c r="B30" s="67" t="str">
        <f>'5.Tiên lượng'!C36</f>
        <v>AD.11212</v>
      </c>
      <c r="C30" s="67" t="str">
        <f>'5.Tiên lượng'!D36</f>
        <v>Thi công đắp cấp phối đá dăm loại 2</v>
      </c>
      <c r="D30" s="66" t="str">
        <f>'5.Tiên lượng'!E36</f>
        <v>100m3</v>
      </c>
      <c r="E30" s="68">
        <f>'5.Tiên lượng'!M36</f>
        <v>9.2337371681415927</v>
      </c>
      <c r="F30" s="68"/>
      <c r="G30" s="68"/>
      <c r="H30" s="68"/>
      <c r="I30" s="71">
        <f>'6.Chiết tính'!J219</f>
        <v>45519325.595883742</v>
      </c>
      <c r="J30" s="71"/>
      <c r="K30" s="71">
        <f t="shared" si="0"/>
        <v>420313488.62345064</v>
      </c>
      <c r="L30" s="71">
        <f t="shared" si="1"/>
        <v>0</v>
      </c>
      <c r="M30" s="71">
        <f t="shared" si="2"/>
        <v>0</v>
      </c>
      <c r="N30" s="71">
        <f t="shared" si="3"/>
        <v>0</v>
      </c>
      <c r="O30" s="67"/>
    </row>
    <row r="31" spans="1:15" ht="15" customHeight="1">
      <c r="A31" s="66">
        <v>14</v>
      </c>
      <c r="B31" s="67" t="str">
        <f>'5.Tiên lượng'!C38</f>
        <v>AB.64123</v>
      </c>
      <c r="C31" s="67" t="str">
        <f>'5.Tiên lượng'!D38</f>
        <v>Đắp nền đường bằng máy lu bánh thép 16T, máy ủi 110CV, độ chặt Y/C K = 0,95</v>
      </c>
      <c r="D31" s="66" t="str">
        <f>'5.Tiên lượng'!E38</f>
        <v>100m3</v>
      </c>
      <c r="E31" s="68">
        <f>'5.Tiên lượng'!M38</f>
        <v>4.593362831858407</v>
      </c>
      <c r="F31" s="68"/>
      <c r="G31" s="68"/>
      <c r="H31" s="68"/>
      <c r="I31" s="71">
        <f>'6.Chiết tính'!J236</f>
        <v>1424488.6117183566</v>
      </c>
      <c r="J31" s="71"/>
      <c r="K31" s="71">
        <f t="shared" si="0"/>
        <v>6543193.0434726812</v>
      </c>
      <c r="L31" s="71">
        <f t="shared" si="1"/>
        <v>0</v>
      </c>
      <c r="M31" s="71">
        <f t="shared" si="2"/>
        <v>0</v>
      </c>
      <c r="N31" s="71">
        <f t="shared" si="3"/>
        <v>0</v>
      </c>
      <c r="O31" s="67"/>
    </row>
    <row r="32" spans="1:15" ht="15" customHeight="1">
      <c r="A32" s="66">
        <v>15</v>
      </c>
      <c r="B32" s="67" t="str">
        <f>'5.Tiên lượng'!C42</f>
        <v>AB.31134VD</v>
      </c>
      <c r="C32" s="67" t="str">
        <f>'5.Tiên lượng'!D42</f>
        <v>Đào khuôn đường cũ cấp phối bằng máy đào 1,25m3</v>
      </c>
      <c r="D32" s="66" t="str">
        <f>'5.Tiên lượng'!E42</f>
        <v>m3</v>
      </c>
      <c r="E32" s="68">
        <f>'5.Tiên lượng'!M42</f>
        <v>90.77</v>
      </c>
      <c r="F32" s="68"/>
      <c r="G32" s="68"/>
      <c r="H32" s="68"/>
      <c r="I32" s="71">
        <f>'6.Chiết tính'!J254</f>
        <v>34600.056574319053</v>
      </c>
      <c r="J32" s="71"/>
      <c r="K32" s="71">
        <f t="shared" si="0"/>
        <v>3140647.1352509405</v>
      </c>
      <c r="L32" s="71">
        <f t="shared" si="1"/>
        <v>0</v>
      </c>
      <c r="M32" s="71">
        <f t="shared" si="2"/>
        <v>0</v>
      </c>
      <c r="N32" s="71">
        <f t="shared" si="3"/>
        <v>0</v>
      </c>
      <c r="O32" s="67"/>
    </row>
    <row r="33" spans="1:15" ht="15" customHeight="1">
      <c r="A33" s="66">
        <v>16</v>
      </c>
      <c r="B33" s="67" t="str">
        <f>'5.Tiên lượng'!C43</f>
        <v>AB.31133</v>
      </c>
      <c r="C33" s="67" t="str">
        <f>'5.Tiên lượng'!D43</f>
        <v>Đào nền đường bằng máy đào 1,25m3 - Cấp đất III</v>
      </c>
      <c r="D33" s="66" t="str">
        <f>'5.Tiên lượng'!E43</f>
        <v>100m3</v>
      </c>
      <c r="E33" s="68">
        <f>'5.Tiên lượng'!M43</f>
        <v>1.2237</v>
      </c>
      <c r="F33" s="68"/>
      <c r="G33" s="68"/>
      <c r="H33" s="68"/>
      <c r="I33" s="71">
        <f>'6.Chiết tính'!J270</f>
        <v>2688464.085348784</v>
      </c>
      <c r="J33" s="71"/>
      <c r="K33" s="71">
        <f t="shared" si="0"/>
        <v>3289873.5012413068</v>
      </c>
      <c r="L33" s="71">
        <f t="shared" si="1"/>
        <v>0</v>
      </c>
      <c r="M33" s="71">
        <f t="shared" si="2"/>
        <v>0</v>
      </c>
      <c r="N33" s="71">
        <f t="shared" si="3"/>
        <v>0</v>
      </c>
      <c r="O33" s="67"/>
    </row>
    <row r="34" spans="1:15" ht="15" customHeight="1">
      <c r="A34" s="66">
        <v>17</v>
      </c>
      <c r="B34" s="67" t="str">
        <f>'5.Tiên lượng'!C46</f>
        <v>AF.15433</v>
      </c>
      <c r="C34" s="67" t="str">
        <f>'5.Tiên lượng'!D46</f>
        <v>Bê tông sản xuất bằng máy trộn và đổ bằng thủ công, bê tông mặt đường dày mặt đường ≤25cm, bê tông M250, đá 2x4, PCB40</v>
      </c>
      <c r="D34" s="66" t="str">
        <f>'5.Tiên lượng'!E46</f>
        <v>m3</v>
      </c>
      <c r="E34" s="68">
        <f>'5.Tiên lượng'!M46</f>
        <v>900.03599999999994</v>
      </c>
      <c r="F34" s="68"/>
      <c r="G34" s="68"/>
      <c r="H34" s="68"/>
      <c r="I34" s="71">
        <f>'6.Chiết tính'!J296</f>
        <v>2021696.9202948564</v>
      </c>
      <c r="J34" s="71"/>
      <c r="K34" s="71">
        <f t="shared" si="0"/>
        <v>1819600009.3545012</v>
      </c>
      <c r="L34" s="71">
        <f t="shared" si="1"/>
        <v>0</v>
      </c>
      <c r="M34" s="71">
        <f t="shared" si="2"/>
        <v>0</v>
      </c>
      <c r="N34" s="71">
        <f t="shared" si="3"/>
        <v>0</v>
      </c>
      <c r="O34" s="67"/>
    </row>
    <row r="35" spans="1:15" ht="15" customHeight="1">
      <c r="A35" s="66">
        <v>18</v>
      </c>
      <c r="B35" s="67" t="str">
        <f>'5.Tiên lượng'!C49</f>
        <v>AL.16201</v>
      </c>
      <c r="C35" s="67" t="str">
        <f>'5.Tiên lượng'!D49</f>
        <v>Ni lông chống thấm</v>
      </c>
      <c r="D35" s="66" t="str">
        <f>'5.Tiên lượng'!E49</f>
        <v>100m2</v>
      </c>
      <c r="E35" s="68">
        <f>'5.Tiên lượng'!M49</f>
        <v>45.001800000000003</v>
      </c>
      <c r="F35" s="68"/>
      <c r="G35" s="68"/>
      <c r="H35" s="68"/>
      <c r="I35" s="71">
        <f>'6.Chiết tính'!J312</f>
        <v>335898.66816</v>
      </c>
      <c r="J35" s="71"/>
      <c r="K35" s="71">
        <f t="shared" si="0"/>
        <v>15116044.684802689</v>
      </c>
      <c r="L35" s="71">
        <f t="shared" si="1"/>
        <v>0</v>
      </c>
      <c r="M35" s="71">
        <f t="shared" si="2"/>
        <v>0</v>
      </c>
      <c r="N35" s="71">
        <f t="shared" si="3"/>
        <v>0</v>
      </c>
      <c r="O35" s="67"/>
    </row>
    <row r="36" spans="1:15" ht="15" customHeight="1">
      <c r="A36" s="66">
        <v>19</v>
      </c>
      <c r="B36" s="67" t="str">
        <f>'5.Tiên lượng'!C51</f>
        <v>AD.11212</v>
      </c>
      <c r="C36" s="67" t="str">
        <f>'5.Tiên lượng'!D51</f>
        <v xml:space="preserve">Thi công móng cấp phối đá dăm lớp dưới </v>
      </c>
      <c r="D36" s="66" t="str">
        <f>'5.Tiên lượng'!E51</f>
        <v>100m3</v>
      </c>
      <c r="E36" s="68">
        <f>'5.Tiên lượng'!M51</f>
        <v>1.3379759999999998</v>
      </c>
      <c r="F36" s="68"/>
      <c r="G36" s="68"/>
      <c r="H36" s="68"/>
      <c r="I36" s="71">
        <f>'6.Chiết tính'!J333</f>
        <v>45519325.595883742</v>
      </c>
      <c r="J36" s="71"/>
      <c r="K36" s="71">
        <f t="shared" si="0"/>
        <v>60903765.183478139</v>
      </c>
      <c r="L36" s="71">
        <f t="shared" si="1"/>
        <v>0</v>
      </c>
      <c r="M36" s="71">
        <f t="shared" si="2"/>
        <v>0</v>
      </c>
      <c r="N36" s="71">
        <f t="shared" si="3"/>
        <v>0</v>
      </c>
      <c r="O36" s="67"/>
    </row>
    <row r="37" spans="1:15" ht="15" customHeight="1">
      <c r="A37" s="66">
        <v>20</v>
      </c>
      <c r="B37" s="67" t="str">
        <f>'5.Tiên lượng'!C53</f>
        <v>AD.11212</v>
      </c>
      <c r="C37" s="67" t="str">
        <f>'5.Tiên lượng'!D53</f>
        <v xml:space="preserve">Thi công móng cấp phối đá dăm lớp dưới </v>
      </c>
      <c r="D37" s="66" t="str">
        <f>'5.Tiên lượng'!E53</f>
        <v>100m3</v>
      </c>
      <c r="E37" s="68">
        <f>'5.Tiên lượng'!M53</f>
        <v>1.7016</v>
      </c>
      <c r="F37" s="68"/>
      <c r="G37" s="68"/>
      <c r="H37" s="68"/>
      <c r="I37" s="71">
        <f>'6.Chiết tính'!J354</f>
        <v>45519325.595883742</v>
      </c>
      <c r="J37" s="71"/>
      <c r="K37" s="71">
        <f t="shared" si="0"/>
        <v>77455684.433955774</v>
      </c>
      <c r="L37" s="71">
        <f t="shared" si="1"/>
        <v>0</v>
      </c>
      <c r="M37" s="71">
        <f t="shared" si="2"/>
        <v>0</v>
      </c>
      <c r="N37" s="71">
        <f t="shared" si="3"/>
        <v>0</v>
      </c>
      <c r="O37" s="67"/>
    </row>
    <row r="38" spans="1:15" ht="15" customHeight="1">
      <c r="A38" s="66">
        <v>21</v>
      </c>
      <c r="B38" s="67" t="str">
        <f>'5.Tiên lượng'!C56</f>
        <v>AF.82411</v>
      </c>
      <c r="C38" s="67" t="str">
        <f>'5.Tiên lượng'!D56</f>
        <v>Ván khuôn thép mặt đường bê tông</v>
      </c>
      <c r="D38" s="66" t="str">
        <f>'5.Tiên lượng'!E56</f>
        <v>100m2</v>
      </c>
      <c r="E38" s="68">
        <f>'5.Tiên lượng'!M56</f>
        <v>3.6397000000000004</v>
      </c>
      <c r="F38" s="68"/>
      <c r="G38" s="68"/>
      <c r="H38" s="68"/>
      <c r="I38" s="71">
        <f>'6.Chiết tính'!J373</f>
        <v>5370066.1138137272</v>
      </c>
      <c r="J38" s="71"/>
      <c r="K38" s="71">
        <f t="shared" si="0"/>
        <v>19545429.634447824</v>
      </c>
      <c r="L38" s="71">
        <f t="shared" si="1"/>
        <v>0</v>
      </c>
      <c r="M38" s="71">
        <f t="shared" si="2"/>
        <v>0</v>
      </c>
      <c r="N38" s="71">
        <f t="shared" si="3"/>
        <v>0</v>
      </c>
      <c r="O38" s="67"/>
    </row>
    <row r="39" spans="1:15" ht="15" customHeight="1">
      <c r="A39" s="66">
        <v>22</v>
      </c>
      <c r="B39" s="67" t="str">
        <f>'5.Tiên lượng'!C59</f>
        <v>AF.15433</v>
      </c>
      <c r="C39" s="67" t="str">
        <f>'5.Tiên lượng'!D59</f>
        <v>Bê tông sản xuất bằng máy trộn và đổ bằng thủ công, bê tông mặt đường dày mặt đường ≤25cm, bê tông M250, đá 2x4, PCB40</v>
      </c>
      <c r="D39" s="66" t="str">
        <f>'5.Tiên lượng'!E59</f>
        <v>m3</v>
      </c>
      <c r="E39" s="68">
        <f>'5.Tiên lượng'!M59</f>
        <v>12.764000000000001</v>
      </c>
      <c r="F39" s="68"/>
      <c r="G39" s="68"/>
      <c r="H39" s="68"/>
      <c r="I39" s="71">
        <f>'6.Chiết tính'!J399</f>
        <v>2021696.9202948564</v>
      </c>
      <c r="J39" s="71"/>
      <c r="K39" s="71">
        <f t="shared" si="0"/>
        <v>25804939.49064355</v>
      </c>
      <c r="L39" s="71">
        <f t="shared" si="1"/>
        <v>0</v>
      </c>
      <c r="M39" s="71">
        <f t="shared" si="2"/>
        <v>0</v>
      </c>
      <c r="N39" s="71">
        <f t="shared" si="3"/>
        <v>0</v>
      </c>
      <c r="O39" s="67"/>
    </row>
    <row r="40" spans="1:15" ht="15" customHeight="1">
      <c r="A40" s="66">
        <v>23</v>
      </c>
      <c r="B40" s="67" t="str">
        <f>'5.Tiên lượng'!C61</f>
        <v>AL.16201</v>
      </c>
      <c r="C40" s="67" t="str">
        <f>'5.Tiên lượng'!D61</f>
        <v>Rải giấy dầu lớp cách ly</v>
      </c>
      <c r="D40" s="66" t="str">
        <f>'5.Tiên lượng'!E61</f>
        <v>100m2</v>
      </c>
      <c r="E40" s="68">
        <f>'5.Tiên lượng'!M61</f>
        <v>0.63819999999999999</v>
      </c>
      <c r="F40" s="68"/>
      <c r="G40" s="68"/>
      <c r="H40" s="68"/>
      <c r="I40" s="71">
        <f>'6.Chiết tính'!J415</f>
        <v>335898.66816</v>
      </c>
      <c r="J40" s="71"/>
      <c r="K40" s="71">
        <f t="shared" si="0"/>
        <v>214370.53001971199</v>
      </c>
      <c r="L40" s="71">
        <f t="shared" si="1"/>
        <v>0</v>
      </c>
      <c r="M40" s="71">
        <f t="shared" si="2"/>
        <v>0</v>
      </c>
      <c r="N40" s="71">
        <f t="shared" si="3"/>
        <v>0</v>
      </c>
      <c r="O40" s="67"/>
    </row>
    <row r="41" spans="1:15" ht="15" customHeight="1">
      <c r="A41" s="66">
        <v>24</v>
      </c>
      <c r="B41" s="67" t="str">
        <f>'5.Tiên lượng'!C63</f>
        <v>AD.11212</v>
      </c>
      <c r="C41" s="67" t="str">
        <f>'5.Tiên lượng'!D63</f>
        <v xml:space="preserve">Thi công móng cấp phối đá dăm lớp dưới </v>
      </c>
      <c r="D41" s="66" t="str">
        <f>'5.Tiên lượng'!E63</f>
        <v>100m3</v>
      </c>
      <c r="E41" s="68">
        <f>'5.Tiên lượng'!M63</f>
        <v>7.6583999999999999E-2</v>
      </c>
      <c r="F41" s="68"/>
      <c r="G41" s="68"/>
      <c r="H41" s="68"/>
      <c r="I41" s="71">
        <f>'6.Chiết tính'!J436</f>
        <v>45519325.595883742</v>
      </c>
      <c r="J41" s="71"/>
      <c r="K41" s="71">
        <f t="shared" si="0"/>
        <v>3486052.0314351604</v>
      </c>
      <c r="L41" s="71">
        <f t="shared" si="1"/>
        <v>0</v>
      </c>
      <c r="M41" s="71">
        <f t="shared" si="2"/>
        <v>0</v>
      </c>
      <c r="N41" s="71">
        <f t="shared" si="3"/>
        <v>0</v>
      </c>
      <c r="O41" s="67"/>
    </row>
    <row r="42" spans="1:15" ht="15" customHeight="1">
      <c r="A42" s="66">
        <v>25</v>
      </c>
      <c r="B42" s="67" t="str">
        <f>'5.Tiên lượng'!C65</f>
        <v>AF.82411</v>
      </c>
      <c r="C42" s="67" t="str">
        <f>'5.Tiên lượng'!D65</f>
        <v>Ván khuôn thép mặt đường bê tông</v>
      </c>
      <c r="D42" s="66" t="str">
        <f>'5.Tiên lượng'!E65</f>
        <v>100m2</v>
      </c>
      <c r="E42" s="68">
        <f>'5.Tiên lượng'!M65</f>
        <v>0.14080000000000001</v>
      </c>
      <c r="F42" s="68"/>
      <c r="G42" s="68"/>
      <c r="H42" s="68"/>
      <c r="I42" s="71">
        <f>'6.Chiết tính'!J455</f>
        <v>5370066.1138137272</v>
      </c>
      <c r="J42" s="71"/>
      <c r="K42" s="71">
        <f t="shared" si="0"/>
        <v>756105.30882497283</v>
      </c>
      <c r="L42" s="71">
        <f t="shared" si="1"/>
        <v>0</v>
      </c>
      <c r="M42" s="71">
        <f t="shared" si="2"/>
        <v>0</v>
      </c>
      <c r="N42" s="71">
        <f t="shared" si="3"/>
        <v>0</v>
      </c>
      <c r="O42" s="67"/>
    </row>
    <row r="43" spans="1:15" ht="15" customHeight="1">
      <c r="A43" s="66">
        <v>26</v>
      </c>
      <c r="B43" s="67" t="str">
        <f>'5.Tiên lượng'!C67</f>
        <v>AL.24111</v>
      </c>
      <c r="C43" s="67" t="str">
        <f>'5.Tiên lượng'!D67</f>
        <v>Thi công khe co không có thanh TL</v>
      </c>
      <c r="D43" s="66" t="str">
        <f>'5.Tiên lượng'!E67</f>
        <v>m</v>
      </c>
      <c r="E43" s="68">
        <f>'5.Tiên lượng'!M67</f>
        <v>1026</v>
      </c>
      <c r="F43" s="68"/>
      <c r="G43" s="68"/>
      <c r="H43" s="68"/>
      <c r="I43" s="71">
        <f>'6.Chiết tính'!J476</f>
        <v>44624.816051557631</v>
      </c>
      <c r="J43" s="71"/>
      <c r="K43" s="71">
        <f t="shared" si="0"/>
        <v>45785061.268898129</v>
      </c>
      <c r="L43" s="71">
        <f t="shared" si="1"/>
        <v>0</v>
      </c>
      <c r="M43" s="71">
        <f t="shared" si="2"/>
        <v>0</v>
      </c>
      <c r="N43" s="71">
        <f t="shared" si="3"/>
        <v>0</v>
      </c>
      <c r="O43" s="67"/>
    </row>
    <row r="44" spans="1:15" ht="15" customHeight="1">
      <c r="A44" s="66">
        <v>27</v>
      </c>
      <c r="B44" s="67" t="str">
        <f>'5.Tiên lượng'!C68</f>
        <v>AL.24112(VD)</v>
      </c>
      <c r="C44" s="67" t="str">
        <f>'5.Tiên lượng'!D68</f>
        <v>Thi công khe giãn</v>
      </c>
      <c r="D44" s="66" t="str">
        <f>'5.Tiên lượng'!E68</f>
        <v>m</v>
      </c>
      <c r="E44" s="68">
        <f>'5.Tiên lượng'!M68</f>
        <v>103.46</v>
      </c>
      <c r="F44" s="68"/>
      <c r="G44" s="68"/>
      <c r="H44" s="68"/>
      <c r="I44" s="71">
        <f>'6.Chiết tính'!J500</f>
        <v>115488.889385202</v>
      </c>
      <c r="J44" s="71"/>
      <c r="K44" s="71">
        <f t="shared" si="0"/>
        <v>11948480.495792998</v>
      </c>
      <c r="L44" s="71">
        <f t="shared" si="1"/>
        <v>0</v>
      </c>
      <c r="M44" s="71">
        <f t="shared" si="2"/>
        <v>0</v>
      </c>
      <c r="N44" s="71">
        <f t="shared" si="3"/>
        <v>0</v>
      </c>
      <c r="O44" s="67"/>
    </row>
    <row r="45" spans="1:15" ht="15" customHeight="1">
      <c r="A45" s="66">
        <v>28</v>
      </c>
      <c r="B45" s="67" t="str">
        <f>'5.Tiên lượng'!C69</f>
        <v>AL.24113(VD)</v>
      </c>
      <c r="C45" s="67" t="str">
        <f>'5.Tiên lượng'!D69</f>
        <v>Thi công  khe dọc</v>
      </c>
      <c r="D45" s="66" t="str">
        <f>'5.Tiên lượng'!E69</f>
        <v>m</v>
      </c>
      <c r="E45" s="68">
        <f>'5.Tiên lượng'!M69</f>
        <v>1000.04</v>
      </c>
      <c r="F45" s="68"/>
      <c r="G45" s="68"/>
      <c r="H45" s="68"/>
      <c r="I45" s="71">
        <f>'6.Chiết tính'!J520</f>
        <v>35222.24074371763</v>
      </c>
      <c r="J45" s="71"/>
      <c r="K45" s="71">
        <f t="shared" si="0"/>
        <v>35223649.633347377</v>
      </c>
      <c r="L45" s="71">
        <f t="shared" si="1"/>
        <v>0</v>
      </c>
      <c r="M45" s="71">
        <f t="shared" si="2"/>
        <v>0</v>
      </c>
      <c r="N45" s="71">
        <f t="shared" si="3"/>
        <v>0</v>
      </c>
      <c r="O45" s="67"/>
    </row>
    <row r="46" spans="1:15" ht="15" customHeight="1">
      <c r="A46" s="66">
        <v>29</v>
      </c>
      <c r="B46" s="67" t="str">
        <f>'5.Tiên lượng'!C70</f>
        <v>AL.24310</v>
      </c>
      <c r="C46" s="67" t="str">
        <f>'5.Tiên lượng'!D70</f>
        <v>Cắt khe</v>
      </c>
      <c r="D46" s="66" t="str">
        <f>'5.Tiên lượng'!E70</f>
        <v>100m</v>
      </c>
      <c r="E46" s="68">
        <f>'5.Tiên lượng'!M70</f>
        <v>21.295000000000002</v>
      </c>
      <c r="F46" s="68"/>
      <c r="G46" s="68"/>
      <c r="H46" s="68"/>
      <c r="I46" s="71">
        <f>'6.Chiết tính'!J538</f>
        <v>537800.10638755234</v>
      </c>
      <c r="J46" s="71"/>
      <c r="K46" s="71">
        <f t="shared" si="0"/>
        <v>11452453.265522929</v>
      </c>
      <c r="L46" s="71">
        <f t="shared" si="1"/>
        <v>0</v>
      </c>
      <c r="M46" s="71">
        <f t="shared" si="2"/>
        <v>0</v>
      </c>
      <c r="N46" s="71">
        <f t="shared" si="3"/>
        <v>0</v>
      </c>
      <c r="O46" s="67"/>
    </row>
    <row r="47" spans="1:15" ht="15" customHeight="1">
      <c r="A47" s="66">
        <v>30</v>
      </c>
      <c r="B47" s="67" t="str">
        <f>'5.Tiên lượng'!C76</f>
        <v>AB.31132</v>
      </c>
      <c r="C47" s="67" t="str">
        <f>'5.Tiên lượng'!D76</f>
        <v>Đào nền đường bằng máy đào 1,25m3 - Cấp đất II</v>
      </c>
      <c r="D47" s="66" t="str">
        <f>'5.Tiên lượng'!E76</f>
        <v>100m3</v>
      </c>
      <c r="E47" s="68">
        <f>'5.Tiên lượng'!M76</f>
        <v>1.2262999999999999</v>
      </c>
      <c r="F47" s="68"/>
      <c r="G47" s="68"/>
      <c r="H47" s="68"/>
      <c r="I47" s="71">
        <f>'6.Chiết tính'!J556</f>
        <v>2268009.0857081842</v>
      </c>
      <c r="J47" s="71"/>
      <c r="K47" s="71">
        <f t="shared" si="0"/>
        <v>2781259.5418039463</v>
      </c>
      <c r="L47" s="71">
        <f t="shared" si="1"/>
        <v>0</v>
      </c>
      <c r="M47" s="71">
        <f t="shared" si="2"/>
        <v>0</v>
      </c>
      <c r="N47" s="71">
        <f t="shared" si="3"/>
        <v>0</v>
      </c>
      <c r="O47" s="67"/>
    </row>
    <row r="48" spans="1:15" ht="15" customHeight="1">
      <c r="A48" s="66">
        <v>31</v>
      </c>
      <c r="B48" s="67" t="str">
        <f>'5.Tiên lượng'!C78</f>
        <v>AB.31133</v>
      </c>
      <c r="C48" s="67" t="str">
        <f>'5.Tiên lượng'!D78</f>
        <v>Đào nền đường bằng máy đào 1,25m3 - Cấp đất III</v>
      </c>
      <c r="D48" s="66" t="str">
        <f>'5.Tiên lượng'!E78</f>
        <v>100m3</v>
      </c>
      <c r="E48" s="68">
        <f>'5.Tiên lượng'!M78</f>
        <v>3.6326000000000001</v>
      </c>
      <c r="F48" s="68"/>
      <c r="G48" s="68"/>
      <c r="H48" s="68"/>
      <c r="I48" s="71">
        <f>'6.Chiết tính'!J572</f>
        <v>2688464.085348784</v>
      </c>
      <c r="J48" s="71"/>
      <c r="K48" s="71">
        <f t="shared" si="0"/>
        <v>9766114.6364379935</v>
      </c>
      <c r="L48" s="71">
        <f t="shared" si="1"/>
        <v>0</v>
      </c>
      <c r="M48" s="71">
        <f t="shared" si="2"/>
        <v>0</v>
      </c>
      <c r="N48" s="71">
        <f t="shared" si="3"/>
        <v>0</v>
      </c>
      <c r="O48" s="67"/>
    </row>
    <row r="49" spans="1:15" ht="15" customHeight="1">
      <c r="A49" s="66">
        <v>32</v>
      </c>
      <c r="B49" s="67" t="str">
        <f>'5.Tiên lượng'!C80</f>
        <v>AB.31134</v>
      </c>
      <c r="C49" s="67" t="str">
        <f>'5.Tiên lượng'!D80</f>
        <v>Đào nền đường bằng máy đào 1,25m3 - Cấp đất IV</v>
      </c>
      <c r="D49" s="66" t="str">
        <f>'5.Tiên lượng'!E80</f>
        <v>100m3</v>
      </c>
      <c r="E49" s="68">
        <f>'5.Tiên lượng'!M80</f>
        <v>0.48090000000000005</v>
      </c>
      <c r="F49" s="68"/>
      <c r="G49" s="68"/>
      <c r="H49" s="68"/>
      <c r="I49" s="71">
        <f>'6.Chiết tính'!J588</f>
        <v>3460005.6574319052</v>
      </c>
      <c r="J49" s="71"/>
      <c r="K49" s="71">
        <f t="shared" si="0"/>
        <v>1663916.7206590034</v>
      </c>
      <c r="L49" s="71">
        <f t="shared" si="1"/>
        <v>0</v>
      </c>
      <c r="M49" s="71">
        <f t="shared" si="2"/>
        <v>0</v>
      </c>
      <c r="N49" s="71">
        <f t="shared" si="3"/>
        <v>0</v>
      </c>
      <c r="O49" s="67"/>
    </row>
    <row r="50" spans="1:15" ht="15" customHeight="1">
      <c r="A50" s="66">
        <v>33</v>
      </c>
      <c r="B50" s="67" t="str">
        <f>'5.Tiên lượng'!C82</f>
        <v>AB.31134VD</v>
      </c>
      <c r="C50" s="67" t="str">
        <f>'5.Tiên lượng'!D82</f>
        <v>Đào đường cũ cấp phối bằng máy đào 1,25m3</v>
      </c>
      <c r="D50" s="66" t="str">
        <f>'5.Tiên lượng'!E82</f>
        <v>m3</v>
      </c>
      <c r="E50" s="68">
        <f>'5.Tiên lượng'!M82</f>
        <v>32.340000000000003</v>
      </c>
      <c r="F50" s="68"/>
      <c r="G50" s="68"/>
      <c r="H50" s="68"/>
      <c r="I50" s="71">
        <f>'6.Chiết tính'!J604</f>
        <v>34600.056574319053</v>
      </c>
      <c r="J50" s="71"/>
      <c r="K50" s="71">
        <f t="shared" si="0"/>
        <v>1118965.8296134784</v>
      </c>
      <c r="L50" s="71">
        <f t="shared" si="1"/>
        <v>0</v>
      </c>
      <c r="M50" s="71">
        <f t="shared" si="2"/>
        <v>0</v>
      </c>
      <c r="N50" s="71">
        <f t="shared" si="3"/>
        <v>0</v>
      </c>
      <c r="O50" s="67"/>
    </row>
    <row r="51" spans="1:15" ht="15" customHeight="1">
      <c r="A51" s="66">
        <v>34</v>
      </c>
      <c r="B51" s="67" t="str">
        <f>'5.Tiên lượng'!C85</f>
        <v>AB.31132(VD)</v>
      </c>
      <c r="C51" s="67" t="str">
        <f>'5.Tiên lượng'!D85</f>
        <v>Đào rãnh bằng máy đào 1,25m3 - Cấp đất II</v>
      </c>
      <c r="D51" s="66" t="str">
        <f>'5.Tiên lượng'!E85</f>
        <v>100m3</v>
      </c>
      <c r="E51" s="68">
        <f>'5.Tiên lượng'!M85</f>
        <v>0.2107</v>
      </c>
      <c r="F51" s="68"/>
      <c r="G51" s="68"/>
      <c r="H51" s="68"/>
      <c r="I51" s="71">
        <f>'6.Chiết tính'!J620</f>
        <v>2186041.5810053027</v>
      </c>
      <c r="J51" s="71"/>
      <c r="K51" s="71">
        <f t="shared" si="0"/>
        <v>460598.96111781726</v>
      </c>
      <c r="L51" s="71">
        <f t="shared" si="1"/>
        <v>0</v>
      </c>
      <c r="M51" s="71">
        <f t="shared" si="2"/>
        <v>0</v>
      </c>
      <c r="N51" s="71">
        <f t="shared" si="3"/>
        <v>0</v>
      </c>
      <c r="O51" s="67"/>
    </row>
    <row r="52" spans="1:15" ht="15" customHeight="1">
      <c r="A52" s="66">
        <v>35</v>
      </c>
      <c r="B52" s="67" t="str">
        <f>'5.Tiên lượng'!C87</f>
        <v>AB.31133(VD)</v>
      </c>
      <c r="C52" s="67" t="str">
        <f>'5.Tiên lượng'!D87</f>
        <v>Đào rãnh bằng máy đào 1,25m3 - Cấp đất III</v>
      </c>
      <c r="D52" s="66" t="str">
        <f>'5.Tiên lượng'!E87</f>
        <v>100m3</v>
      </c>
      <c r="E52" s="68">
        <f>'5.Tiên lượng'!M87</f>
        <v>2.9964</v>
      </c>
      <c r="F52" s="68"/>
      <c r="G52" s="68"/>
      <c r="H52" s="68"/>
      <c r="I52" s="71">
        <f>'6.Chiết tính'!J636</f>
        <v>2594786.9371169196</v>
      </c>
      <c r="J52" s="71"/>
      <c r="K52" s="71">
        <f t="shared" si="0"/>
        <v>7775019.5783771379</v>
      </c>
      <c r="L52" s="71">
        <f t="shared" si="1"/>
        <v>0</v>
      </c>
      <c r="M52" s="71">
        <f t="shared" si="2"/>
        <v>0</v>
      </c>
      <c r="N52" s="71">
        <f t="shared" si="3"/>
        <v>0</v>
      </c>
      <c r="O52" s="67"/>
    </row>
    <row r="53" spans="1:15" ht="15" customHeight="1">
      <c r="A53" s="66">
        <v>36</v>
      </c>
      <c r="B53" s="67" t="str">
        <f>'5.Tiên lượng'!C89</f>
        <v>AB.31134(VD)</v>
      </c>
      <c r="C53" s="67" t="str">
        <f>'5.Tiên lượng'!D89</f>
        <v>Đào rãnh bằng máy đào 1,25m3 - Cấp đất IV</v>
      </c>
      <c r="D53" s="66" t="str">
        <f>'5.Tiên lượng'!E89</f>
        <v>100m3</v>
      </c>
      <c r="E53" s="68">
        <f>'5.Tiên lượng'!M89</f>
        <v>6.1699999999999998E-2</v>
      </c>
      <c r="F53" s="68"/>
      <c r="G53" s="68"/>
      <c r="H53" s="68"/>
      <c r="I53" s="71">
        <f>'6.Chiết tính'!J652</f>
        <v>3324173.792495701</v>
      </c>
      <c r="J53" s="71"/>
      <c r="K53" s="71">
        <f t="shared" si="0"/>
        <v>205101.52299698474</v>
      </c>
      <c r="L53" s="71">
        <f t="shared" si="1"/>
        <v>0</v>
      </c>
      <c r="M53" s="71">
        <f t="shared" si="2"/>
        <v>0</v>
      </c>
      <c r="N53" s="71">
        <f t="shared" si="3"/>
        <v>0</v>
      </c>
      <c r="O53" s="67"/>
    </row>
    <row r="54" spans="1:15" ht="15" customHeight="1">
      <c r="A54" s="66">
        <v>37</v>
      </c>
      <c r="B54" s="67" t="str">
        <f>'5.Tiên lượng'!C92</f>
        <v>AB.31132(VD)</v>
      </c>
      <c r="C54" s="67" t="str">
        <f>'5.Tiên lượng'!D92</f>
        <v>Đào cấp bằng máy đào 1,25m3 - Cấp đất II</v>
      </c>
      <c r="D54" s="66" t="str">
        <f>'5.Tiên lượng'!E92</f>
        <v>100m3</v>
      </c>
      <c r="E54" s="68">
        <f>'5.Tiên lượng'!M92</f>
        <v>0.92680000000000007</v>
      </c>
      <c r="F54" s="68"/>
      <c r="G54" s="68"/>
      <c r="H54" s="68"/>
      <c r="I54" s="71">
        <f>'6.Chiết tính'!J668</f>
        <v>2186041.5810053027</v>
      </c>
      <c r="J54" s="71"/>
      <c r="K54" s="71">
        <f t="shared" si="0"/>
        <v>2026023.3372757146</v>
      </c>
      <c r="L54" s="71">
        <f t="shared" si="1"/>
        <v>0</v>
      </c>
      <c r="M54" s="71">
        <f t="shared" si="2"/>
        <v>0</v>
      </c>
      <c r="N54" s="71">
        <f t="shared" si="3"/>
        <v>0</v>
      </c>
      <c r="O54" s="67"/>
    </row>
    <row r="55" spans="1:15" ht="15" customHeight="1">
      <c r="A55" s="66">
        <v>38</v>
      </c>
      <c r="B55" s="67" t="str">
        <f>'5.Tiên lượng'!C94</f>
        <v>AB.31132</v>
      </c>
      <c r="C55" s="67" t="str">
        <f>'5.Tiên lượng'!D94</f>
        <v>Đào hữu cơ bằng máy đào 1,25m3 - Cấp đất II</v>
      </c>
      <c r="D55" s="66" t="str">
        <f>'5.Tiên lượng'!E94</f>
        <v>100m3</v>
      </c>
      <c r="E55" s="68">
        <f>'5.Tiên lượng'!M94</f>
        <v>1.2434000000000001</v>
      </c>
      <c r="F55" s="68"/>
      <c r="G55" s="68"/>
      <c r="H55" s="68"/>
      <c r="I55" s="71">
        <f>'6.Chiết tính'!J684</f>
        <v>2268009.0857081842</v>
      </c>
      <c r="J55" s="71"/>
      <c r="K55" s="71">
        <f t="shared" si="0"/>
        <v>2820042.4971695566</v>
      </c>
      <c r="L55" s="71">
        <f t="shared" si="1"/>
        <v>0</v>
      </c>
      <c r="M55" s="71">
        <f t="shared" si="2"/>
        <v>0</v>
      </c>
      <c r="N55" s="71">
        <f t="shared" si="3"/>
        <v>0</v>
      </c>
      <c r="O55" s="67"/>
    </row>
    <row r="56" spans="1:15" ht="15" customHeight="1">
      <c r="A56" s="66">
        <v>39</v>
      </c>
      <c r="B56" s="67" t="str">
        <f>'5.Tiên lượng'!C97</f>
        <v>AB.67110</v>
      </c>
      <c r="C56" s="67" t="str">
        <f>'5.Tiên lượng'!D97</f>
        <v>Đắp đá hỗn hợp công trình bằng máy ủi 180CV</v>
      </c>
      <c r="D56" s="66" t="str">
        <f>'5.Tiên lượng'!E97</f>
        <v>100m3</v>
      </c>
      <c r="E56" s="68">
        <f>'5.Tiên lượng'!M97</f>
        <v>0</v>
      </c>
      <c r="F56" s="68"/>
      <c r="G56" s="68"/>
      <c r="H56" s="68"/>
      <c r="I56" s="71">
        <f>'6.Chiết tính'!J700</f>
        <v>5548811.2381228032</v>
      </c>
      <c r="J56" s="71"/>
      <c r="K56" s="71">
        <f t="shared" si="0"/>
        <v>0</v>
      </c>
      <c r="L56" s="71">
        <f t="shared" si="1"/>
        <v>0</v>
      </c>
      <c r="M56" s="71">
        <f t="shared" si="2"/>
        <v>0</v>
      </c>
      <c r="N56" s="71">
        <f t="shared" si="3"/>
        <v>0</v>
      </c>
      <c r="O56" s="67"/>
    </row>
    <row r="57" spans="1:15" ht="15" customHeight="1">
      <c r="A57" s="66">
        <v>40</v>
      </c>
      <c r="B57" s="67" t="str">
        <f>'5.Tiên lượng'!C99</f>
        <v>AD.11212</v>
      </c>
      <c r="C57" s="67" t="str">
        <f>'5.Tiên lượng'!D99</f>
        <v xml:space="preserve">Thi công móng cấp phối đá dăm lớp dưới </v>
      </c>
      <c r="D57" s="66" t="str">
        <f>'5.Tiên lượng'!E99</f>
        <v>100m3</v>
      </c>
      <c r="E57" s="68">
        <f>'5.Tiên lượng'!M99</f>
        <v>4.3350070000000001</v>
      </c>
      <c r="F57" s="68"/>
      <c r="G57" s="68"/>
      <c r="H57" s="68"/>
      <c r="I57" s="71">
        <f>'6.Chiết tính'!J721</f>
        <v>45519325.595883742</v>
      </c>
      <c r="J57" s="71"/>
      <c r="K57" s="71">
        <f t="shared" si="0"/>
        <v>197326595.0934352</v>
      </c>
      <c r="L57" s="71">
        <f t="shared" si="1"/>
        <v>0</v>
      </c>
      <c r="M57" s="71">
        <f t="shared" si="2"/>
        <v>0</v>
      </c>
      <c r="N57" s="71">
        <f t="shared" si="3"/>
        <v>0</v>
      </c>
      <c r="O57" s="67"/>
    </row>
    <row r="58" spans="1:15" ht="15" customHeight="1">
      <c r="A58" s="66">
        <v>41</v>
      </c>
      <c r="B58" s="67" t="str">
        <f>'5.Tiên lượng'!C101</f>
        <v>AB.64113</v>
      </c>
      <c r="C58" s="67" t="str">
        <f>'5.Tiên lượng'!D101</f>
        <v>Đắp nền đường bằng máy lu bánh thép 9T, máy ủi 110CV, độ chặt Y/C K = 0,95</v>
      </c>
      <c r="D58" s="66" t="str">
        <f>'5.Tiên lượng'!E101</f>
        <v>100m3</v>
      </c>
      <c r="E58" s="68">
        <f>'5.Tiên lượng'!M101</f>
        <v>8.2415929999999999</v>
      </c>
      <c r="F58" s="68"/>
      <c r="G58" s="68"/>
      <c r="H58" s="68"/>
      <c r="I58" s="71">
        <f>'6.Chiết tính'!J738</f>
        <v>1538724.1206458865</v>
      </c>
      <c r="J58" s="71"/>
      <c r="K58" s="71">
        <f t="shared" si="0"/>
        <v>12681537.941646295</v>
      </c>
      <c r="L58" s="71">
        <f t="shared" si="1"/>
        <v>0</v>
      </c>
      <c r="M58" s="71">
        <f t="shared" si="2"/>
        <v>0</v>
      </c>
      <c r="N58" s="71">
        <f t="shared" si="3"/>
        <v>0</v>
      </c>
      <c r="O58" s="67"/>
    </row>
    <row r="59" spans="1:15" ht="15" customHeight="1">
      <c r="A59" s="66">
        <v>42</v>
      </c>
      <c r="B59" s="67" t="str">
        <f>'5.Tiên lượng'!C105</f>
        <v>AD.11212(VD)</v>
      </c>
      <c r="C59" s="67" t="str">
        <f>'5.Tiên lượng'!D105</f>
        <v>Bù vật liệu (trên mặt đường cũ lồi lõm) bằng cấp phối đá dăm loại 2 (không lu)</v>
      </c>
      <c r="D59" s="66" t="str">
        <f>'5.Tiên lượng'!E105</f>
        <v>100m3</v>
      </c>
      <c r="E59" s="68">
        <f>'5.Tiên lượng'!M105</f>
        <v>10.24</v>
      </c>
      <c r="F59" s="68"/>
      <c r="G59" s="68"/>
      <c r="H59" s="68"/>
      <c r="I59" s="71">
        <f>'6.Chiết tính'!J761</f>
        <v>43439631.166095808</v>
      </c>
      <c r="J59" s="71"/>
      <c r="K59" s="71">
        <f t="shared" si="0"/>
        <v>444821823.1408211</v>
      </c>
      <c r="L59" s="71">
        <f t="shared" si="1"/>
        <v>0</v>
      </c>
      <c r="M59" s="71">
        <f t="shared" si="2"/>
        <v>0</v>
      </c>
      <c r="N59" s="71">
        <f t="shared" si="3"/>
        <v>0</v>
      </c>
      <c r="O59" s="67"/>
    </row>
    <row r="60" spans="1:15" ht="15" customHeight="1">
      <c r="A60" s="66">
        <v>43</v>
      </c>
      <c r="B60" s="67" t="str">
        <f>'5.Tiên lượng'!C107</f>
        <v>AB.31133</v>
      </c>
      <c r="C60" s="67" t="str">
        <f>'5.Tiên lượng'!D107</f>
        <v>Đào đất phần cạp mở rộng bằng máy đào 1,25m3 - Cấp đất III</v>
      </c>
      <c r="D60" s="66" t="str">
        <f>'5.Tiên lượng'!E107</f>
        <v>100m3</v>
      </c>
      <c r="E60" s="68">
        <f>'5.Tiên lượng'!M107</f>
        <v>2.1415000000000002</v>
      </c>
      <c r="F60" s="68"/>
      <c r="G60" s="68"/>
      <c r="H60" s="68"/>
      <c r="I60" s="71">
        <f>'6.Chiết tính'!J777</f>
        <v>2688464.085348784</v>
      </c>
      <c r="J60" s="71"/>
      <c r="K60" s="71">
        <f t="shared" si="0"/>
        <v>5757345.8387744213</v>
      </c>
      <c r="L60" s="71">
        <f t="shared" si="1"/>
        <v>0</v>
      </c>
      <c r="M60" s="71">
        <f t="shared" si="2"/>
        <v>0</v>
      </c>
      <c r="N60" s="71">
        <f t="shared" si="3"/>
        <v>0</v>
      </c>
      <c r="O60" s="67"/>
    </row>
    <row r="61" spans="1:15" ht="15" customHeight="1">
      <c r="A61" s="66">
        <v>44</v>
      </c>
      <c r="B61" s="67" t="str">
        <f>'5.Tiên lượng'!C109</f>
        <v>AD.11212</v>
      </c>
      <c r="C61" s="67" t="str">
        <f>'5.Tiên lượng'!D109</f>
        <v>Bù trả vật liệu phần cạp mở rộng bằng cấp phối đá dăm loại 2 dày 18cm (không lu)</v>
      </c>
      <c r="D61" s="66" t="str">
        <f>'5.Tiên lượng'!E109</f>
        <v>100m3</v>
      </c>
      <c r="E61" s="68">
        <f>'5.Tiên lượng'!M109</f>
        <v>4.8311000000000002</v>
      </c>
      <c r="F61" s="68"/>
      <c r="G61" s="68"/>
      <c r="H61" s="68"/>
      <c r="I61" s="71">
        <f>'6.Chiết tính'!J798</f>
        <v>43434802.5000154</v>
      </c>
      <c r="J61" s="71"/>
      <c r="K61" s="71">
        <f t="shared" si="0"/>
        <v>209837874.35782441</v>
      </c>
      <c r="L61" s="71">
        <f t="shared" si="1"/>
        <v>0</v>
      </c>
      <c r="M61" s="71">
        <f t="shared" si="2"/>
        <v>0</v>
      </c>
      <c r="N61" s="71">
        <f t="shared" si="3"/>
        <v>0</v>
      </c>
      <c r="O61" s="67"/>
    </row>
    <row r="62" spans="1:15" ht="15" customHeight="1">
      <c r="A62" s="66">
        <v>45</v>
      </c>
      <c r="B62" s="67" t="str">
        <f>'5.Tiên lượng'!C111</f>
        <v>LS.11110(ĐM.1322)</v>
      </c>
      <c r="C62" s="67" t="str">
        <f>'5.Tiên lượng'!D111</f>
        <v>Cào bóc tái sinh nguội tại chỗ bằng máy cào bóc tái sinh WR2400 trên mặt đường láng nhựa, chiều dày 18cm (4% xi măng rải thủ công)</v>
      </c>
      <c r="D62" s="66" t="str">
        <f>'5.Tiên lượng'!E111</f>
        <v>100m3</v>
      </c>
      <c r="E62" s="68">
        <f>'5.Tiên lượng'!M111</f>
        <v>19.253299999999999</v>
      </c>
      <c r="F62" s="68"/>
      <c r="G62" s="68"/>
      <c r="H62" s="68"/>
      <c r="I62" s="71">
        <f>'6.Chiết tính'!J826</f>
        <v>47766092.724215478</v>
      </c>
      <c r="J62" s="71"/>
      <c r="K62" s="71">
        <f t="shared" si="0"/>
        <v>919654913.04713786</v>
      </c>
      <c r="L62" s="71">
        <f t="shared" si="1"/>
        <v>0</v>
      </c>
      <c r="M62" s="71">
        <f t="shared" si="2"/>
        <v>0</v>
      </c>
      <c r="N62" s="71">
        <f t="shared" si="3"/>
        <v>0</v>
      </c>
      <c r="O62" s="67"/>
    </row>
    <row r="63" spans="1:15" ht="15" customHeight="1">
      <c r="A63" s="66">
        <v>46</v>
      </c>
      <c r="B63" s="67" t="str">
        <f>'5.Tiên lượng'!C113</f>
        <v>AD.24223</v>
      </c>
      <c r="C63" s="67" t="str">
        <f>'5.Tiên lượng'!D113</f>
        <v>Tưới lớp dính bám mặt đường, nhũ tương CSS1, lượng nhũ tương 1kg/m2</v>
      </c>
      <c r="D63" s="66" t="str">
        <f>'5.Tiên lượng'!E113</f>
        <v>100m2</v>
      </c>
      <c r="E63" s="68">
        <f>'5.Tiên lượng'!M113</f>
        <v>106.9627</v>
      </c>
      <c r="F63" s="68"/>
      <c r="G63" s="68"/>
      <c r="H63" s="68"/>
      <c r="I63" s="71">
        <f>'6.Chiết tính'!J844</f>
        <v>2223602.9637722257</v>
      </c>
      <c r="J63" s="71"/>
      <c r="K63" s="71">
        <f t="shared" si="0"/>
        <v>237842576.73307943</v>
      </c>
      <c r="L63" s="71">
        <f t="shared" si="1"/>
        <v>0</v>
      </c>
      <c r="M63" s="71">
        <f t="shared" si="2"/>
        <v>0</v>
      </c>
      <c r="N63" s="71">
        <f t="shared" si="3"/>
        <v>0</v>
      </c>
      <c r="O63" s="67"/>
    </row>
    <row r="64" spans="1:15" ht="15" customHeight="1">
      <c r="A64" s="66">
        <v>47</v>
      </c>
      <c r="B64" s="67" t="str">
        <f>'5.Tiên lượng'!C115</f>
        <v>AD.24132</v>
      </c>
      <c r="C64" s="67" t="str">
        <f>'5.Tiên lượng'!D115</f>
        <v>Thi công mặt đường láng nhũ tương 03 lớp - Tiêu chuẩn nhựa 4,5kg/m2</v>
      </c>
      <c r="D64" s="66" t="str">
        <f>'5.Tiên lượng'!E115</f>
        <v>100m2</v>
      </c>
      <c r="E64" s="68">
        <f>'5.Tiên lượng'!M115</f>
        <v>106.9627</v>
      </c>
      <c r="F64" s="68"/>
      <c r="G64" s="68"/>
      <c r="H64" s="68"/>
      <c r="I64" s="71">
        <f>'6.Chiết tính'!J865</f>
        <v>12306400.086340882</v>
      </c>
      <c r="J64" s="71"/>
      <c r="K64" s="71">
        <f t="shared" si="0"/>
        <v>1316325780.5152538</v>
      </c>
      <c r="L64" s="71">
        <f t="shared" si="1"/>
        <v>0</v>
      </c>
      <c r="M64" s="71">
        <f t="shared" si="2"/>
        <v>0</v>
      </c>
      <c r="N64" s="71">
        <f t="shared" si="3"/>
        <v>0</v>
      </c>
      <c r="O64" s="67"/>
    </row>
    <row r="65" spans="1:15" ht="15" customHeight="1">
      <c r="A65" s="66">
        <v>48</v>
      </c>
      <c r="B65" s="67" t="str">
        <f>'5.Tiên lượng'!C118</f>
        <v>LS.11110(ĐM.1322)</v>
      </c>
      <c r="C65" s="67" t="str">
        <f>'5.Tiên lượng'!D118</f>
        <v>Cào bóc tái sinh nguội tại chỗ bằng máy cào bóc tái sinh WR2400 trên mặt đường láng nhựa, chiều dày 18cm (4% xi măng rải thủ công)</v>
      </c>
      <c r="D65" s="66" t="str">
        <f>'5.Tiên lượng'!E118</f>
        <v>100m3</v>
      </c>
      <c r="E65" s="68">
        <f>'5.Tiên lượng'!M118</f>
        <v>0.2389</v>
      </c>
      <c r="F65" s="68"/>
      <c r="G65" s="68"/>
      <c r="H65" s="68"/>
      <c r="I65" s="71">
        <f>'6.Chiết tính'!J894</f>
        <v>47766092.724215478</v>
      </c>
      <c r="J65" s="71"/>
      <c r="K65" s="71">
        <f t="shared" si="0"/>
        <v>11411319.551815078</v>
      </c>
      <c r="L65" s="71">
        <f t="shared" si="1"/>
        <v>0</v>
      </c>
      <c r="M65" s="71">
        <f t="shared" si="2"/>
        <v>0</v>
      </c>
      <c r="N65" s="71">
        <f t="shared" si="3"/>
        <v>0</v>
      </c>
      <c r="O65" s="67"/>
    </row>
    <row r="66" spans="1:15" ht="15" customHeight="1">
      <c r="A66" s="66">
        <v>49</v>
      </c>
      <c r="B66" s="67" t="str">
        <f>'5.Tiên lượng'!C120</f>
        <v>AD.24223</v>
      </c>
      <c r="C66" s="67" t="str">
        <f>'5.Tiên lượng'!D120</f>
        <v>Tưới lớp dính bám mặt đường, nhũ tương CSS1, lượng nhũ tương 1kg/m2</v>
      </c>
      <c r="D66" s="66" t="str">
        <f>'5.Tiên lượng'!E120</f>
        <v>100m2</v>
      </c>
      <c r="E66" s="68">
        <f>'5.Tiên lượng'!M120</f>
        <v>1.3271999999999999</v>
      </c>
      <c r="F66" s="68"/>
      <c r="G66" s="68"/>
      <c r="H66" s="68"/>
      <c r="I66" s="71">
        <f>'6.Chiết tính'!J912</f>
        <v>2223602.9637722257</v>
      </c>
      <c r="J66" s="71"/>
      <c r="K66" s="71">
        <f t="shared" si="0"/>
        <v>2951165.8535184977</v>
      </c>
      <c r="L66" s="71">
        <f t="shared" si="1"/>
        <v>0</v>
      </c>
      <c r="M66" s="71">
        <f t="shared" si="2"/>
        <v>0</v>
      </c>
      <c r="N66" s="71">
        <f t="shared" si="3"/>
        <v>0</v>
      </c>
      <c r="O66" s="67"/>
    </row>
    <row r="67" spans="1:15" ht="15" customHeight="1">
      <c r="A67" s="66">
        <v>50</v>
      </c>
      <c r="B67" s="67" t="str">
        <f>'5.Tiên lượng'!C122</f>
        <v>AD.24132</v>
      </c>
      <c r="C67" s="67" t="str">
        <f>'5.Tiên lượng'!D122</f>
        <v>Thi công mặt đường láng nhũ tương 03 lớp - Tiêu chuẩn nhựa 4,5kg/m2</v>
      </c>
      <c r="D67" s="66" t="str">
        <f>'5.Tiên lượng'!E122</f>
        <v>100m2</v>
      </c>
      <c r="E67" s="68">
        <f>'5.Tiên lượng'!M122</f>
        <v>1.3271999999999999</v>
      </c>
      <c r="F67" s="68"/>
      <c r="G67" s="68"/>
      <c r="H67" s="68"/>
      <c r="I67" s="71">
        <f>'6.Chiết tính'!J933</f>
        <v>12306400.086340882</v>
      </c>
      <c r="J67" s="71"/>
      <c r="K67" s="71">
        <f t="shared" si="0"/>
        <v>16333054.194591617</v>
      </c>
      <c r="L67" s="71">
        <f t="shared" si="1"/>
        <v>0</v>
      </c>
      <c r="M67" s="71">
        <f t="shared" si="2"/>
        <v>0</v>
      </c>
      <c r="N67" s="71">
        <f t="shared" si="3"/>
        <v>0</v>
      </c>
      <c r="O67" s="67"/>
    </row>
    <row r="68" spans="1:15" ht="15" customHeight="1">
      <c r="A68" s="66">
        <v>51</v>
      </c>
      <c r="B68" s="67" t="str">
        <f>'5.Tiên lượng'!C127</f>
        <v>AK.98110(VD)</v>
      </c>
      <c r="C68" s="67" t="str">
        <f>'5.Tiên lượng'!D127</f>
        <v>Đá dăm đệm rãnh, đá (1x2)cm, dày 10cm</v>
      </c>
      <c r="D68" s="66" t="str">
        <f>'5.Tiên lượng'!E127</f>
        <v>m3</v>
      </c>
      <c r="E68" s="68">
        <f>'5.Tiên lượng'!M127</f>
        <v>7.43</v>
      </c>
      <c r="F68" s="68"/>
      <c r="G68" s="68"/>
      <c r="H68" s="68"/>
      <c r="I68" s="71">
        <f>'6.Chiết tính'!J951</f>
        <v>957171.65673770616</v>
      </c>
      <c r="J68" s="71"/>
      <c r="K68" s="71">
        <f t="shared" si="0"/>
        <v>7111785.4095611563</v>
      </c>
      <c r="L68" s="71">
        <f t="shared" si="1"/>
        <v>0</v>
      </c>
      <c r="M68" s="71">
        <f t="shared" si="2"/>
        <v>0</v>
      </c>
      <c r="N68" s="71">
        <f t="shared" si="3"/>
        <v>0</v>
      </c>
      <c r="O68" s="67"/>
    </row>
    <row r="69" spans="1:15" ht="15" customHeight="1">
      <c r="A69" s="66">
        <v>52</v>
      </c>
      <c r="B69" s="67" t="str">
        <f>'5.Tiên lượng'!C128</f>
        <v>AF.11231</v>
      </c>
      <c r="C69" s="67" t="str">
        <f>'5.Tiên lượng'!D128</f>
        <v>BTXM móng rãnh, M150, đá 2x4, PCB40</v>
      </c>
      <c r="D69" s="66" t="str">
        <f>'5.Tiên lượng'!E128</f>
        <v>m3</v>
      </c>
      <c r="E69" s="68">
        <f>'5.Tiên lượng'!M128</f>
        <v>7.43</v>
      </c>
      <c r="F69" s="68"/>
      <c r="G69" s="68"/>
      <c r="H69" s="68"/>
      <c r="I69" s="71">
        <f>'6.Chiết tính'!J972</f>
        <v>1789501.4158042176</v>
      </c>
      <c r="J69" s="71"/>
      <c r="K69" s="71">
        <f t="shared" si="0"/>
        <v>13295995.519425336</v>
      </c>
      <c r="L69" s="71">
        <f t="shared" si="1"/>
        <v>0</v>
      </c>
      <c r="M69" s="71">
        <f t="shared" si="2"/>
        <v>0</v>
      </c>
      <c r="N69" s="71">
        <f t="shared" si="3"/>
        <v>0</v>
      </c>
      <c r="O69" s="67"/>
    </row>
    <row r="70" spans="1:15" ht="15" customHeight="1">
      <c r="A70" s="66">
        <v>53</v>
      </c>
      <c r="B70" s="67" t="str">
        <f>'5.Tiên lượng'!C129</f>
        <v>AE.26313</v>
      </c>
      <c r="C70" s="67" t="str">
        <f>'5.Tiên lượng'!D129</f>
        <v>Xây rãnh thoát nước bằng gạch KN 6,5x10,5x22cm, vữa XM M75, PCB40</v>
      </c>
      <c r="D70" s="66" t="str">
        <f>'5.Tiên lượng'!E129</f>
        <v>m3</v>
      </c>
      <c r="E70" s="68">
        <f>'5.Tiên lượng'!M129</f>
        <v>10.43</v>
      </c>
      <c r="F70" s="68"/>
      <c r="G70" s="68"/>
      <c r="H70" s="68"/>
      <c r="I70" s="71">
        <f>'6.Chiết tính'!J992</f>
        <v>3116769.9581218893</v>
      </c>
      <c r="J70" s="71"/>
      <c r="K70" s="71">
        <f t="shared" si="0"/>
        <v>32507910.663211305</v>
      </c>
      <c r="L70" s="71">
        <f t="shared" si="1"/>
        <v>0</v>
      </c>
      <c r="M70" s="71">
        <f t="shared" si="2"/>
        <v>0</v>
      </c>
      <c r="N70" s="71">
        <f t="shared" si="3"/>
        <v>0</v>
      </c>
      <c r="O70" s="67"/>
    </row>
    <row r="71" spans="1:15" ht="15" customHeight="1">
      <c r="A71" s="66">
        <v>54</v>
      </c>
      <c r="B71" s="67" t="str">
        <f>'5.Tiên lượng'!C130</f>
        <v>AK.21113</v>
      </c>
      <c r="C71" s="67" t="str">
        <f>'5.Tiên lượng'!D130</f>
        <v>Trát tường ngoài dày 1cm, vữa XM M75, PCB40</v>
      </c>
      <c r="D71" s="66" t="str">
        <f>'5.Tiên lượng'!E130</f>
        <v>m2</v>
      </c>
      <c r="E71" s="68">
        <f>'5.Tiên lượng'!M130</f>
        <v>47.4</v>
      </c>
      <c r="F71" s="68"/>
      <c r="G71" s="68"/>
      <c r="H71" s="68"/>
      <c r="I71" s="71">
        <f>'6.Chiết tính'!J1011</f>
        <v>91303.717017968578</v>
      </c>
      <c r="J71" s="71"/>
      <c r="K71" s="71">
        <f t="shared" si="0"/>
        <v>4327796.1866517104</v>
      </c>
      <c r="L71" s="71">
        <f t="shared" si="1"/>
        <v>0</v>
      </c>
      <c r="M71" s="71">
        <f t="shared" si="2"/>
        <v>0</v>
      </c>
      <c r="N71" s="71">
        <f t="shared" si="3"/>
        <v>0</v>
      </c>
      <c r="O71" s="67"/>
    </row>
    <row r="72" spans="1:15" ht="15" customHeight="1">
      <c r="A72" s="66">
        <v>55</v>
      </c>
      <c r="B72" s="67" t="str">
        <f>'5.Tiên lượng'!C132</f>
        <v>AF.14212</v>
      </c>
      <c r="C72" s="67" t="str">
        <f>'5.Tiên lượng'!D132</f>
        <v>Bê tông mũ mố, mũ trụ trên cạn SX bằng máy trộn, đổ bằng thủ công, bê tông M200, đá 1x2, PCB40</v>
      </c>
      <c r="D72" s="66" t="str">
        <f>'5.Tiên lượng'!E132</f>
        <v>m3</v>
      </c>
      <c r="E72" s="68">
        <f>'5.Tiên lượng'!M132</f>
        <v>5.91</v>
      </c>
      <c r="F72" s="68"/>
      <c r="G72" s="68"/>
      <c r="H72" s="68"/>
      <c r="I72" s="71">
        <f>'6.Chiết tính'!J1034</f>
        <v>2551804.4621140463</v>
      </c>
      <c r="J72" s="71"/>
      <c r="K72" s="71">
        <f t="shared" si="0"/>
        <v>15081164.371094014</v>
      </c>
      <c r="L72" s="71">
        <f t="shared" si="1"/>
        <v>0</v>
      </c>
      <c r="M72" s="71">
        <f t="shared" si="2"/>
        <v>0</v>
      </c>
      <c r="N72" s="71">
        <f t="shared" si="3"/>
        <v>0</v>
      </c>
      <c r="O72" s="67"/>
    </row>
    <row r="73" spans="1:15" ht="15" customHeight="1">
      <c r="A73" s="66">
        <v>56</v>
      </c>
      <c r="B73" s="67" t="str">
        <f>'5.Tiên lượng'!C133</f>
        <v>AF.61110</v>
      </c>
      <c r="C73" s="67" t="str">
        <f>'5.Tiên lượng'!D133</f>
        <v>Lắp dựng cốt thép móng, ĐK ≤10mm</v>
      </c>
      <c r="D73" s="66" t="str">
        <f>'5.Tiên lượng'!E133</f>
        <v>tấn</v>
      </c>
      <c r="E73" s="68">
        <f>'5.Tiên lượng'!M133</f>
        <v>0.24490000000000001</v>
      </c>
      <c r="F73" s="68"/>
      <c r="G73" s="68"/>
      <c r="H73" s="68"/>
      <c r="I73" s="71">
        <f>'6.Chiết tính'!J1051</f>
        <v>27050625.806872122</v>
      </c>
      <c r="J73" s="71"/>
      <c r="K73" s="71">
        <f t="shared" si="0"/>
        <v>6624698.2601029826</v>
      </c>
      <c r="L73" s="71">
        <f t="shared" si="1"/>
        <v>0</v>
      </c>
      <c r="M73" s="71">
        <f t="shared" si="2"/>
        <v>0</v>
      </c>
      <c r="N73" s="71">
        <f t="shared" si="3"/>
        <v>0</v>
      </c>
      <c r="O73" s="67"/>
    </row>
    <row r="74" spans="1:15" ht="15" customHeight="1">
      <c r="A74" s="66">
        <v>57</v>
      </c>
      <c r="B74" s="67" t="str">
        <f>'5.Tiên lượng'!C135</f>
        <v>AF.82511</v>
      </c>
      <c r="C74" s="67" t="str">
        <f>'5.Tiên lượng'!D135</f>
        <v>Ván khuôn thép mũ  mố</v>
      </c>
      <c r="D74" s="66" t="str">
        <f>'5.Tiên lượng'!E135</f>
        <v>100m2</v>
      </c>
      <c r="E74" s="68">
        <f>'5.Tiên lượng'!M135</f>
        <v>0.93220000000000003</v>
      </c>
      <c r="F74" s="68"/>
      <c r="G74" s="68"/>
      <c r="H74" s="68"/>
      <c r="I74" s="71">
        <f>'6.Chiết tính'!J1071</f>
        <v>7171231.0739318607</v>
      </c>
      <c r="J74" s="71"/>
      <c r="K74" s="71">
        <f t="shared" si="0"/>
        <v>6685021.6071192808</v>
      </c>
      <c r="L74" s="71">
        <f t="shared" si="1"/>
        <v>0</v>
      </c>
      <c r="M74" s="71">
        <f t="shared" si="2"/>
        <v>0</v>
      </c>
      <c r="N74" s="71">
        <f t="shared" si="3"/>
        <v>0</v>
      </c>
      <c r="O74" s="67"/>
    </row>
    <row r="75" spans="1:15" ht="15" customHeight="1">
      <c r="A75" s="66">
        <v>58</v>
      </c>
      <c r="B75" s="67" t="str">
        <f>'5.Tiên lượng'!C138</f>
        <v>AG.11413</v>
      </c>
      <c r="C75" s="67" t="str">
        <f>'5.Tiên lượng'!D138</f>
        <v>Bê tông tấm đan, mái hắt, lanh tô, bê tông M250, đá 1x2, PCB40 - Đổ bê tông đúc sẵn bằng thủ công (vữa bê tông sản xuất bằng máy trộn)</v>
      </c>
      <c r="D75" s="66" t="str">
        <f>'5.Tiên lượng'!E138</f>
        <v>m3</v>
      </c>
      <c r="E75" s="68">
        <f>'5.Tiên lượng'!M138</f>
        <v>6.64</v>
      </c>
      <c r="F75" s="68"/>
      <c r="G75" s="68"/>
      <c r="H75" s="68"/>
      <c r="I75" s="71">
        <f>'6.Chiết tính'!J1091</f>
        <v>2160840.0048695421</v>
      </c>
      <c r="J75" s="71"/>
      <c r="K75" s="71">
        <f t="shared" si="0"/>
        <v>14347977.632333759</v>
      </c>
      <c r="L75" s="71">
        <f t="shared" si="1"/>
        <v>0</v>
      </c>
      <c r="M75" s="71">
        <f t="shared" si="2"/>
        <v>0</v>
      </c>
      <c r="N75" s="71">
        <f t="shared" si="3"/>
        <v>0</v>
      </c>
      <c r="O75" s="67"/>
    </row>
    <row r="76" spans="1:15" ht="15" customHeight="1">
      <c r="A76" s="66">
        <v>59</v>
      </c>
      <c r="B76" s="67" t="str">
        <f>'5.Tiên lượng'!C139</f>
        <v>AG.41610</v>
      </c>
      <c r="C76" s="67" t="str">
        <f>'5.Tiên lượng'!D139</f>
        <v>Lắp đặt cấu kiện bê tông đúc sẵn trọng lượng từ 50kg đến 200kg bằng cần cẩu</v>
      </c>
      <c r="D76" s="66" t="str">
        <f>'5.Tiên lượng'!E139</f>
        <v>1cấu kiện</v>
      </c>
      <c r="E76" s="68">
        <f>'5.Tiên lượng'!M139</f>
        <v>79</v>
      </c>
      <c r="F76" s="68"/>
      <c r="G76" s="68"/>
      <c r="H76" s="68"/>
      <c r="I76" s="71">
        <f>'6.Chiết tính'!J1106</f>
        <v>40657.448852591995</v>
      </c>
      <c r="J76" s="71"/>
      <c r="K76" s="71">
        <f t="shared" si="0"/>
        <v>3211938.4593547676</v>
      </c>
      <c r="L76" s="71">
        <f t="shared" si="1"/>
        <v>0</v>
      </c>
      <c r="M76" s="71">
        <f t="shared" si="2"/>
        <v>0</v>
      </c>
      <c r="N76" s="71">
        <f t="shared" si="3"/>
        <v>0</v>
      </c>
      <c r="O76" s="67"/>
    </row>
    <row r="77" spans="1:15" ht="15" customHeight="1">
      <c r="A77" s="66">
        <v>60</v>
      </c>
      <c r="B77" s="67" t="str">
        <f>'5.Tiên lượng'!C141</f>
        <v>AG.13231</v>
      </c>
      <c r="C77" s="67" t="str">
        <f>'5.Tiên lượng'!D141</f>
        <v>Cốt thép tấm đậy</v>
      </c>
      <c r="D77" s="66" t="str">
        <f>'5.Tiên lượng'!E141</f>
        <v>tấn</v>
      </c>
      <c r="E77" s="68">
        <f>'5.Tiên lượng'!M141</f>
        <v>1.7095600000000002</v>
      </c>
      <c r="F77" s="68"/>
      <c r="G77" s="68"/>
      <c r="H77" s="68"/>
      <c r="I77" s="71">
        <f>'6.Chiết tính'!J1123</f>
        <v>29301812.934146743</v>
      </c>
      <c r="J77" s="71"/>
      <c r="K77" s="71">
        <f t="shared" si="0"/>
        <v>50093207.319699913</v>
      </c>
      <c r="L77" s="71">
        <f t="shared" si="1"/>
        <v>0</v>
      </c>
      <c r="M77" s="71">
        <f t="shared" si="2"/>
        <v>0</v>
      </c>
      <c r="N77" s="71">
        <f t="shared" si="3"/>
        <v>0</v>
      </c>
      <c r="O77" s="67"/>
    </row>
    <row r="78" spans="1:15" ht="15" customHeight="1">
      <c r="A78" s="66">
        <v>61</v>
      </c>
      <c r="B78" s="67" t="str">
        <f>'5.Tiên lượng'!C143</f>
        <v>AG.32511</v>
      </c>
      <c r="C78" s="67" t="str">
        <f>'5.Tiên lượng'!D143</f>
        <v>Ván khuôn thép tấm đậy</v>
      </c>
      <c r="D78" s="66" t="str">
        <f>'5.Tiên lượng'!E143</f>
        <v>100m2</v>
      </c>
      <c r="E78" s="68">
        <f>'5.Tiên lượng'!M143</f>
        <v>0.35389999999999999</v>
      </c>
      <c r="F78" s="68"/>
      <c r="G78" s="68"/>
      <c r="H78" s="68"/>
      <c r="I78" s="71">
        <f>'6.Chiết tính'!J1143</f>
        <v>9799038.0184733067</v>
      </c>
      <c r="J78" s="71"/>
      <c r="K78" s="71">
        <f t="shared" si="0"/>
        <v>3467879.5547377029</v>
      </c>
      <c r="L78" s="71">
        <f t="shared" si="1"/>
        <v>0</v>
      </c>
      <c r="M78" s="71">
        <f t="shared" si="2"/>
        <v>0</v>
      </c>
      <c r="N78" s="71">
        <f t="shared" si="3"/>
        <v>0</v>
      </c>
      <c r="O78" s="67"/>
    </row>
    <row r="79" spans="1:15" ht="15" customHeight="1">
      <c r="A79" s="66">
        <v>62</v>
      </c>
      <c r="B79" s="67" t="str">
        <f>'5.Tiên lượng'!C146</f>
        <v>BB.11112</v>
      </c>
      <c r="C79" s="67" t="str">
        <f>'5.Tiên lượng'!D146</f>
        <v xml:space="preserve">Lắp đặt ống bê tông bằng thủ công, đoạn ống dài 1m - Đường kính 300mm </v>
      </c>
      <c r="D79" s="66" t="str">
        <f>'5.Tiên lượng'!E146</f>
        <v>1 đoạn ống</v>
      </c>
      <c r="E79" s="68">
        <f>'5.Tiên lượng'!M146</f>
        <v>38</v>
      </c>
      <c r="F79" s="68"/>
      <c r="G79" s="68"/>
      <c r="H79" s="68"/>
      <c r="I79" s="71">
        <f>'6.Chiết tính'!J1160</f>
        <v>530345.51533608441</v>
      </c>
      <c r="J79" s="71"/>
      <c r="K79" s="71">
        <f t="shared" si="0"/>
        <v>20153129.582771208</v>
      </c>
      <c r="L79" s="71">
        <f t="shared" si="1"/>
        <v>0</v>
      </c>
      <c r="M79" s="71">
        <f t="shared" si="2"/>
        <v>0</v>
      </c>
      <c r="N79" s="71">
        <f t="shared" si="3"/>
        <v>0</v>
      </c>
      <c r="O79" s="67"/>
    </row>
    <row r="80" spans="1:15" ht="15" customHeight="1">
      <c r="A80" s="66">
        <v>63</v>
      </c>
      <c r="B80" s="67" t="str">
        <f>'5.Tiên lượng'!C147</f>
        <v>BB.11122</v>
      </c>
      <c r="C80" s="67" t="str">
        <f>'5.Tiên lượng'!D147</f>
        <v xml:space="preserve">Lắp đặt ống bê tông bằng thủ công, đoạn ống dài 2m - Đường kính 300mm </v>
      </c>
      <c r="D80" s="66" t="str">
        <f>'5.Tiên lượng'!E147</f>
        <v>1 đoạn ống</v>
      </c>
      <c r="E80" s="68">
        <f>'5.Tiên lượng'!M147</f>
        <v>74</v>
      </c>
      <c r="F80" s="68"/>
      <c r="G80" s="68"/>
      <c r="H80" s="68"/>
      <c r="I80" s="71">
        <f>'6.Chiết tính'!J1176</f>
        <v>1001605.6130721689</v>
      </c>
      <c r="J80" s="71"/>
      <c r="K80" s="71">
        <f t="shared" si="0"/>
        <v>74118815.367340505</v>
      </c>
      <c r="L80" s="71">
        <f t="shared" si="1"/>
        <v>0</v>
      </c>
      <c r="M80" s="71">
        <f t="shared" si="2"/>
        <v>0</v>
      </c>
      <c r="N80" s="71">
        <f t="shared" si="3"/>
        <v>0</v>
      </c>
      <c r="O80" s="67"/>
    </row>
    <row r="81" spans="1:15" ht="15" customHeight="1">
      <c r="A81" s="66">
        <v>64</v>
      </c>
      <c r="B81" s="67" t="str">
        <f>'5.Tiên lượng'!C148</f>
        <v>BB.13502</v>
      </c>
      <c r="C81" s="67" t="str">
        <f>'5.Tiên lượng'!D148</f>
        <v xml:space="preserve">Nối ống bê tông bằng phương pháp xảm - Đường kính 300mm </v>
      </c>
      <c r="D81" s="66" t="str">
        <f>'5.Tiên lượng'!E148</f>
        <v>mối nối</v>
      </c>
      <c r="E81" s="68">
        <f>'5.Tiên lượng'!M148</f>
        <v>64</v>
      </c>
      <c r="F81" s="68"/>
      <c r="G81" s="68"/>
      <c r="H81" s="68"/>
      <c r="I81" s="71">
        <f>'6.Chiết tính'!J1193</f>
        <v>33625.87176399376</v>
      </c>
      <c r="J81" s="71"/>
      <c r="K81" s="71">
        <f t="shared" si="0"/>
        <v>2152055.7928956007</v>
      </c>
      <c r="L81" s="71">
        <f t="shared" si="1"/>
        <v>0</v>
      </c>
      <c r="M81" s="71">
        <f t="shared" si="2"/>
        <v>0</v>
      </c>
      <c r="N81" s="71">
        <f t="shared" si="3"/>
        <v>0</v>
      </c>
      <c r="O81" s="67"/>
    </row>
    <row r="82" spans="1:15" ht="15" customHeight="1">
      <c r="A82" s="66">
        <v>65</v>
      </c>
      <c r="B82" s="67" t="str">
        <f>'5.Tiên lượng'!C149</f>
        <v>AB.64113</v>
      </c>
      <c r="C82" s="67" t="str">
        <f>'5.Tiên lượng'!D149</f>
        <v>Đắp nền đường bằng máy lu bánh thép 9T, máy ủi 110CV, độ chặt Y/C K = 0,95</v>
      </c>
      <c r="D82" s="66" t="str">
        <f>'5.Tiên lượng'!E149</f>
        <v>100m3</v>
      </c>
      <c r="E82" s="68">
        <f>'5.Tiên lượng'!M149</f>
        <v>0.27899999999999997</v>
      </c>
      <c r="F82" s="68"/>
      <c r="G82" s="68"/>
      <c r="H82" s="68"/>
      <c r="I82" s="71">
        <f>'6.Chiết tính'!J1210</f>
        <v>1538724.1206458865</v>
      </c>
      <c r="J82" s="71"/>
      <c r="K82" s="71">
        <f t="shared" si="0"/>
        <v>429304.02966020227</v>
      </c>
      <c r="L82" s="71">
        <f t="shared" si="1"/>
        <v>0</v>
      </c>
      <c r="M82" s="71">
        <f t="shared" si="2"/>
        <v>0</v>
      </c>
      <c r="N82" s="71">
        <f t="shared" si="3"/>
        <v>0</v>
      </c>
      <c r="O82" s="67"/>
    </row>
    <row r="83" spans="1:15" ht="15" customHeight="1">
      <c r="A83" s="66">
        <v>66</v>
      </c>
      <c r="B83" s="67" t="str">
        <f>'5.Tiên lượng'!C152</f>
        <v>AF.13211</v>
      </c>
      <c r="C83" s="67" t="str">
        <f>'5.Tiên lượng'!D152</f>
        <v>BTXM rãnh dọc, M150, đá 1x2, PCB40</v>
      </c>
      <c r="D83" s="66" t="str">
        <f>'5.Tiên lượng'!E152</f>
        <v>m3</v>
      </c>
      <c r="E83" s="68">
        <f>'5.Tiên lượng'!M152</f>
        <v>3.3</v>
      </c>
      <c r="F83" s="68"/>
      <c r="G83" s="68"/>
      <c r="H83" s="68"/>
      <c r="I83" s="71">
        <f>'6.Chiết tính'!J1232</f>
        <v>2017018.0217496702</v>
      </c>
      <c r="J83" s="71"/>
      <c r="K83" s="71">
        <f t="shared" si="0"/>
        <v>6656159.4717739113</v>
      </c>
      <c r="L83" s="71">
        <f t="shared" si="1"/>
        <v>0</v>
      </c>
      <c r="M83" s="71">
        <f t="shared" si="2"/>
        <v>0</v>
      </c>
      <c r="N83" s="71">
        <f t="shared" si="3"/>
        <v>0</v>
      </c>
      <c r="O83" s="67"/>
    </row>
    <row r="84" spans="1:15" ht="15" customHeight="1">
      <c r="A84" s="66">
        <v>67</v>
      </c>
      <c r="B84" s="67" t="str">
        <f>'5.Tiên lượng'!C154</f>
        <v>AL.16201</v>
      </c>
      <c r="C84" s="67" t="str">
        <f>'5.Tiên lượng'!D154</f>
        <v>Ni lông chống thấm</v>
      </c>
      <c r="D84" s="66" t="str">
        <f>'5.Tiên lượng'!E154</f>
        <v>100m2</v>
      </c>
      <c r="E84" s="68">
        <f>'5.Tiên lượng'!M154</f>
        <v>0.13200000000000001</v>
      </c>
      <c r="F84" s="68"/>
      <c r="G84" s="68"/>
      <c r="H84" s="68"/>
      <c r="I84" s="71">
        <f>'6.Chiết tính'!J1248</f>
        <v>335898.66816</v>
      </c>
      <c r="J84" s="71"/>
      <c r="K84" s="71">
        <f t="shared" si="0"/>
        <v>44338.62419712</v>
      </c>
      <c r="L84" s="71">
        <f t="shared" si="1"/>
        <v>0</v>
      </c>
      <c r="M84" s="71">
        <f t="shared" si="2"/>
        <v>0</v>
      </c>
      <c r="N84" s="71">
        <f t="shared" si="3"/>
        <v>0</v>
      </c>
      <c r="O84" s="67"/>
    </row>
    <row r="85" spans="1:15" ht="15" customHeight="1">
      <c r="A85" s="66">
        <v>68</v>
      </c>
      <c r="B85" s="67" t="str">
        <f>'5.Tiên lượng'!C156</f>
        <v>AK.98110</v>
      </c>
      <c r="C85" s="67" t="str">
        <f>'5.Tiên lượng'!D156</f>
        <v>Cấp phối đá dăm đệm móng, dày 5cm</v>
      </c>
      <c r="D85" s="66" t="str">
        <f>'5.Tiên lượng'!E156</f>
        <v>m3</v>
      </c>
      <c r="E85" s="68">
        <f>'5.Tiên lượng'!M156</f>
        <v>0.66</v>
      </c>
      <c r="F85" s="68"/>
      <c r="G85" s="68"/>
      <c r="H85" s="68"/>
      <c r="I85" s="71">
        <f>'6.Chiết tính'!J1264</f>
        <v>1084234.8454592994</v>
      </c>
      <c r="J85" s="71"/>
      <c r="K85" s="71">
        <f t="shared" si="0"/>
        <v>715594.99800313765</v>
      </c>
      <c r="L85" s="71">
        <f t="shared" si="1"/>
        <v>0</v>
      </c>
      <c r="M85" s="71">
        <f t="shared" si="2"/>
        <v>0</v>
      </c>
      <c r="N85" s="71">
        <f t="shared" si="3"/>
        <v>0</v>
      </c>
      <c r="O85" s="67"/>
    </row>
    <row r="86" spans="1:15" ht="15" customHeight="1">
      <c r="A86" s="66">
        <v>69</v>
      </c>
      <c r="B86" s="67" t="str">
        <f>'5.Tiên lượng'!C158</f>
        <v>AF.82511</v>
      </c>
      <c r="C86" s="67" t="str">
        <f>'5.Tiên lượng'!D158</f>
        <v>Ván khuôn thép rãnh</v>
      </c>
      <c r="D86" s="66" t="str">
        <f>'5.Tiên lượng'!E158</f>
        <v>100m2</v>
      </c>
      <c r="E86" s="68">
        <f>'5.Tiên lượng'!M158</f>
        <v>0.61380000000000001</v>
      </c>
      <c r="F86" s="68"/>
      <c r="G86" s="68"/>
      <c r="H86" s="68"/>
      <c r="I86" s="71">
        <f>'6.Chiết tính'!J1284</f>
        <v>7171231.0739318607</v>
      </c>
      <c r="J86" s="71"/>
      <c r="K86" s="71">
        <f t="shared" si="0"/>
        <v>4401701.6331793759</v>
      </c>
      <c r="L86" s="71">
        <f t="shared" si="1"/>
        <v>0</v>
      </c>
      <c r="M86" s="71">
        <f t="shared" si="2"/>
        <v>0</v>
      </c>
      <c r="N86" s="71">
        <f t="shared" si="3"/>
        <v>0</v>
      </c>
      <c r="O86" s="67"/>
    </row>
    <row r="87" spans="1:15" ht="15" customHeight="1">
      <c r="A87" s="66">
        <v>70</v>
      </c>
      <c r="B87" s="67" t="str">
        <f>'5.Tiên lượng'!C161</f>
        <v>AB.25123</v>
      </c>
      <c r="C87" s="67" t="str">
        <f>'5.Tiên lượng'!D161</f>
        <v>Đào móng bằng máy đào 1,25m3, chiều rộng móng ≤6m - Cấp đất III</v>
      </c>
      <c r="D87" s="66" t="str">
        <f>'5.Tiên lượng'!E161</f>
        <v>100m3</v>
      </c>
      <c r="E87" s="68">
        <f>'5.Tiên lượng'!M161</f>
        <v>1.8000000000000002E-2</v>
      </c>
      <c r="F87" s="68"/>
      <c r="G87" s="68"/>
      <c r="H87" s="68"/>
      <c r="I87" s="71">
        <f>'6.Chiết tính'!J1300</f>
        <v>2742803.9124860293</v>
      </c>
      <c r="J87" s="71"/>
      <c r="K87" s="71">
        <f t="shared" si="0"/>
        <v>49370.470424748535</v>
      </c>
      <c r="L87" s="71">
        <f t="shared" si="1"/>
        <v>0</v>
      </c>
      <c r="M87" s="71">
        <f t="shared" si="2"/>
        <v>0</v>
      </c>
      <c r="N87" s="71">
        <f t="shared" si="3"/>
        <v>0</v>
      </c>
      <c r="O87" s="67"/>
    </row>
    <row r="88" spans="1:15" ht="15" customHeight="1">
      <c r="A88" s="66">
        <v>71</v>
      </c>
      <c r="B88" s="67" t="str">
        <f>'5.Tiên lượng'!C163</f>
        <v>AE.11114</v>
      </c>
      <c r="C88" s="67" t="str">
        <f>'5.Tiên lượng'!D163</f>
        <v>Khối xây bó nền bằng đá hộc - Chiều dày ≤60cm, vữa XM M100, PCB40</v>
      </c>
      <c r="D88" s="66" t="str">
        <f>'5.Tiên lượng'!E163</f>
        <v>m3</v>
      </c>
      <c r="E88" s="68">
        <f>'5.Tiên lượng'!M163</f>
        <v>3.6</v>
      </c>
      <c r="F88" s="68"/>
      <c r="G88" s="68"/>
      <c r="H88" s="68"/>
      <c r="I88" s="71">
        <f>'6.Chiết tính'!J1320</f>
        <v>1852270.6737688095</v>
      </c>
      <c r="J88" s="71"/>
      <c r="K88" s="71">
        <f t="shared" si="0"/>
        <v>6668174.4255677145</v>
      </c>
      <c r="L88" s="71">
        <f t="shared" si="1"/>
        <v>0</v>
      </c>
      <c r="M88" s="71">
        <f t="shared" si="2"/>
        <v>0</v>
      </c>
      <c r="N88" s="71">
        <f t="shared" si="3"/>
        <v>0</v>
      </c>
      <c r="O88" s="67"/>
    </row>
    <row r="89" spans="1:15" ht="15" customHeight="1">
      <c r="A89" s="66">
        <v>72</v>
      </c>
      <c r="B89" s="67" t="str">
        <f>'5.Tiên lượng'!C165</f>
        <v>AA.22121</v>
      </c>
      <c r="C89" s="67" t="str">
        <f>'5.Tiên lượng'!D165</f>
        <v>Phá dỡ kết cấu gạch đá bằng búa căn khí nén 3m3/ph</v>
      </c>
      <c r="D89" s="66" t="str">
        <f>'5.Tiên lượng'!E165</f>
        <v>m3</v>
      </c>
      <c r="E89" s="68">
        <f>'5.Tiên lượng'!M165</f>
        <v>8.4240000000000013</v>
      </c>
      <c r="F89" s="68"/>
      <c r="G89" s="68"/>
      <c r="H89" s="68"/>
      <c r="I89" s="71">
        <f>'6.Chiết tính'!J1337</f>
        <v>174761.56949503999</v>
      </c>
      <c r="J89" s="71"/>
      <c r="K89" s="71">
        <f t="shared" si="0"/>
        <v>1472191.4614262171</v>
      </c>
      <c r="L89" s="71">
        <f t="shared" si="1"/>
        <v>0</v>
      </c>
      <c r="M89" s="71">
        <f t="shared" si="2"/>
        <v>0</v>
      </c>
      <c r="N89" s="71">
        <f t="shared" si="3"/>
        <v>0</v>
      </c>
      <c r="O89" s="67"/>
    </row>
    <row r="90" spans="1:15" ht="15" customHeight="1">
      <c r="A90" s="66">
        <v>73</v>
      </c>
      <c r="B90" s="67" t="str">
        <f>'5.Tiên lượng'!C169</f>
        <v>AB.25112</v>
      </c>
      <c r="C90" s="67" t="str">
        <f>'5.Tiên lượng'!D169</f>
        <v>Đào móng bằng máy đào 0,8m3, chiều rộng móng ≤6m - Cấp đất II</v>
      </c>
      <c r="D90" s="66" t="str">
        <f>'5.Tiên lượng'!E169</f>
        <v>100m3</v>
      </c>
      <c r="E90" s="68">
        <f>'5.Tiên lượng'!M169</f>
        <v>0.13830000000000001</v>
      </c>
      <c r="F90" s="68"/>
      <c r="G90" s="68"/>
      <c r="H90" s="68"/>
      <c r="I90" s="71">
        <f>'6.Chiết tính'!J1353</f>
        <v>2337162.8992389217</v>
      </c>
      <c r="J90" s="71"/>
      <c r="K90" s="71">
        <f t="shared" si="0"/>
        <v>323229.62896474288</v>
      </c>
      <c r="L90" s="71">
        <f t="shared" si="1"/>
        <v>0</v>
      </c>
      <c r="M90" s="71">
        <f t="shared" si="2"/>
        <v>0</v>
      </c>
      <c r="N90" s="71">
        <f t="shared" si="3"/>
        <v>0</v>
      </c>
      <c r="O90" s="67"/>
    </row>
    <row r="91" spans="1:15" ht="15" customHeight="1">
      <c r="A91" s="66">
        <v>74</v>
      </c>
      <c r="B91" s="67" t="str">
        <f>'5.Tiên lượng'!C171</f>
        <v>AB.25113</v>
      </c>
      <c r="C91" s="67" t="str">
        <f>'5.Tiên lượng'!D171</f>
        <v>Đào móng bằng máy đào 0,8m3, chiều rộng móng ≤6m - Cấp đất III</v>
      </c>
      <c r="D91" s="66" t="str">
        <f>'5.Tiên lượng'!E171</f>
        <v>100m3</v>
      </c>
      <c r="E91" s="68">
        <f>'5.Tiên lượng'!M171</f>
        <v>0.67</v>
      </c>
      <c r="F91" s="68"/>
      <c r="G91" s="68"/>
      <c r="H91" s="68"/>
      <c r="I91" s="71">
        <f>'6.Chiết tính'!J1368</f>
        <v>3019258.9037856967</v>
      </c>
      <c r="J91" s="71"/>
      <c r="K91" s="71">
        <f t="shared" si="0"/>
        <v>2022903.465536417</v>
      </c>
      <c r="L91" s="71">
        <f t="shared" si="1"/>
        <v>0</v>
      </c>
      <c r="M91" s="71">
        <f t="shared" si="2"/>
        <v>0</v>
      </c>
      <c r="N91" s="71">
        <f t="shared" si="3"/>
        <v>0</v>
      </c>
      <c r="O91" s="67"/>
    </row>
    <row r="92" spans="1:15" ht="15" customHeight="1">
      <c r="A92" s="66">
        <v>75</v>
      </c>
      <c r="B92" s="67" t="str">
        <f>'5.Tiên lượng'!C173</f>
        <v>AB.25114</v>
      </c>
      <c r="C92" s="67" t="str">
        <f>'5.Tiên lượng'!D173</f>
        <v>Đào móng bằng máy đào 0,8m3, chiều rộng móng ≤6m - Cấp đất IV</v>
      </c>
      <c r="D92" s="66" t="str">
        <f>'5.Tiên lượng'!E173</f>
        <v>100m3</v>
      </c>
      <c r="E92" s="68">
        <f>'5.Tiên lượng'!M173</f>
        <v>4.8999999999999998E-3</v>
      </c>
      <c r="F92" s="68"/>
      <c r="G92" s="68"/>
      <c r="H92" s="68"/>
      <c r="I92" s="71">
        <f>'6.Chiết tính'!J1383</f>
        <v>3435410.5347455791</v>
      </c>
      <c r="J92" s="71"/>
      <c r="K92" s="71">
        <f t="shared" si="0"/>
        <v>16833.511620253335</v>
      </c>
      <c r="L92" s="71">
        <f t="shared" si="1"/>
        <v>0</v>
      </c>
      <c r="M92" s="71">
        <f t="shared" si="2"/>
        <v>0</v>
      </c>
      <c r="N92" s="71">
        <f t="shared" si="3"/>
        <v>0</v>
      </c>
      <c r="O92" s="67"/>
    </row>
    <row r="93" spans="1:15" ht="15" customHeight="1">
      <c r="A93" s="66">
        <v>76</v>
      </c>
      <c r="B93" s="67" t="str">
        <f>'5.Tiên lượng'!C175</f>
        <v>AB.65130</v>
      </c>
      <c r="C93" s="67" t="str">
        <f>'5.Tiên lượng'!D175</f>
        <v>Đắp đất bằng đầm đất cầm tay 70kg, độ chặt Y/C K = 0,95</v>
      </c>
      <c r="D93" s="66" t="str">
        <f>'5.Tiên lượng'!E175</f>
        <v>100m3</v>
      </c>
      <c r="E93" s="68">
        <f>'5.Tiên lượng'!M175</f>
        <v>0.31850000000000001</v>
      </c>
      <c r="F93" s="68"/>
      <c r="G93" s="68"/>
      <c r="H93" s="68"/>
      <c r="I93" s="71">
        <f>'6.Chiết tính'!J1398</f>
        <v>4239768.0782873435</v>
      </c>
      <c r="J93" s="71"/>
      <c r="K93" s="71">
        <f t="shared" si="0"/>
        <v>1350366.1329345189</v>
      </c>
      <c r="L93" s="71">
        <f t="shared" si="1"/>
        <v>0</v>
      </c>
      <c r="M93" s="71">
        <f t="shared" si="2"/>
        <v>0</v>
      </c>
      <c r="N93" s="71">
        <f t="shared" si="3"/>
        <v>0</v>
      </c>
      <c r="O93" s="67"/>
    </row>
    <row r="94" spans="1:15" ht="15" customHeight="1">
      <c r="A94" s="66">
        <v>77</v>
      </c>
      <c r="B94" s="67" t="str">
        <f>'5.Tiên lượng'!C178</f>
        <v>AE.12314</v>
      </c>
      <c r="C94" s="67" t="str">
        <f>'5.Tiên lượng'!D178</f>
        <v>Xây cống, vữa XM M100, PCB40</v>
      </c>
      <c r="D94" s="66" t="str">
        <f>'5.Tiên lượng'!E178</f>
        <v>m3</v>
      </c>
      <c r="E94" s="68">
        <f>'5.Tiên lượng'!M178</f>
        <v>41.57</v>
      </c>
      <c r="F94" s="68"/>
      <c r="G94" s="68"/>
      <c r="H94" s="68"/>
      <c r="I94" s="71">
        <f>'6.Chiết tính'!J1420</f>
        <v>2319054.5397722023</v>
      </c>
      <c r="J94" s="71"/>
      <c r="K94" s="71">
        <f t="shared" si="0"/>
        <v>96403097.218330443</v>
      </c>
      <c r="L94" s="71">
        <f t="shared" si="1"/>
        <v>0</v>
      </c>
      <c r="M94" s="71">
        <f t="shared" si="2"/>
        <v>0</v>
      </c>
      <c r="N94" s="71">
        <f t="shared" si="3"/>
        <v>0</v>
      </c>
      <c r="O94" s="67"/>
    </row>
    <row r="95" spans="1:15" ht="15" customHeight="1">
      <c r="A95" s="66">
        <v>78</v>
      </c>
      <c r="B95" s="67" t="str">
        <f>'5.Tiên lượng'!C179</f>
        <v>AK.98110</v>
      </c>
      <c r="C95" s="67" t="str">
        <f>'5.Tiên lượng'!D179</f>
        <v>Đá dăm đệm móng, đá (2x4)cm, dày 5cm</v>
      </c>
      <c r="D95" s="66" t="str">
        <f>'5.Tiên lượng'!E179</f>
        <v>m3</v>
      </c>
      <c r="E95" s="68">
        <f>'5.Tiên lượng'!M179</f>
        <v>5.35</v>
      </c>
      <c r="F95" s="68"/>
      <c r="G95" s="68"/>
      <c r="H95" s="68"/>
      <c r="I95" s="71">
        <f>'6.Chiết tính'!J1436</f>
        <v>1084234.8454592994</v>
      </c>
      <c r="J95" s="71"/>
      <c r="K95" s="71">
        <f t="shared" si="0"/>
        <v>5800656.4232072514</v>
      </c>
      <c r="L95" s="71">
        <f t="shared" si="1"/>
        <v>0</v>
      </c>
      <c r="M95" s="71">
        <f t="shared" si="2"/>
        <v>0</v>
      </c>
      <c r="N95" s="71">
        <f t="shared" si="3"/>
        <v>0</v>
      </c>
      <c r="O95" s="67"/>
    </row>
    <row r="96" spans="1:15" ht="15" customHeight="1">
      <c r="A96" s="66">
        <v>79</v>
      </c>
      <c r="B96" s="67" t="str">
        <f>'5.Tiên lượng'!C180</f>
        <v>BB.11211VD</v>
      </c>
      <c r="C96" s="67" t="str">
        <f>'5.Tiên lượng'!D180</f>
        <v>Lắp đặt ống bê tông bằng cần cẩu, đoạn ống dài 1m - Đường kính 400mm</v>
      </c>
      <c r="D96" s="66" t="str">
        <f>'5.Tiên lượng'!E180</f>
        <v>1 đoạn ống</v>
      </c>
      <c r="E96" s="68">
        <f>'5.Tiên lượng'!M180</f>
        <v>3</v>
      </c>
      <c r="F96" s="68"/>
      <c r="G96" s="68"/>
      <c r="H96" s="68"/>
      <c r="I96" s="71">
        <f>'6.Chiết tính'!J1454</f>
        <v>688729.04656374955</v>
      </c>
      <c r="J96" s="71"/>
      <c r="K96" s="71">
        <f t="shared" si="0"/>
        <v>2066187.1396912485</v>
      </c>
      <c r="L96" s="71">
        <f t="shared" si="1"/>
        <v>0</v>
      </c>
      <c r="M96" s="71">
        <f t="shared" si="2"/>
        <v>0</v>
      </c>
      <c r="N96" s="71">
        <f t="shared" si="3"/>
        <v>0</v>
      </c>
      <c r="O96" s="67"/>
    </row>
    <row r="97" spans="1:15" ht="15" customHeight="1">
      <c r="A97" s="66">
        <v>80</v>
      </c>
      <c r="B97" s="67" t="str">
        <f>'5.Tiên lượng'!C181</f>
        <v>BB.11221VD</v>
      </c>
      <c r="C97" s="67" t="str">
        <f>'5.Tiên lượng'!D181</f>
        <v>Lắp đặt ống bê tông bằng cần cẩu, đoạn ống dài 2m - Đường kính 400mm</v>
      </c>
      <c r="D97" s="66" t="str">
        <f>'5.Tiên lượng'!E181</f>
        <v>1 đoạn ống</v>
      </c>
      <c r="E97" s="68">
        <f>'5.Tiên lượng'!M181</f>
        <v>15</v>
      </c>
      <c r="F97" s="68"/>
      <c r="G97" s="68"/>
      <c r="H97" s="68"/>
      <c r="I97" s="71">
        <f>'6.Chiết tính'!J1472</f>
        <v>1279158.4824463467</v>
      </c>
      <c r="J97" s="71"/>
      <c r="K97" s="71">
        <f t="shared" si="0"/>
        <v>19187377.2366952</v>
      </c>
      <c r="L97" s="71">
        <f t="shared" si="1"/>
        <v>0</v>
      </c>
      <c r="M97" s="71">
        <f t="shared" si="2"/>
        <v>0</v>
      </c>
      <c r="N97" s="71">
        <f t="shared" si="3"/>
        <v>0</v>
      </c>
      <c r="O97" s="67"/>
    </row>
    <row r="98" spans="1:15" ht="15" customHeight="1">
      <c r="A98" s="66">
        <v>81</v>
      </c>
      <c r="B98" s="67" t="str">
        <f>'5.Tiên lượng'!C182</f>
        <v>BB.11211</v>
      </c>
      <c r="C98" s="67" t="str">
        <f>'5.Tiên lượng'!D182</f>
        <v>Lắp đặt ống bê tông bằng cần cẩu, đoạn ống dài 1m - Đường kính 600mm</v>
      </c>
      <c r="D98" s="66" t="str">
        <f>'5.Tiên lượng'!E182</f>
        <v>1 đoạn ống</v>
      </c>
      <c r="E98" s="68">
        <f>'5.Tiên lượng'!M182</f>
        <v>1</v>
      </c>
      <c r="F98" s="68"/>
      <c r="G98" s="68"/>
      <c r="H98" s="68"/>
      <c r="I98" s="71">
        <f>'6.Chiết tính'!J1490</f>
        <v>900151.21862849512</v>
      </c>
      <c r="J98" s="71"/>
      <c r="K98" s="71">
        <f t="shared" si="0"/>
        <v>900151.21862849512</v>
      </c>
      <c r="L98" s="71">
        <f t="shared" si="1"/>
        <v>0</v>
      </c>
      <c r="M98" s="71">
        <f t="shared" si="2"/>
        <v>0</v>
      </c>
      <c r="N98" s="71">
        <f t="shared" si="3"/>
        <v>0</v>
      </c>
      <c r="O98" s="67"/>
    </row>
    <row r="99" spans="1:15" ht="15" customHeight="1">
      <c r="A99" s="66">
        <v>82</v>
      </c>
      <c r="B99" s="67" t="str">
        <f>'5.Tiên lượng'!C183</f>
        <v>BB.11221</v>
      </c>
      <c r="C99" s="67" t="str">
        <f>'5.Tiên lượng'!D183</f>
        <v>Lắp đặt ống bê tông bằng cần cẩu, đoạn ống dài 2m - Đường kính 600mm</v>
      </c>
      <c r="D99" s="66" t="str">
        <f>'5.Tiên lượng'!E183</f>
        <v>1 đoạn ống</v>
      </c>
      <c r="E99" s="68">
        <f>'5.Tiên lượng'!M183</f>
        <v>1</v>
      </c>
      <c r="F99" s="68"/>
      <c r="G99" s="68"/>
      <c r="H99" s="68"/>
      <c r="I99" s="71">
        <f>'6.Chiết tính'!J1508</f>
        <v>1699298.2312846296</v>
      </c>
      <c r="J99" s="71"/>
      <c r="K99" s="71">
        <f t="shared" si="0"/>
        <v>1699298.2312846296</v>
      </c>
      <c r="L99" s="71">
        <f t="shared" si="1"/>
        <v>0</v>
      </c>
      <c r="M99" s="71">
        <f t="shared" si="2"/>
        <v>0</v>
      </c>
      <c r="N99" s="71">
        <f t="shared" si="3"/>
        <v>0</v>
      </c>
      <c r="O99" s="67"/>
    </row>
    <row r="100" spans="1:15" ht="15" customHeight="1">
      <c r="A100" s="66">
        <v>83</v>
      </c>
      <c r="B100" s="67" t="str">
        <f>'5.Tiên lượng'!C184</f>
        <v>BB.11222VD</v>
      </c>
      <c r="C100" s="67" t="str">
        <f>'5.Tiên lượng'!D184</f>
        <v>Lắp đặt ống bê tông bằng cần cẩu, đoạn ống dài 2m - Đường kính 800mm</v>
      </c>
      <c r="D100" s="66" t="str">
        <f>'5.Tiên lượng'!E184</f>
        <v>1 đoạn ống</v>
      </c>
      <c r="E100" s="68">
        <f>'5.Tiên lượng'!M184</f>
        <v>1</v>
      </c>
      <c r="F100" s="68"/>
      <c r="G100" s="68"/>
      <c r="H100" s="68"/>
      <c r="I100" s="71">
        <f>'6.Chiết tính'!J1526</f>
        <v>2849756.7080540415</v>
      </c>
      <c r="J100" s="71"/>
      <c r="K100" s="71">
        <f t="shared" si="0"/>
        <v>2849756.7080540415</v>
      </c>
      <c r="L100" s="71">
        <f t="shared" si="1"/>
        <v>0</v>
      </c>
      <c r="M100" s="71">
        <f t="shared" si="2"/>
        <v>0</v>
      </c>
      <c r="N100" s="71">
        <f t="shared" si="3"/>
        <v>0</v>
      </c>
      <c r="O100" s="67"/>
    </row>
    <row r="101" spans="1:15" ht="15" customHeight="1">
      <c r="A101" s="66">
        <v>84</v>
      </c>
      <c r="B101" s="67" t="str">
        <f>'5.Tiên lượng'!C185</f>
        <v>BB.13503</v>
      </c>
      <c r="C101" s="67" t="str">
        <f>'5.Tiên lượng'!D185</f>
        <v>Nối ống bê tông bằng phương pháp xảm - Đường kính 400mm</v>
      </c>
      <c r="D101" s="66" t="str">
        <f>'5.Tiên lượng'!E185</f>
        <v>mối nối</v>
      </c>
      <c r="E101" s="68">
        <f>'5.Tiên lượng'!M185</f>
        <v>13</v>
      </c>
      <c r="F101" s="68"/>
      <c r="G101" s="68"/>
      <c r="H101" s="68"/>
      <c r="I101" s="71">
        <f>'6.Chiết tính'!J1543</f>
        <v>43675.958085325008</v>
      </c>
      <c r="J101" s="71"/>
      <c r="K101" s="71">
        <f t="shared" si="0"/>
        <v>567787.45510922512</v>
      </c>
      <c r="L101" s="71">
        <f t="shared" si="1"/>
        <v>0</v>
      </c>
      <c r="M101" s="71">
        <f t="shared" si="2"/>
        <v>0</v>
      </c>
      <c r="N101" s="71">
        <f t="shared" si="3"/>
        <v>0</v>
      </c>
      <c r="O101" s="67"/>
    </row>
    <row r="102" spans="1:15" ht="15" customHeight="1">
      <c r="A102" s="66">
        <v>85</v>
      </c>
      <c r="B102" s="67" t="str">
        <f>'5.Tiên lượng'!C186</f>
        <v>BB.13505</v>
      </c>
      <c r="C102" s="67" t="str">
        <f>'5.Tiên lượng'!D186</f>
        <v>Nối ống bê tông bằng phương pháp xảm - Đường kính 600mm</v>
      </c>
      <c r="D102" s="66" t="str">
        <f>'5.Tiên lượng'!E186</f>
        <v>mối nối</v>
      </c>
      <c r="E102" s="68">
        <f>'5.Tiên lượng'!M186</f>
        <v>2</v>
      </c>
      <c r="F102" s="68"/>
      <c r="G102" s="68"/>
      <c r="H102" s="68"/>
      <c r="I102" s="71">
        <f>'6.Chiết tính'!J1560</f>
        <v>63776.130727987525</v>
      </c>
      <c r="J102" s="71"/>
      <c r="K102" s="71">
        <f t="shared" si="0"/>
        <v>127552.26145597505</v>
      </c>
      <c r="L102" s="71">
        <f t="shared" si="1"/>
        <v>0</v>
      </c>
      <c r="M102" s="71">
        <f t="shared" si="2"/>
        <v>0</v>
      </c>
      <c r="N102" s="71">
        <f t="shared" si="3"/>
        <v>0</v>
      </c>
      <c r="O102" s="67"/>
    </row>
    <row r="103" spans="1:15" ht="15" customHeight="1">
      <c r="A103" s="66">
        <v>86</v>
      </c>
      <c r="B103" s="67" t="str">
        <f>'5.Tiên lượng'!C187</f>
        <v>BB.13507</v>
      </c>
      <c r="C103" s="67" t="str">
        <f>'5.Tiên lượng'!D187</f>
        <v>Nối ống bê tông bằng phương pháp xảm - Đường kính 800mm</v>
      </c>
      <c r="D103" s="66" t="str">
        <f>'5.Tiên lượng'!E187</f>
        <v>mối nối</v>
      </c>
      <c r="E103" s="68">
        <f>'5.Tiên lượng'!M187</f>
        <v>1</v>
      </c>
      <c r="F103" s="68"/>
      <c r="G103" s="68"/>
      <c r="H103" s="68"/>
      <c r="I103" s="71">
        <f>'6.Chiết tính'!J1577</f>
        <v>87158.237375566838</v>
      </c>
      <c r="J103" s="71"/>
      <c r="K103" s="71">
        <f t="shared" si="0"/>
        <v>87158.237375566838</v>
      </c>
      <c r="L103" s="71">
        <f t="shared" si="1"/>
        <v>0</v>
      </c>
      <c r="M103" s="71">
        <f t="shared" si="2"/>
        <v>0</v>
      </c>
      <c r="N103" s="71">
        <f t="shared" si="3"/>
        <v>0</v>
      </c>
      <c r="O103" s="67"/>
    </row>
    <row r="104" spans="1:15" ht="15" customHeight="1">
      <c r="A104" s="66">
        <v>87</v>
      </c>
      <c r="B104" s="67" t="str">
        <f>'5.Tiên lượng'!C188</f>
        <v>BB.33011</v>
      </c>
      <c r="C104" s="67" t="str">
        <f>'5.Tiên lượng'!D188</f>
        <v>Khối xây gia cố bằng đá hộc - Chiều dày ≤60cm, vữa XM M100, PCB40</v>
      </c>
      <c r="D104" s="66" t="str">
        <f>'5.Tiên lượng'!E188</f>
        <v>100m</v>
      </c>
      <c r="E104" s="68">
        <f>'5.Tiên lượng'!M188</f>
        <v>8.199999999999999E-2</v>
      </c>
      <c r="F104" s="68"/>
      <c r="G104" s="68"/>
      <c r="H104" s="68"/>
      <c r="I104" s="71">
        <f>'6.Chiết tính'!J1594</f>
        <v>65961932.638888448</v>
      </c>
      <c r="J104" s="71"/>
      <c r="K104" s="71">
        <f t="shared" si="0"/>
        <v>5408878.4763888521</v>
      </c>
      <c r="L104" s="71">
        <f t="shared" si="1"/>
        <v>0</v>
      </c>
      <c r="M104" s="71">
        <f t="shared" si="2"/>
        <v>0</v>
      </c>
      <c r="N104" s="71">
        <f t="shared" si="3"/>
        <v>0</v>
      </c>
      <c r="O104" s="67"/>
    </row>
    <row r="105" spans="1:15" ht="15" customHeight="1">
      <c r="A105" s="66">
        <v>88</v>
      </c>
      <c r="B105" s="67" t="str">
        <f>'5.Tiên lượng'!C190</f>
        <v>TT</v>
      </c>
      <c r="C105" s="67" t="str">
        <f>'5.Tiên lượng'!D190</f>
        <v>Tấm gỗ chắn nước</v>
      </c>
      <c r="D105" s="66" t="str">
        <f>'5.Tiên lượng'!E190</f>
        <v>m3</v>
      </c>
      <c r="E105" s="68">
        <f>'5.Tiên lượng'!M190</f>
        <v>0.01</v>
      </c>
      <c r="F105" s="68"/>
      <c r="G105" s="68"/>
      <c r="H105" s="68"/>
      <c r="I105" s="71">
        <f>'6.Chiết tính'!J1608</f>
        <v>3661115.0775649846</v>
      </c>
      <c r="J105" s="71"/>
      <c r="K105" s="71">
        <f t="shared" si="0"/>
        <v>36611.150775649847</v>
      </c>
      <c r="L105" s="71">
        <f t="shared" si="1"/>
        <v>0</v>
      </c>
      <c r="M105" s="71">
        <f t="shared" si="2"/>
        <v>0</v>
      </c>
      <c r="N105" s="71">
        <f t="shared" si="3"/>
        <v>0</v>
      </c>
      <c r="O105" s="67"/>
    </row>
    <row r="106" spans="1:15" ht="15" customHeight="1">
      <c r="A106" s="66">
        <v>89</v>
      </c>
      <c r="B106" s="67" t="str">
        <f>'5.Tiên lượng'!C192</f>
        <v>AF.12151</v>
      </c>
      <c r="C106" s="67" t="str">
        <f>'5.Tiên lượng'!D192</f>
        <v>BTXM đầu cống - Chiều dày ≤45cm, chiều cao ≤6m, M150, đá 2x4, PCB40</v>
      </c>
      <c r="D106" s="66" t="str">
        <f>'5.Tiên lượng'!E192</f>
        <v>m3</v>
      </c>
      <c r="E106" s="68">
        <f>'5.Tiên lượng'!M192</f>
        <v>2.29</v>
      </c>
      <c r="F106" s="68"/>
      <c r="G106" s="68"/>
      <c r="H106" s="68"/>
      <c r="I106" s="71">
        <f>'6.Chiết tính'!J1630</f>
        <v>2349472.3884105361</v>
      </c>
      <c r="J106" s="71"/>
      <c r="K106" s="71">
        <f t="shared" si="0"/>
        <v>5380291.7694601277</v>
      </c>
      <c r="L106" s="71">
        <f t="shared" si="1"/>
        <v>0</v>
      </c>
      <c r="M106" s="71">
        <f t="shared" si="2"/>
        <v>0</v>
      </c>
      <c r="N106" s="71">
        <f t="shared" si="3"/>
        <v>0</v>
      </c>
      <c r="O106" s="67"/>
    </row>
    <row r="107" spans="1:15" ht="15" customHeight="1">
      <c r="A107" s="66">
        <v>90</v>
      </c>
      <c r="B107" s="67" t="str">
        <f>'5.Tiên lượng'!C193</f>
        <v>AF.12152</v>
      </c>
      <c r="C107" s="67" t="str">
        <f>'5.Tiên lượng'!D193</f>
        <v>BTXM thân cống - Chiều dày ≤45cm, chiều cao ≤6m, M200, đá 2x4, PCB40</v>
      </c>
      <c r="D107" s="66" t="str">
        <f>'5.Tiên lượng'!E193</f>
        <v>m3</v>
      </c>
      <c r="E107" s="68">
        <f>'5.Tiên lượng'!M193</f>
        <v>1.0900000000000001</v>
      </c>
      <c r="F107" s="68"/>
      <c r="G107" s="68"/>
      <c r="H107" s="68"/>
      <c r="I107" s="71">
        <f>'6.Chiết tính'!J1651</f>
        <v>2428728.4722722042</v>
      </c>
      <c r="J107" s="71"/>
      <c r="K107" s="71">
        <f t="shared" si="0"/>
        <v>2647314.034776703</v>
      </c>
      <c r="L107" s="71">
        <f t="shared" si="1"/>
        <v>0</v>
      </c>
      <c r="M107" s="71">
        <f t="shared" si="2"/>
        <v>0</v>
      </c>
      <c r="N107" s="71">
        <f t="shared" si="3"/>
        <v>0</v>
      </c>
      <c r="O107" s="67"/>
    </row>
    <row r="108" spans="1:15" ht="15" customHeight="1">
      <c r="A108" s="66">
        <v>91</v>
      </c>
      <c r="B108" s="67" t="str">
        <f>'5.Tiên lượng'!C194</f>
        <v>AF.11231</v>
      </c>
      <c r="C108" s="67" t="str">
        <f>'5.Tiên lượng'!D194</f>
        <v>BTXM móng cống, M150, đá 2x4, PCB40</v>
      </c>
      <c r="D108" s="66" t="str">
        <f>'5.Tiên lượng'!E194</f>
        <v>m3</v>
      </c>
      <c r="E108" s="68">
        <f>'5.Tiên lượng'!M194</f>
        <v>4.38</v>
      </c>
      <c r="F108" s="68"/>
      <c r="G108" s="68"/>
      <c r="H108" s="68"/>
      <c r="I108" s="71">
        <f>'6.Chiết tính'!J1672</f>
        <v>1789501.4158042176</v>
      </c>
      <c r="J108" s="71"/>
      <c r="K108" s="71">
        <f t="shared" si="0"/>
        <v>7838016.2012224728</v>
      </c>
      <c r="L108" s="71">
        <f t="shared" si="1"/>
        <v>0</v>
      </c>
      <c r="M108" s="71">
        <f t="shared" si="2"/>
        <v>0</v>
      </c>
      <c r="N108" s="71">
        <f t="shared" si="3"/>
        <v>0</v>
      </c>
      <c r="O108" s="67"/>
    </row>
    <row r="109" spans="1:15" ht="15" customHeight="1">
      <c r="A109" s="66">
        <v>92</v>
      </c>
      <c r="B109" s="67" t="str">
        <f>'5.Tiên lượng'!C195</f>
        <v>AG.11413</v>
      </c>
      <c r="C109" s="67" t="str">
        <f>'5.Tiên lượng'!D195</f>
        <v>BTCT tấm bản mặt, M250, đá 1x2, PCB40 - Đổ bê tông đúc sẵn bằng thủ công (vữa bê tông sản xuất bằng máy trộn)</v>
      </c>
      <c r="D109" s="66" t="str">
        <f>'5.Tiên lượng'!E195</f>
        <v>m3</v>
      </c>
      <c r="E109" s="68">
        <f>'5.Tiên lượng'!M195</f>
        <v>1.23</v>
      </c>
      <c r="F109" s="68"/>
      <c r="G109" s="68"/>
      <c r="H109" s="68"/>
      <c r="I109" s="71">
        <f>'6.Chiết tính'!J1692</f>
        <v>2160840.0048695421</v>
      </c>
      <c r="J109" s="71"/>
      <c r="K109" s="71">
        <f t="shared" si="0"/>
        <v>2657833.2059895368</v>
      </c>
      <c r="L109" s="71">
        <f t="shared" si="1"/>
        <v>0</v>
      </c>
      <c r="M109" s="71">
        <f t="shared" si="2"/>
        <v>0</v>
      </c>
      <c r="N109" s="71">
        <f t="shared" si="3"/>
        <v>0</v>
      </c>
      <c r="O109" s="67"/>
    </row>
    <row r="110" spans="1:15" ht="15" customHeight="1">
      <c r="A110" s="66">
        <v>93</v>
      </c>
      <c r="B110" s="67" t="str">
        <f>'5.Tiên lượng'!C196</f>
        <v>AG.41610</v>
      </c>
      <c r="C110" s="67" t="str">
        <f>'5.Tiên lượng'!D196</f>
        <v>Lắp đặt tấm bản mặt bằng cần cẩu</v>
      </c>
      <c r="D110" s="66" t="str">
        <f>'5.Tiên lượng'!E196</f>
        <v>1cấu kiện</v>
      </c>
      <c r="E110" s="68">
        <f>'5.Tiên lượng'!M196</f>
        <v>8</v>
      </c>
      <c r="F110" s="68"/>
      <c r="G110" s="68"/>
      <c r="H110" s="68"/>
      <c r="I110" s="71">
        <f>'6.Chiết tính'!J1707</f>
        <v>81314.89770518399</v>
      </c>
      <c r="J110" s="71"/>
      <c r="K110" s="71">
        <f t="shared" si="0"/>
        <v>650519.18164147192</v>
      </c>
      <c r="L110" s="71">
        <f t="shared" si="1"/>
        <v>0</v>
      </c>
      <c r="M110" s="71">
        <f t="shared" si="2"/>
        <v>0</v>
      </c>
      <c r="N110" s="71">
        <f t="shared" si="3"/>
        <v>0</v>
      </c>
      <c r="O110" s="67"/>
    </row>
    <row r="111" spans="1:15" ht="15" customHeight="1">
      <c r="A111" s="66">
        <v>94</v>
      </c>
      <c r="B111" s="67" t="str">
        <f>'5.Tiên lượng'!C197</f>
        <v>AF.14232</v>
      </c>
      <c r="C111" s="67" t="str">
        <f>'5.Tiên lượng'!D197</f>
        <v>BTCT mũ mố, M200, đá 2x4, PCB40</v>
      </c>
      <c r="D111" s="66" t="str">
        <f>'5.Tiên lượng'!E197</f>
        <v>m3</v>
      </c>
      <c r="E111" s="68">
        <f>'5.Tiên lượng'!M197</f>
        <v>0.79</v>
      </c>
      <c r="F111" s="68"/>
      <c r="G111" s="68"/>
      <c r="H111" s="68"/>
      <c r="I111" s="71">
        <f>'6.Chiết tính'!J1730</f>
        <v>2505966.1571947578</v>
      </c>
      <c r="J111" s="71"/>
      <c r="K111" s="71">
        <f t="shared" si="0"/>
        <v>1979713.2641838589</v>
      </c>
      <c r="L111" s="71">
        <f t="shared" si="1"/>
        <v>0</v>
      </c>
      <c r="M111" s="71">
        <f t="shared" si="2"/>
        <v>0</v>
      </c>
      <c r="N111" s="71">
        <f t="shared" si="3"/>
        <v>0</v>
      </c>
      <c r="O111" s="67"/>
    </row>
    <row r="112" spans="1:15" ht="15" customHeight="1">
      <c r="A112" s="66">
        <v>95</v>
      </c>
      <c r="B112" s="67" t="str">
        <f>'5.Tiên lượng'!C198</f>
        <v>AG.13231</v>
      </c>
      <c r="C112" s="67" t="str">
        <f>'5.Tiên lượng'!D198</f>
        <v>Cốt thép tấm bản mặt</v>
      </c>
      <c r="D112" s="66" t="str">
        <f>'5.Tiên lượng'!E198</f>
        <v>tấn</v>
      </c>
      <c r="E112" s="68">
        <f>'5.Tiên lượng'!M198</f>
        <v>0.20314999999999997</v>
      </c>
      <c r="F112" s="68"/>
      <c r="G112" s="68"/>
      <c r="H112" s="68"/>
      <c r="I112" s="71">
        <f>'6.Chiết tính'!J1747</f>
        <v>29301812.934146743</v>
      </c>
      <c r="J112" s="71"/>
      <c r="K112" s="71">
        <f t="shared" si="0"/>
        <v>5952663.2975719096</v>
      </c>
      <c r="L112" s="71">
        <f t="shared" si="1"/>
        <v>0</v>
      </c>
      <c r="M112" s="71">
        <f t="shared" si="2"/>
        <v>0</v>
      </c>
      <c r="N112" s="71">
        <f t="shared" si="3"/>
        <v>0</v>
      </c>
      <c r="O112" s="67"/>
    </row>
    <row r="113" spans="1:15" ht="15" customHeight="1">
      <c r="A113" s="66">
        <v>96</v>
      </c>
      <c r="B113" s="67" t="str">
        <f>'5.Tiên lượng'!C200</f>
        <v>AG.32511</v>
      </c>
      <c r="C113" s="67" t="str">
        <f>'5.Tiên lượng'!D200</f>
        <v>Ván khuôn thép tấm bản</v>
      </c>
      <c r="D113" s="66" t="str">
        <f>'5.Tiên lượng'!E200</f>
        <v>100m2</v>
      </c>
      <c r="E113" s="68">
        <f>'5.Tiên lượng'!M200</f>
        <v>6.0100000000000001E-2</v>
      </c>
      <c r="F113" s="68"/>
      <c r="G113" s="68"/>
      <c r="H113" s="68"/>
      <c r="I113" s="71">
        <f>'6.Chiết tính'!J1767</f>
        <v>9799038.0184733067</v>
      </c>
      <c r="J113" s="71"/>
      <c r="K113" s="71">
        <f t="shared" si="0"/>
        <v>588922.18491024571</v>
      </c>
      <c r="L113" s="71">
        <f t="shared" si="1"/>
        <v>0</v>
      </c>
      <c r="M113" s="71">
        <f t="shared" si="2"/>
        <v>0</v>
      </c>
      <c r="N113" s="71">
        <f t="shared" si="3"/>
        <v>0</v>
      </c>
      <c r="O113" s="67"/>
    </row>
    <row r="114" spans="1:15" ht="15" customHeight="1">
      <c r="A114" s="66">
        <v>97</v>
      </c>
      <c r="B114" s="67" t="str">
        <f>'5.Tiên lượng'!C202</f>
        <v>AF.82511</v>
      </c>
      <c r="C114" s="67" t="str">
        <f>'5.Tiên lượng'!D202</f>
        <v>Ván khuôn thép cống</v>
      </c>
      <c r="D114" s="66" t="str">
        <f>'5.Tiên lượng'!E202</f>
        <v>100m2</v>
      </c>
      <c r="E114" s="68">
        <f>'5.Tiên lượng'!M202</f>
        <v>0.27440000000000003</v>
      </c>
      <c r="F114" s="68"/>
      <c r="G114" s="68"/>
      <c r="H114" s="68"/>
      <c r="I114" s="71">
        <f>'6.Chiết tính'!J1787</f>
        <v>7171231.0739318607</v>
      </c>
      <c r="J114" s="71"/>
      <c r="K114" s="71">
        <f t="shared" si="0"/>
        <v>1967785.8066869029</v>
      </c>
      <c r="L114" s="71">
        <f t="shared" si="1"/>
        <v>0</v>
      </c>
      <c r="M114" s="71">
        <f t="shared" si="2"/>
        <v>0</v>
      </c>
      <c r="N114" s="71">
        <f t="shared" si="3"/>
        <v>0</v>
      </c>
      <c r="O114" s="67"/>
    </row>
    <row r="115" spans="1:15" ht="15" customHeight="1">
      <c r="A115" s="66">
        <v>98</v>
      </c>
      <c r="B115" s="67" t="str">
        <f>'5.Tiên lượng'!C204</f>
        <v>AG.41610</v>
      </c>
      <c r="C115" s="67" t="str">
        <f>'5.Tiên lượng'!D204</f>
        <v>Tháo dỡ tấm bản mặt cầu cũ bằng cần cẩu</v>
      </c>
      <c r="D115" s="66" t="str">
        <f>'5.Tiên lượng'!E204</f>
        <v>1cấu kiện</v>
      </c>
      <c r="E115" s="68">
        <f>'5.Tiên lượng'!M204</f>
        <v>3</v>
      </c>
      <c r="F115" s="68"/>
      <c r="G115" s="68"/>
      <c r="H115" s="68"/>
      <c r="I115" s="71">
        <f>'6.Chiết tính'!J1802</f>
        <v>24394.469311555196</v>
      </c>
      <c r="J115" s="71"/>
      <c r="K115" s="71">
        <f t="shared" si="0"/>
        <v>73183.407934665593</v>
      </c>
      <c r="L115" s="71">
        <f t="shared" si="1"/>
        <v>0</v>
      </c>
      <c r="M115" s="71">
        <f t="shared" si="2"/>
        <v>0</v>
      </c>
      <c r="N115" s="71">
        <f t="shared" si="3"/>
        <v>0</v>
      </c>
      <c r="O115" s="67"/>
    </row>
    <row r="116" spans="1:15" ht="15" customHeight="1">
      <c r="A116" s="66">
        <v>99</v>
      </c>
      <c r="B116" s="67" t="str">
        <f>'5.Tiên lượng'!C205</f>
        <v>BB.11211VD</v>
      </c>
      <c r="C116" s="67" t="str">
        <f>'5.Tiên lượng'!D205</f>
        <v>Tháo dỡ ống bê tông bằng cần cẩu, đoạn ống dài 1m - Đường kính 400mm</v>
      </c>
      <c r="D116" s="66" t="str">
        <f>'5.Tiên lượng'!E205</f>
        <v>1 đoạn ống</v>
      </c>
      <c r="E116" s="68">
        <f>'5.Tiên lượng'!M205</f>
        <v>5</v>
      </c>
      <c r="F116" s="68"/>
      <c r="G116" s="68"/>
      <c r="H116" s="68"/>
      <c r="I116" s="71">
        <f>'6.Chiết tính'!J1818</f>
        <v>170972.88524459087</v>
      </c>
      <c r="J116" s="71"/>
      <c r="K116" s="71">
        <f t="shared" si="0"/>
        <v>854864.42622295441</v>
      </c>
      <c r="L116" s="71">
        <f t="shared" si="1"/>
        <v>0</v>
      </c>
      <c r="M116" s="71">
        <f t="shared" si="2"/>
        <v>0</v>
      </c>
      <c r="N116" s="71">
        <f t="shared" si="3"/>
        <v>0</v>
      </c>
      <c r="O116" s="67"/>
    </row>
    <row r="117" spans="1:15" ht="15" customHeight="1">
      <c r="A117" s="66">
        <v>100</v>
      </c>
      <c r="B117" s="67" t="str">
        <f>'5.Tiên lượng'!C206</f>
        <v>AA.22121</v>
      </c>
      <c r="C117" s="67" t="str">
        <f>'5.Tiên lượng'!D206</f>
        <v>Phá dỡ kết cấu gạch đá bằng búa căn khí nén 3m3/ph</v>
      </c>
      <c r="D117" s="66" t="str">
        <f>'5.Tiên lượng'!E206</f>
        <v>m3</v>
      </c>
      <c r="E117" s="68">
        <f>'5.Tiên lượng'!M206</f>
        <v>2.1</v>
      </c>
      <c r="F117" s="68"/>
      <c r="G117" s="68"/>
      <c r="H117" s="68"/>
      <c r="I117" s="71">
        <f>'6.Chiết tính'!J1834</f>
        <v>174761.56949503999</v>
      </c>
      <c r="J117" s="71"/>
      <c r="K117" s="71">
        <f t="shared" si="0"/>
        <v>366999.29593958397</v>
      </c>
      <c r="L117" s="71">
        <f t="shared" si="1"/>
        <v>0</v>
      </c>
      <c r="M117" s="71">
        <f t="shared" si="2"/>
        <v>0</v>
      </c>
      <c r="N117" s="71">
        <f t="shared" si="3"/>
        <v>0</v>
      </c>
      <c r="O117" s="67"/>
    </row>
    <row r="118" spans="1:15" ht="15" customHeight="1">
      <c r="A118" s="66">
        <v>101</v>
      </c>
      <c r="B118" s="67" t="str">
        <f>'5.Tiên lượng'!C209</f>
        <v>AB.41432</v>
      </c>
      <c r="C118" s="67" t="str">
        <f>'5.Tiên lượng'!D209</f>
        <v>Vận chuyển đất bằng ô tô tự đổ 10T, phạm vi ≤1000m - Cấp đất II</v>
      </c>
      <c r="D118" s="66" t="str">
        <f>'5.Tiên lượng'!E209</f>
        <v>100m3</v>
      </c>
      <c r="E118" s="68">
        <f>'5.Tiên lượng'!M209</f>
        <v>9.4894999999999996</v>
      </c>
      <c r="F118" s="68"/>
      <c r="G118" s="68"/>
      <c r="H118" s="68"/>
      <c r="I118" s="71">
        <f>'6.Chiết tính'!J1848</f>
        <v>1954227.9053598745</v>
      </c>
      <c r="J118" s="71"/>
      <c r="K118" s="71">
        <f t="shared" si="0"/>
        <v>18544645.707912527</v>
      </c>
      <c r="L118" s="71">
        <f t="shared" si="1"/>
        <v>0</v>
      </c>
      <c r="M118" s="71">
        <f t="shared" si="2"/>
        <v>0</v>
      </c>
      <c r="N118" s="71">
        <f t="shared" si="3"/>
        <v>0</v>
      </c>
      <c r="O118" s="67"/>
    </row>
    <row r="119" spans="1:15" ht="15" customHeight="1">
      <c r="A119" s="66">
        <v>102</v>
      </c>
      <c r="B119" s="67" t="str">
        <f>'5.Tiên lượng'!C211</f>
        <v>AB.53431</v>
      </c>
      <c r="C119" s="67" t="str">
        <f>'5.Tiên lượng'!D211</f>
        <v>Vận chuyển đá sau nổ mìn bằng ô tô tự đổ 10T trong phạm vi ≤1000m</v>
      </c>
      <c r="D119" s="66" t="str">
        <f>'5.Tiên lượng'!E211</f>
        <v>100m3</v>
      </c>
      <c r="E119" s="68">
        <f>'5.Tiên lượng'!M211</f>
        <v>2.2446000000000002</v>
      </c>
      <c r="F119" s="68"/>
      <c r="G119" s="68"/>
      <c r="H119" s="68"/>
      <c r="I119" s="71">
        <f>'6.Chiết tính'!J1862</f>
        <v>3651788.6866087639</v>
      </c>
      <c r="J119" s="71"/>
      <c r="K119" s="71">
        <f t="shared" si="0"/>
        <v>8196804.8859620318</v>
      </c>
      <c r="L119" s="71">
        <f t="shared" si="1"/>
        <v>0</v>
      </c>
      <c r="M119" s="71">
        <f t="shared" si="2"/>
        <v>0</v>
      </c>
      <c r="N119" s="71">
        <f t="shared" si="3"/>
        <v>0</v>
      </c>
      <c r="O119" s="67"/>
    </row>
    <row r="120" spans="1:15" ht="15" customHeight="1">
      <c r="A120" s="63"/>
      <c r="B120" s="64" t="s">
        <v>587</v>
      </c>
      <c r="C120" s="64" t="s">
        <v>85</v>
      </c>
      <c r="D120" s="63"/>
      <c r="E120" s="65"/>
      <c r="F120" s="65"/>
      <c r="G120" s="65"/>
      <c r="H120" s="65"/>
      <c r="I120" s="70"/>
      <c r="J120" s="70"/>
      <c r="K120" s="70">
        <f t="shared" ref="K120:N120" si="4">SUM(K18:K119)</f>
        <v>6464667779.0517035</v>
      </c>
      <c r="L120" s="70">
        <f t="shared" si="4"/>
        <v>0</v>
      </c>
      <c r="M120" s="70">
        <f t="shared" si="4"/>
        <v>0</v>
      </c>
      <c r="N120" s="70">
        <f t="shared" si="4"/>
        <v>0</v>
      </c>
      <c r="O120" s="64"/>
    </row>
    <row r="121" spans="1:15" ht="15" customHeight="1">
      <c r="A121" s="5" t="s">
        <v>1292</v>
      </c>
      <c r="B121" s="4"/>
      <c r="C121" s="4"/>
      <c r="D121" s="4"/>
      <c r="E121" s="4"/>
      <c r="F121" s="4"/>
      <c r="G121" s="4"/>
      <c r="H121" s="4"/>
      <c r="I121" s="4"/>
      <c r="J121" s="4"/>
      <c r="K121" s="4"/>
      <c r="L121" s="4"/>
      <c r="M121" s="4"/>
      <c r="N121" s="4"/>
      <c r="O121" s="4"/>
    </row>
    <row r="122" spans="1:15" ht="15" customHeight="1">
      <c r="A122" s="5" t="s">
        <v>1293</v>
      </c>
      <c r="B122" s="4"/>
      <c r="C122" s="4"/>
      <c r="D122" s="4"/>
      <c r="E122" s="4"/>
      <c r="F122" s="4"/>
      <c r="G122" s="4"/>
      <c r="H122" s="4"/>
      <c r="I122" s="4"/>
      <c r="J122" s="4"/>
      <c r="K122" s="4"/>
      <c r="L122" s="4"/>
      <c r="M122" s="4"/>
      <c r="N122" s="4"/>
      <c r="O122" s="4"/>
    </row>
    <row r="123" spans="1:15" ht="15" customHeight="1">
      <c r="A123" s="5" t="s">
        <v>1294</v>
      </c>
      <c r="B123" s="4"/>
      <c r="C123" s="4"/>
      <c r="D123" s="4"/>
      <c r="E123" s="4"/>
      <c r="F123" s="4"/>
      <c r="G123" s="4"/>
      <c r="H123" s="4"/>
      <c r="I123" s="4"/>
      <c r="J123" s="4"/>
      <c r="K123" s="4"/>
      <c r="L123" s="4"/>
      <c r="M123" s="4"/>
      <c r="N123" s="4"/>
      <c r="O123" s="4"/>
    </row>
    <row r="124" spans="1:15" ht="15" customHeight="1">
      <c r="A124" s="5" t="s">
        <v>1295</v>
      </c>
      <c r="B124" s="4"/>
      <c r="C124" s="4"/>
      <c r="D124" s="4"/>
      <c r="E124" s="4"/>
      <c r="F124" s="4"/>
      <c r="G124" s="4"/>
      <c r="H124" s="4"/>
      <c r="I124" s="4"/>
      <c r="J124" s="4"/>
      <c r="K124" s="4"/>
      <c r="L124" s="4"/>
      <c r="M124" s="4"/>
      <c r="N124" s="4"/>
      <c r="O124" s="4"/>
    </row>
    <row r="125" spans="1:15" ht="15" customHeight="1">
      <c r="A125" s="5" t="s">
        <v>1296</v>
      </c>
      <c r="B125" s="4"/>
      <c r="C125" s="4"/>
      <c r="D125" s="4"/>
      <c r="E125" s="4"/>
      <c r="F125" s="4"/>
      <c r="G125" s="4"/>
      <c r="H125" s="4"/>
      <c r="I125" s="4"/>
      <c r="J125" s="4"/>
      <c r="K125" s="4"/>
      <c r="L125" s="4"/>
      <c r="M125" s="4"/>
      <c r="N125" s="4"/>
      <c r="O125" s="4"/>
    </row>
    <row r="126" spans="1:15" ht="15" customHeight="1">
      <c r="A126" s="5" t="s">
        <v>1297</v>
      </c>
      <c r="B126" s="4"/>
      <c r="C126" s="4"/>
      <c r="D126" s="4"/>
      <c r="E126" s="4"/>
      <c r="F126" s="4"/>
      <c r="G126" s="4"/>
      <c r="H126" s="4"/>
      <c r="I126" s="4"/>
      <c r="J126" s="4"/>
      <c r="K126" s="4"/>
      <c r="L126" s="4"/>
      <c r="M126" s="4"/>
      <c r="N126" s="4"/>
      <c r="O126" s="4"/>
    </row>
    <row r="127" spans="1:15" ht="15" customHeight="1">
      <c r="A127" s="5" t="s">
        <v>1298</v>
      </c>
      <c r="B127" s="4"/>
      <c r="C127" s="4"/>
      <c r="D127" s="4"/>
      <c r="E127" s="4"/>
      <c r="F127" s="4"/>
      <c r="G127" s="4"/>
      <c r="H127" s="4"/>
      <c r="I127" s="4"/>
      <c r="J127" s="4"/>
      <c r="K127" s="4"/>
      <c r="L127" s="4"/>
      <c r="M127" s="4"/>
      <c r="N127" s="4"/>
      <c r="O127" s="4"/>
    </row>
    <row r="128" spans="1:15" ht="15" customHeight="1">
      <c r="A128" s="5" t="s">
        <v>1299</v>
      </c>
      <c r="B128" s="4"/>
      <c r="C128" s="4"/>
      <c r="D128" s="4"/>
      <c r="E128" s="4"/>
      <c r="F128" s="4"/>
      <c r="G128" s="4"/>
      <c r="H128" s="4"/>
      <c r="I128" s="4"/>
      <c r="J128" s="4"/>
      <c r="K128" s="4"/>
      <c r="L128" s="4"/>
      <c r="M128" s="4"/>
      <c r="N128" s="4"/>
      <c r="O128" s="4"/>
    </row>
    <row r="129" spans="1:15" ht="15" customHeight="1">
      <c r="A129" s="4"/>
      <c r="B129" s="4"/>
      <c r="C129" s="4"/>
      <c r="D129" s="4"/>
      <c r="E129" s="4"/>
      <c r="F129" s="4"/>
      <c r="G129" s="4"/>
      <c r="H129" s="4"/>
      <c r="I129" s="4"/>
      <c r="J129" s="4"/>
      <c r="K129" s="4"/>
      <c r="L129" s="4"/>
      <c r="M129" s="4"/>
      <c r="N129" s="4"/>
      <c r="O129" s="4"/>
    </row>
    <row r="130" spans="1:15" ht="15" customHeight="1">
      <c r="A130" s="4"/>
      <c r="B130" s="4"/>
      <c r="C130" s="4"/>
      <c r="D130" s="4"/>
      <c r="E130" s="4"/>
      <c r="F130" s="4"/>
      <c r="G130" s="4"/>
      <c r="H130" s="4"/>
      <c r="I130" s="4"/>
      <c r="J130" s="4"/>
      <c r="K130" s="1064"/>
      <c r="L130" s="1071"/>
      <c r="M130" s="1071"/>
      <c r="N130" s="1071"/>
      <c r="O130" s="1071"/>
    </row>
    <row r="131" spans="1:15" ht="17.850000000000001" customHeight="1">
      <c r="A131" s="1067" t="s">
        <v>1300</v>
      </c>
      <c r="B131" s="1071"/>
      <c r="C131" s="1071"/>
      <c r="D131" s="895"/>
      <c r="E131" s="1071"/>
      <c r="F131" s="1071"/>
      <c r="G131" s="1071"/>
      <c r="H131" s="1071"/>
      <c r="I131" s="1071"/>
      <c r="J131" s="43"/>
      <c r="K131" s="1067" t="s">
        <v>1301</v>
      </c>
      <c r="L131" s="1071"/>
      <c r="M131" s="1071"/>
      <c r="N131" s="1071"/>
      <c r="O131" s="1071"/>
    </row>
    <row r="132" spans="1:15" ht="15.6" customHeight="1">
      <c r="A132" s="1061" t="s">
        <v>1302</v>
      </c>
      <c r="B132" s="1071"/>
      <c r="C132" s="1071"/>
      <c r="D132" s="1063"/>
      <c r="E132" s="1071"/>
      <c r="F132" s="1071"/>
      <c r="G132" s="1071"/>
      <c r="H132" s="1071"/>
      <c r="I132" s="1071"/>
      <c r="J132" s="44"/>
      <c r="K132" s="1061" t="s">
        <v>1302</v>
      </c>
      <c r="L132" s="1071"/>
      <c r="M132" s="1071"/>
      <c r="N132" s="1071"/>
      <c r="O132" s="1071"/>
    </row>
  </sheetData>
  <mergeCells count="23">
    <mergeCell ref="D131:I131"/>
    <mergeCell ref="K131:O131"/>
    <mergeCell ref="A2:O2"/>
    <mergeCell ref="A3:O3"/>
    <mergeCell ref="E13:H13"/>
    <mergeCell ref="I13:J13"/>
    <mergeCell ref="K13:N13"/>
    <mergeCell ref="A132:C132"/>
    <mergeCell ref="D132:I132"/>
    <mergeCell ref="K132:O132"/>
    <mergeCell ref="A13:A15"/>
    <mergeCell ref="B13:B15"/>
    <mergeCell ref="C13:C15"/>
    <mergeCell ref="D13:D15"/>
    <mergeCell ref="E14:E15"/>
    <mergeCell ref="I14:I15"/>
    <mergeCell ref="J14:J15"/>
    <mergeCell ref="K14:K15"/>
    <mergeCell ref="O13:O15"/>
    <mergeCell ref="F14:G14"/>
    <mergeCell ref="L14:N14"/>
    <mergeCell ref="K130:O130"/>
    <mergeCell ref="A131:C13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21"/>
  <sheetViews>
    <sheetView showGridLines="0" workbookViewId="0"/>
  </sheetViews>
  <sheetFormatPr defaultColWidth="9" defaultRowHeight="14.4"/>
  <cols>
    <col min="1" max="1" width="8.77734375" customWidth="1"/>
    <col min="2" max="2" width="35.77734375" customWidth="1"/>
    <col min="3" max="3" width="18.77734375" customWidth="1"/>
    <col min="4" max="5" width="22.77734375" customWidth="1"/>
    <col min="6" max="6" width="15.77734375" customWidth="1"/>
    <col min="7" max="15" width="9.44140625" customWidth="1"/>
  </cols>
  <sheetData>
    <row r="1" spans="1:15" ht="17.850000000000001" customHeight="1">
      <c r="A1" s="1"/>
      <c r="B1" s="1"/>
      <c r="C1" s="1"/>
      <c r="D1" s="1"/>
      <c r="E1" s="1"/>
      <c r="F1" s="2" t="s">
        <v>1305</v>
      </c>
      <c r="G1" s="3"/>
      <c r="H1" s="3"/>
      <c r="I1" s="3"/>
      <c r="J1" s="3"/>
      <c r="K1" s="3"/>
      <c r="L1" s="3"/>
      <c r="M1" s="3"/>
      <c r="N1" s="3"/>
      <c r="O1" s="3"/>
    </row>
    <row r="2" spans="1:15" ht="17.850000000000001" customHeight="1">
      <c r="A2" s="1067" t="s">
        <v>1306</v>
      </c>
      <c r="B2" s="1071"/>
      <c r="C2" s="1071"/>
      <c r="D2" s="1071"/>
      <c r="E2" s="1071"/>
      <c r="F2" s="1071"/>
      <c r="G2" s="3"/>
      <c r="H2" s="3"/>
      <c r="I2" s="3"/>
      <c r="J2" s="3"/>
      <c r="K2" s="3"/>
      <c r="L2" s="3"/>
      <c r="M2" s="3"/>
      <c r="N2" s="3"/>
      <c r="O2" s="3"/>
    </row>
    <row r="3" spans="1:15" ht="17.850000000000001" customHeight="1">
      <c r="A3" s="1083" t="s">
        <v>1304</v>
      </c>
      <c r="B3" s="1071"/>
      <c r="C3" s="1071"/>
      <c r="D3" s="1071"/>
      <c r="E3" s="1071"/>
      <c r="F3" s="1071"/>
      <c r="G3" s="895"/>
      <c r="H3" s="1071"/>
      <c r="I3" s="1071"/>
      <c r="J3" s="1071"/>
      <c r="K3" s="1071"/>
      <c r="L3" s="1071"/>
      <c r="M3" s="895"/>
      <c r="N3" s="1071"/>
      <c r="O3" s="1071"/>
    </row>
    <row r="4" spans="1:15" ht="17.850000000000001" customHeight="1">
      <c r="A4" s="47"/>
      <c r="B4" s="47"/>
      <c r="C4" s="47"/>
      <c r="D4" s="47"/>
      <c r="E4" s="47"/>
      <c r="F4" s="47"/>
      <c r="G4" s="43"/>
      <c r="H4" s="43"/>
      <c r="I4" s="43"/>
      <c r="J4" s="43"/>
      <c r="K4" s="43"/>
      <c r="L4" s="43"/>
      <c r="M4" s="43"/>
      <c r="N4" s="43"/>
      <c r="O4" s="43"/>
    </row>
    <row r="5" spans="1:15" ht="17.850000000000001" customHeight="1">
      <c r="A5" s="1"/>
      <c r="B5" s="1"/>
      <c r="C5" s="1"/>
      <c r="D5" s="1"/>
      <c r="E5" s="1"/>
      <c r="F5" s="1"/>
      <c r="G5" s="3"/>
      <c r="H5" s="3"/>
      <c r="I5" s="3"/>
      <c r="J5" s="3"/>
      <c r="K5" s="3"/>
      <c r="L5" s="3"/>
      <c r="M5" s="3"/>
      <c r="N5" s="3"/>
      <c r="O5" s="3"/>
    </row>
    <row r="6" spans="1:15" ht="35.25" customHeight="1">
      <c r="A6" s="1072" t="s">
        <v>5</v>
      </c>
      <c r="B6" s="1072" t="s">
        <v>1307</v>
      </c>
      <c r="C6" s="1076" t="s">
        <v>1308</v>
      </c>
      <c r="D6" s="1077"/>
      <c r="E6" s="1072" t="s">
        <v>1309</v>
      </c>
      <c r="F6" s="1072" t="s">
        <v>698</v>
      </c>
      <c r="G6" s="3"/>
      <c r="H6" s="3"/>
      <c r="I6" s="3"/>
      <c r="J6" s="3"/>
      <c r="K6" s="3"/>
      <c r="L6" s="3"/>
      <c r="M6" s="3"/>
      <c r="N6" s="3"/>
      <c r="O6" s="3"/>
    </row>
    <row r="7" spans="1:15" ht="72" customHeight="1">
      <c r="A7" s="1074"/>
      <c r="B7" s="1074"/>
      <c r="C7" s="32" t="s">
        <v>1310</v>
      </c>
      <c r="D7" s="32" t="s">
        <v>1311</v>
      </c>
      <c r="E7" s="1074"/>
      <c r="F7" s="1074"/>
      <c r="G7" s="3"/>
      <c r="H7" s="3"/>
      <c r="I7" s="3"/>
      <c r="J7" s="3"/>
      <c r="K7" s="3"/>
      <c r="L7" s="3"/>
      <c r="M7" s="3"/>
      <c r="N7" s="3"/>
      <c r="O7" s="3"/>
    </row>
    <row r="8" spans="1:15" ht="15" customHeight="1">
      <c r="A8" s="9" t="s">
        <v>14</v>
      </c>
      <c r="B8" s="9" t="s">
        <v>16</v>
      </c>
      <c r="C8" s="9" t="s">
        <v>40</v>
      </c>
      <c r="D8" s="9" t="s">
        <v>43</v>
      </c>
      <c r="E8" s="9" t="s">
        <v>46</v>
      </c>
      <c r="F8" s="9" t="s">
        <v>50</v>
      </c>
      <c r="G8" s="3"/>
      <c r="H8" s="3"/>
      <c r="I8" s="3"/>
      <c r="J8" s="3"/>
      <c r="K8" s="3"/>
      <c r="L8" s="3"/>
      <c r="M8" s="3"/>
      <c r="N8" s="3"/>
      <c r="O8" s="3"/>
    </row>
    <row r="9" spans="1:15" ht="15" customHeight="1">
      <c r="A9" s="48" t="s">
        <v>12</v>
      </c>
      <c r="B9" s="49" t="s">
        <v>1312</v>
      </c>
      <c r="C9" s="50"/>
      <c r="D9" s="50"/>
      <c r="E9" s="50"/>
      <c r="F9" s="50"/>
      <c r="G9" s="3"/>
      <c r="H9" s="3"/>
      <c r="I9" s="3"/>
      <c r="J9" s="3"/>
      <c r="K9" s="3"/>
      <c r="L9" s="3"/>
      <c r="M9" s="3"/>
      <c r="N9" s="3"/>
      <c r="O9" s="3"/>
    </row>
    <row r="10" spans="1:15" ht="15" customHeight="1">
      <c r="A10" s="51">
        <v>1</v>
      </c>
      <c r="B10" s="52" t="s">
        <v>1313</v>
      </c>
      <c r="C10" s="34"/>
      <c r="D10" s="34"/>
      <c r="E10" s="34"/>
      <c r="F10" s="34"/>
      <c r="G10" s="3"/>
      <c r="H10" s="3"/>
      <c r="I10" s="3"/>
      <c r="J10" s="3"/>
      <c r="K10" s="3"/>
      <c r="L10" s="3"/>
      <c r="M10" s="3"/>
      <c r="N10" s="3"/>
      <c r="O10" s="3"/>
    </row>
    <row r="11" spans="1:15" ht="15" customHeight="1">
      <c r="A11" s="51">
        <v>2</v>
      </c>
      <c r="B11" s="52" t="s">
        <v>1313</v>
      </c>
      <c r="C11" s="34"/>
      <c r="D11" s="34"/>
      <c r="E11" s="34"/>
      <c r="F11" s="34"/>
      <c r="G11" s="3"/>
      <c r="H11" s="3"/>
      <c r="I11" s="3"/>
      <c r="J11" s="3"/>
      <c r="K11" s="3"/>
      <c r="L11" s="3"/>
      <c r="M11" s="3"/>
      <c r="N11" s="3"/>
      <c r="O11" s="3"/>
    </row>
    <row r="12" spans="1:15" ht="15" customHeight="1">
      <c r="A12" s="51"/>
      <c r="B12" s="34"/>
      <c r="C12" s="34"/>
      <c r="D12" s="34"/>
      <c r="E12" s="34"/>
      <c r="F12" s="34"/>
      <c r="G12" s="3"/>
      <c r="H12" s="3"/>
      <c r="I12" s="3"/>
      <c r="J12" s="3"/>
      <c r="K12" s="3"/>
      <c r="L12" s="3"/>
      <c r="M12" s="3"/>
      <c r="N12" s="3"/>
      <c r="O12" s="3"/>
    </row>
    <row r="13" spans="1:15" ht="15" customHeight="1">
      <c r="A13" s="53" t="s">
        <v>17</v>
      </c>
      <c r="B13" s="54" t="s">
        <v>1314</v>
      </c>
      <c r="C13" s="55"/>
      <c r="D13" s="55"/>
      <c r="E13" s="55"/>
      <c r="F13" s="55"/>
      <c r="G13" s="3"/>
      <c r="H13" s="3"/>
      <c r="I13" s="3"/>
      <c r="J13" s="3"/>
      <c r="K13" s="3"/>
      <c r="L13" s="3"/>
      <c r="M13" s="3"/>
      <c r="N13" s="3"/>
      <c r="O13" s="3"/>
    </row>
    <row r="14" spans="1:15" ht="15" customHeight="1">
      <c r="A14" s="56"/>
      <c r="B14" s="57" t="s">
        <v>1313</v>
      </c>
      <c r="C14" s="35"/>
      <c r="D14" s="35"/>
      <c r="E14" s="35"/>
      <c r="F14" s="35"/>
      <c r="G14" s="3"/>
      <c r="H14" s="3"/>
      <c r="I14" s="3"/>
      <c r="J14" s="3"/>
      <c r="K14" s="3"/>
      <c r="L14" s="3"/>
      <c r="M14" s="3"/>
      <c r="N14" s="3"/>
      <c r="O14" s="3"/>
    </row>
    <row r="15" spans="1:15" ht="15" customHeight="1">
      <c r="A15" s="4"/>
      <c r="B15" s="4"/>
      <c r="C15" s="4"/>
      <c r="D15" s="4"/>
      <c r="E15" s="4"/>
      <c r="F15" s="4"/>
      <c r="G15" s="3"/>
      <c r="H15" s="3"/>
      <c r="I15" s="3"/>
      <c r="J15" s="3"/>
      <c r="K15" s="3"/>
      <c r="L15" s="3"/>
      <c r="M15" s="3"/>
      <c r="N15" s="3"/>
      <c r="O15" s="3"/>
    </row>
    <row r="16" spans="1:15" ht="15" customHeight="1">
      <c r="A16" s="4"/>
      <c r="B16" s="4"/>
      <c r="C16" s="4"/>
      <c r="D16" s="4"/>
      <c r="E16" s="1079" t="s">
        <v>1315</v>
      </c>
      <c r="F16" s="1071"/>
      <c r="G16" s="3"/>
      <c r="H16" s="3"/>
      <c r="I16" s="3"/>
      <c r="J16" s="3"/>
      <c r="K16" s="3"/>
      <c r="L16" s="3"/>
      <c r="M16" s="3"/>
      <c r="N16" s="3"/>
      <c r="O16" s="3"/>
    </row>
    <row r="17" spans="1:15" ht="15" customHeight="1">
      <c r="A17" s="1080" t="s">
        <v>1178</v>
      </c>
      <c r="B17" s="1071"/>
      <c r="C17" s="1081"/>
      <c r="D17" s="1071"/>
      <c r="E17" s="1080" t="s">
        <v>1316</v>
      </c>
      <c r="F17" s="1071"/>
      <c r="G17" s="3"/>
      <c r="H17" s="3"/>
      <c r="I17" s="3"/>
      <c r="J17" s="3"/>
      <c r="K17" s="3"/>
      <c r="L17" s="3"/>
      <c r="M17" s="3"/>
      <c r="N17" s="3"/>
      <c r="O17" s="3"/>
    </row>
    <row r="18" spans="1:15" ht="15" customHeight="1">
      <c r="A18" s="1079" t="s">
        <v>1302</v>
      </c>
      <c r="B18" s="1071"/>
      <c r="C18" s="1082"/>
      <c r="D18" s="1071"/>
      <c r="E18" s="1079" t="s">
        <v>1302</v>
      </c>
      <c r="F18" s="1071"/>
      <c r="G18" s="3"/>
      <c r="H18" s="3"/>
      <c r="I18" s="3"/>
      <c r="J18" s="3"/>
      <c r="K18" s="3"/>
      <c r="L18" s="3"/>
      <c r="M18" s="3"/>
      <c r="N18" s="3"/>
      <c r="O18" s="3"/>
    </row>
    <row r="19" spans="1:15" ht="15" customHeight="1">
      <c r="A19" s="4"/>
      <c r="B19" s="4"/>
      <c r="C19" s="4"/>
      <c r="D19" s="4"/>
      <c r="E19" s="4"/>
      <c r="F19" s="4"/>
      <c r="G19" s="3"/>
      <c r="H19" s="3"/>
      <c r="I19" s="3"/>
      <c r="J19" s="3"/>
      <c r="K19" s="3"/>
      <c r="L19" s="3"/>
      <c r="M19" s="3"/>
      <c r="N19" s="3"/>
      <c r="O19" s="3"/>
    </row>
    <row r="20" spans="1:15" ht="15" customHeight="1">
      <c r="A20" s="4"/>
      <c r="B20" s="4"/>
      <c r="C20" s="4"/>
      <c r="D20" s="4"/>
      <c r="E20" s="4"/>
      <c r="F20" s="4"/>
      <c r="G20" s="3"/>
      <c r="H20" s="3"/>
      <c r="I20" s="3"/>
      <c r="J20" s="3"/>
      <c r="K20" s="3"/>
      <c r="L20" s="3"/>
      <c r="M20" s="3"/>
      <c r="N20" s="3"/>
      <c r="O20" s="3"/>
    </row>
    <row r="21" spans="1:15" ht="15" customHeight="1">
      <c r="A21" s="4"/>
      <c r="B21" s="4"/>
      <c r="C21" s="4"/>
      <c r="D21" s="4"/>
      <c r="E21" s="4"/>
      <c r="F21" s="4"/>
      <c r="G21" s="3"/>
      <c r="H21" s="3"/>
      <c r="I21" s="3"/>
      <c r="J21" s="3"/>
      <c r="K21" s="3"/>
      <c r="L21" s="3"/>
      <c r="M21" s="3"/>
      <c r="N21" s="3"/>
      <c r="O21" s="3"/>
    </row>
  </sheetData>
  <mergeCells count="16">
    <mergeCell ref="A2:F2"/>
    <mergeCell ref="A3:F3"/>
    <mergeCell ref="G3:L3"/>
    <mergeCell ref="M3:O3"/>
    <mergeCell ref="C6:D6"/>
    <mergeCell ref="A6:A7"/>
    <mergeCell ref="B6:B7"/>
    <mergeCell ref="E6:E7"/>
    <mergeCell ref="F6:F7"/>
    <mergeCell ref="E16:F16"/>
    <mergeCell ref="A17:B17"/>
    <mergeCell ref="C17:D17"/>
    <mergeCell ref="E17:F17"/>
    <mergeCell ref="A18:B18"/>
    <mergeCell ref="C18:D18"/>
    <mergeCell ref="E18:F18"/>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39"/>
  <sheetViews>
    <sheetView showGridLines="0" workbookViewId="0"/>
  </sheetViews>
  <sheetFormatPr defaultColWidth="9" defaultRowHeight="14.4"/>
  <cols>
    <col min="1" max="1" width="5.77734375" customWidth="1"/>
    <col min="2" max="2" width="11.77734375" customWidth="1"/>
    <col min="3" max="3" width="50.77734375" customWidth="1"/>
    <col min="4" max="4" width="7.77734375" customWidth="1"/>
    <col min="5" max="8" width="12.77734375" customWidth="1"/>
    <col min="9" max="10" width="11.77734375" customWidth="1"/>
    <col min="11" max="13" width="13.77734375" customWidth="1"/>
    <col min="14" max="14" width="11.77734375" customWidth="1"/>
    <col min="15" max="18" width="9.44140625" customWidth="1"/>
  </cols>
  <sheetData>
    <row r="1" spans="1:18" ht="17.850000000000001" customHeight="1">
      <c r="A1" s="37"/>
      <c r="B1" s="37"/>
      <c r="C1" s="37"/>
      <c r="D1" s="37"/>
      <c r="E1" s="37"/>
      <c r="F1" s="37"/>
      <c r="G1" s="37"/>
      <c r="H1" s="37"/>
      <c r="I1" s="37"/>
      <c r="J1" s="37"/>
      <c r="K1" s="37"/>
      <c r="L1" s="37"/>
      <c r="M1" s="37"/>
      <c r="N1" s="2" t="s">
        <v>1317</v>
      </c>
      <c r="O1" s="3"/>
      <c r="P1" s="3"/>
      <c r="Q1" s="3"/>
      <c r="R1" s="3"/>
    </row>
    <row r="2" spans="1:18" ht="17.850000000000001" customHeight="1">
      <c r="A2" s="1067" t="s">
        <v>1318</v>
      </c>
      <c r="B2" s="1071"/>
      <c r="C2" s="1071"/>
      <c r="D2" s="1071"/>
      <c r="E2" s="1071"/>
      <c r="F2" s="1071"/>
      <c r="G2" s="1071"/>
      <c r="H2" s="1071"/>
      <c r="I2" s="1071"/>
      <c r="J2" s="1071"/>
      <c r="K2" s="1071"/>
      <c r="L2" s="1071"/>
      <c r="M2" s="1071"/>
      <c r="N2" s="1071"/>
      <c r="O2" s="3"/>
      <c r="P2" s="3"/>
      <c r="Q2" s="3"/>
      <c r="R2" s="3"/>
    </row>
    <row r="3" spans="1:18" ht="17.850000000000001" customHeight="1">
      <c r="A3" s="1083" t="s">
        <v>1304</v>
      </c>
      <c r="B3" s="1071"/>
      <c r="C3" s="1071"/>
      <c r="D3" s="1071"/>
      <c r="E3" s="1071"/>
      <c r="F3" s="1071"/>
      <c r="G3" s="1071"/>
      <c r="H3" s="1071"/>
      <c r="I3" s="1071"/>
      <c r="J3" s="1071"/>
      <c r="K3" s="1071"/>
      <c r="L3" s="1071"/>
      <c r="M3" s="1071"/>
      <c r="N3" s="1071"/>
      <c r="O3" s="45"/>
      <c r="P3" s="45"/>
      <c r="Q3" s="45"/>
      <c r="R3" s="45"/>
    </row>
    <row r="4" spans="1:18" ht="15" customHeight="1">
      <c r="A4" s="5" t="s">
        <v>1272</v>
      </c>
      <c r="B4" s="4"/>
      <c r="C4" s="4"/>
      <c r="D4" s="4"/>
      <c r="E4" s="4"/>
      <c r="F4" s="4"/>
      <c r="G4" s="4"/>
      <c r="H4" s="4"/>
      <c r="I4" s="4"/>
      <c r="J4" s="4"/>
      <c r="K4" s="4"/>
      <c r="L4" s="4"/>
      <c r="M4" s="4"/>
      <c r="N4" s="4"/>
      <c r="O4" s="3"/>
      <c r="P4" s="3"/>
      <c r="Q4" s="3"/>
      <c r="R4" s="3"/>
    </row>
    <row r="5" spans="1:18" ht="15" customHeight="1">
      <c r="A5" s="5" t="s">
        <v>1273</v>
      </c>
      <c r="B5" s="4"/>
      <c r="C5" s="4"/>
      <c r="D5" s="4"/>
      <c r="E5" s="4"/>
      <c r="F5" s="4"/>
      <c r="G5" s="4"/>
      <c r="H5" s="4"/>
      <c r="I5" s="4"/>
      <c r="J5" s="4"/>
      <c r="K5" s="4"/>
      <c r="L5" s="4"/>
      <c r="M5" s="4"/>
      <c r="N5" s="4"/>
      <c r="O5" s="3"/>
      <c r="P5" s="3"/>
      <c r="Q5" s="3"/>
      <c r="R5" s="3"/>
    </row>
    <row r="6" spans="1:18" ht="15" customHeight="1">
      <c r="A6" s="5" t="s">
        <v>1274</v>
      </c>
      <c r="B6" s="4"/>
      <c r="C6" s="4"/>
      <c r="D6" s="5" t="s">
        <v>1275</v>
      </c>
      <c r="E6" s="4"/>
      <c r="F6" s="4"/>
      <c r="G6" s="4"/>
      <c r="H6" s="4"/>
      <c r="I6" s="4"/>
      <c r="J6" s="4"/>
      <c r="K6" s="4"/>
      <c r="L6" s="4"/>
      <c r="M6" s="4"/>
      <c r="N6" s="4"/>
      <c r="O6" s="3"/>
      <c r="P6" s="3"/>
      <c r="Q6" s="3"/>
      <c r="R6" s="3"/>
    </row>
    <row r="7" spans="1:18" ht="15" customHeight="1">
      <c r="A7" s="5" t="s">
        <v>1276</v>
      </c>
      <c r="B7" s="4"/>
      <c r="C7" s="4"/>
      <c r="D7" s="4"/>
      <c r="E7" s="4"/>
      <c r="F7" s="4"/>
      <c r="G7" s="4"/>
      <c r="H7" s="4"/>
      <c r="I7" s="4"/>
      <c r="J7" s="4"/>
      <c r="K7" s="4"/>
      <c r="L7" s="4"/>
      <c r="M7" s="4"/>
      <c r="N7" s="4"/>
      <c r="O7" s="3"/>
      <c r="P7" s="3"/>
      <c r="Q7" s="3"/>
      <c r="R7" s="3"/>
    </row>
    <row r="8" spans="1:18" ht="15" customHeight="1">
      <c r="A8" s="5" t="s">
        <v>1277</v>
      </c>
      <c r="B8" s="4"/>
      <c r="C8" s="4"/>
      <c r="D8" s="4"/>
      <c r="E8" s="4"/>
      <c r="F8" s="4"/>
      <c r="G8" s="4"/>
      <c r="H8" s="4"/>
      <c r="I8" s="4"/>
      <c r="J8" s="4"/>
      <c r="K8" s="4"/>
      <c r="L8" s="4"/>
      <c r="M8" s="4"/>
      <c r="N8" s="4"/>
      <c r="O8" s="3"/>
      <c r="P8" s="3"/>
      <c r="Q8" s="3"/>
      <c r="R8" s="3"/>
    </row>
    <row r="9" spans="1:18" ht="15" customHeight="1">
      <c r="A9" s="5" t="s">
        <v>1278</v>
      </c>
      <c r="B9" s="4"/>
      <c r="C9" s="4"/>
      <c r="D9" s="4"/>
      <c r="E9" s="4"/>
      <c r="F9" s="4"/>
      <c r="G9" s="4"/>
      <c r="H9" s="4"/>
      <c r="I9" s="4"/>
      <c r="J9" s="4"/>
      <c r="K9" s="4"/>
      <c r="L9" s="4"/>
      <c r="M9" s="4"/>
      <c r="N9" s="4"/>
      <c r="O9" s="3"/>
      <c r="P9" s="3"/>
      <c r="Q9" s="3"/>
      <c r="R9" s="3"/>
    </row>
    <row r="10" spans="1:18" ht="15" customHeight="1">
      <c r="A10" s="5" t="s">
        <v>1279</v>
      </c>
      <c r="B10" s="4"/>
      <c r="C10" s="4"/>
      <c r="D10" s="4"/>
      <c r="E10" s="4"/>
      <c r="F10" s="4"/>
      <c r="G10" s="4"/>
      <c r="H10" s="4"/>
      <c r="I10" s="4"/>
      <c r="J10" s="4"/>
      <c r="K10" s="4"/>
      <c r="L10" s="4"/>
      <c r="M10" s="4"/>
      <c r="N10" s="4"/>
      <c r="O10" s="3"/>
      <c r="P10" s="3"/>
      <c r="Q10" s="3"/>
      <c r="R10" s="3"/>
    </row>
    <row r="11" spans="1:18" ht="15" customHeight="1">
      <c r="A11" s="5" t="s">
        <v>1280</v>
      </c>
      <c r="B11" s="4"/>
      <c r="C11" s="4"/>
      <c r="D11" s="4"/>
      <c r="E11" s="4"/>
      <c r="F11" s="4"/>
      <c r="G11" s="4"/>
      <c r="H11" s="4"/>
      <c r="I11" s="4"/>
      <c r="J11" s="4"/>
      <c r="K11" s="4"/>
      <c r="L11" s="4"/>
      <c r="M11" s="4"/>
      <c r="N11" s="4"/>
      <c r="O11" s="3"/>
      <c r="P11" s="3"/>
      <c r="Q11" s="3"/>
      <c r="R11" s="3"/>
    </row>
    <row r="12" spans="1:18" ht="15" customHeight="1">
      <c r="A12" s="4"/>
      <c r="B12" s="4"/>
      <c r="C12" s="4"/>
      <c r="D12" s="4"/>
      <c r="E12" s="4"/>
      <c r="F12" s="4"/>
      <c r="G12" s="4"/>
      <c r="H12" s="4"/>
      <c r="I12" s="4"/>
      <c r="J12" s="4"/>
      <c r="K12" s="4"/>
      <c r="L12" s="4"/>
      <c r="M12" s="4"/>
      <c r="N12" s="4"/>
      <c r="O12" s="3"/>
      <c r="P12" s="3"/>
      <c r="Q12" s="3"/>
      <c r="R12" s="3"/>
    </row>
    <row r="13" spans="1:18" ht="16.5" customHeight="1">
      <c r="A13" s="1072" t="s">
        <v>5</v>
      </c>
      <c r="B13" s="1072" t="s">
        <v>320</v>
      </c>
      <c r="C13" s="1072" t="s">
        <v>321</v>
      </c>
      <c r="D13" s="1072" t="s">
        <v>1281</v>
      </c>
      <c r="E13" s="1076" t="s">
        <v>1319</v>
      </c>
      <c r="F13" s="1078"/>
      <c r="G13" s="1078"/>
      <c r="H13" s="1077"/>
      <c r="I13" s="1076" t="s">
        <v>1282</v>
      </c>
      <c r="J13" s="1077"/>
      <c r="K13" s="1085" t="s">
        <v>261</v>
      </c>
      <c r="L13" s="1086"/>
      <c r="M13" s="1087"/>
      <c r="N13" s="1072" t="s">
        <v>698</v>
      </c>
      <c r="O13" s="3"/>
      <c r="P13" s="3"/>
      <c r="Q13" s="3"/>
      <c r="R13" s="3"/>
    </row>
    <row r="14" spans="1:18" ht="16.5" customHeight="1">
      <c r="A14" s="1073"/>
      <c r="B14" s="1073"/>
      <c r="C14" s="1073"/>
      <c r="D14" s="1073"/>
      <c r="E14" s="1072" t="s">
        <v>1320</v>
      </c>
      <c r="F14" s="1076" t="s">
        <v>1284</v>
      </c>
      <c r="G14" s="1078"/>
      <c r="H14" s="1077"/>
      <c r="I14" s="1072" t="s">
        <v>1282</v>
      </c>
      <c r="J14" s="1072" t="s">
        <v>1285</v>
      </c>
      <c r="K14" s="1088"/>
      <c r="L14" s="1089"/>
      <c r="M14" s="1090"/>
      <c r="N14" s="1073"/>
      <c r="O14" s="3"/>
      <c r="P14" s="3"/>
      <c r="Q14" s="3"/>
      <c r="R14" s="3"/>
    </row>
    <row r="15" spans="1:18" ht="29.1" customHeight="1">
      <c r="A15" s="1074"/>
      <c r="B15" s="1074"/>
      <c r="C15" s="1074"/>
      <c r="D15" s="1074"/>
      <c r="E15" s="1074"/>
      <c r="F15" s="32" t="s">
        <v>1288</v>
      </c>
      <c r="G15" s="32" t="s">
        <v>1289</v>
      </c>
      <c r="H15" s="32" t="s">
        <v>1290</v>
      </c>
      <c r="I15" s="1074"/>
      <c r="J15" s="1074"/>
      <c r="K15" s="32" t="s">
        <v>1288</v>
      </c>
      <c r="L15" s="32" t="s">
        <v>1289</v>
      </c>
      <c r="M15" s="32" t="s">
        <v>1290</v>
      </c>
      <c r="N15" s="1074"/>
      <c r="O15" s="3"/>
      <c r="P15" s="3"/>
      <c r="Q15" s="3"/>
      <c r="R15" s="3"/>
    </row>
    <row r="16" spans="1:18" ht="15" customHeight="1">
      <c r="A16" s="9" t="s">
        <v>14</v>
      </c>
      <c r="B16" s="9" t="s">
        <v>16</v>
      </c>
      <c r="C16" s="9" t="s">
        <v>40</v>
      </c>
      <c r="D16" s="9" t="s">
        <v>43</v>
      </c>
      <c r="E16" s="9" t="s">
        <v>46</v>
      </c>
      <c r="F16" s="9" t="s">
        <v>50</v>
      </c>
      <c r="G16" s="9" t="s">
        <v>53</v>
      </c>
      <c r="H16" s="9" t="s">
        <v>1321</v>
      </c>
      <c r="I16" s="9" t="s">
        <v>1322</v>
      </c>
      <c r="J16" s="9" t="s">
        <v>1323</v>
      </c>
      <c r="K16" s="9" t="s">
        <v>1324</v>
      </c>
      <c r="L16" s="9" t="s">
        <v>1325</v>
      </c>
      <c r="M16" s="9" t="s">
        <v>1326</v>
      </c>
      <c r="N16" s="9" t="s">
        <v>1327</v>
      </c>
      <c r="O16" s="3"/>
      <c r="P16" s="3"/>
      <c r="Q16" s="3"/>
      <c r="R16" s="3"/>
    </row>
    <row r="17" spans="1:18" ht="15" customHeight="1">
      <c r="A17" s="38"/>
      <c r="B17" s="38"/>
      <c r="C17" s="38"/>
      <c r="D17" s="38"/>
      <c r="E17" s="38"/>
      <c r="F17" s="38"/>
      <c r="G17" s="38"/>
      <c r="H17" s="38"/>
      <c r="I17" s="38"/>
      <c r="J17" s="38"/>
      <c r="K17" s="38"/>
      <c r="L17" s="38"/>
      <c r="M17" s="38"/>
      <c r="N17" s="38"/>
      <c r="O17" s="3"/>
      <c r="P17" s="3"/>
      <c r="Q17" s="3"/>
      <c r="R17" s="3"/>
    </row>
    <row r="18" spans="1:18" ht="15" customHeight="1">
      <c r="A18" s="39"/>
      <c r="B18" s="39"/>
      <c r="C18" s="39"/>
      <c r="D18" s="39"/>
      <c r="E18" s="39"/>
      <c r="F18" s="39"/>
      <c r="G18" s="39"/>
      <c r="H18" s="39"/>
      <c r="I18" s="39"/>
      <c r="J18" s="39"/>
      <c r="K18" s="39"/>
      <c r="L18" s="39"/>
      <c r="M18" s="39"/>
      <c r="N18" s="39"/>
      <c r="O18" s="3"/>
      <c r="P18" s="3"/>
      <c r="Q18" s="3"/>
      <c r="R18" s="3"/>
    </row>
    <row r="19" spans="1:18" ht="15" customHeight="1">
      <c r="A19" s="39"/>
      <c r="B19" s="39"/>
      <c r="C19" s="39"/>
      <c r="D19" s="39"/>
      <c r="E19" s="39"/>
      <c r="F19" s="39"/>
      <c r="G19" s="39"/>
      <c r="H19" s="39"/>
      <c r="I19" s="39"/>
      <c r="J19" s="39"/>
      <c r="K19" s="39"/>
      <c r="L19" s="39"/>
      <c r="M19" s="39"/>
      <c r="N19" s="39"/>
      <c r="O19" s="3"/>
      <c r="P19" s="3"/>
      <c r="Q19" s="3"/>
      <c r="R19" s="3"/>
    </row>
    <row r="20" spans="1:18" ht="15" customHeight="1">
      <c r="A20" s="39"/>
      <c r="B20" s="39"/>
      <c r="C20" s="39"/>
      <c r="D20" s="39"/>
      <c r="E20" s="39"/>
      <c r="F20" s="39"/>
      <c r="G20" s="39"/>
      <c r="H20" s="39"/>
      <c r="I20" s="39"/>
      <c r="J20" s="39"/>
      <c r="K20" s="39"/>
      <c r="L20" s="39"/>
      <c r="M20" s="39"/>
      <c r="N20" s="39"/>
      <c r="O20" s="3"/>
      <c r="P20" s="3"/>
      <c r="Q20" s="3"/>
      <c r="R20" s="3"/>
    </row>
    <row r="21" spans="1:18" ht="15" customHeight="1">
      <c r="A21" s="39"/>
      <c r="B21" s="39"/>
      <c r="C21" s="39"/>
      <c r="D21" s="39"/>
      <c r="E21" s="39"/>
      <c r="F21" s="39"/>
      <c r="G21" s="39"/>
      <c r="H21" s="39"/>
      <c r="I21" s="39"/>
      <c r="J21" s="39"/>
      <c r="K21" s="39"/>
      <c r="L21" s="39"/>
      <c r="M21" s="39"/>
      <c r="N21" s="39"/>
      <c r="O21" s="3"/>
      <c r="P21" s="3"/>
      <c r="Q21" s="3"/>
      <c r="R21" s="3"/>
    </row>
    <row r="22" spans="1:18" ht="15" customHeight="1">
      <c r="A22" s="39"/>
      <c r="B22" s="39"/>
      <c r="C22" s="39"/>
      <c r="D22" s="39"/>
      <c r="E22" s="39"/>
      <c r="F22" s="39"/>
      <c r="G22" s="39"/>
      <c r="H22" s="39"/>
      <c r="I22" s="39"/>
      <c r="J22" s="39"/>
      <c r="K22" s="39"/>
      <c r="L22" s="39"/>
      <c r="M22" s="39"/>
      <c r="N22" s="39"/>
      <c r="O22" s="3"/>
      <c r="P22" s="3"/>
      <c r="Q22" s="3"/>
      <c r="R22" s="3"/>
    </row>
    <row r="23" spans="1:18" ht="15" customHeight="1">
      <c r="A23" s="39"/>
      <c r="B23" s="39"/>
      <c r="C23" s="39"/>
      <c r="D23" s="39"/>
      <c r="E23" s="39"/>
      <c r="F23" s="39"/>
      <c r="G23" s="39"/>
      <c r="H23" s="39"/>
      <c r="I23" s="39"/>
      <c r="J23" s="39"/>
      <c r="K23" s="39"/>
      <c r="L23" s="39"/>
      <c r="M23" s="39"/>
      <c r="N23" s="39"/>
      <c r="O23" s="3"/>
      <c r="P23" s="3"/>
      <c r="Q23" s="3"/>
      <c r="R23" s="3"/>
    </row>
    <row r="24" spans="1:18" ht="15" customHeight="1">
      <c r="A24" s="39"/>
      <c r="B24" s="39"/>
      <c r="C24" s="39"/>
      <c r="D24" s="39"/>
      <c r="E24" s="39"/>
      <c r="F24" s="39"/>
      <c r="G24" s="39"/>
      <c r="H24" s="39"/>
      <c r="I24" s="39"/>
      <c r="J24" s="39"/>
      <c r="K24" s="39"/>
      <c r="L24" s="39"/>
      <c r="M24" s="39"/>
      <c r="N24" s="39"/>
      <c r="O24" s="3"/>
      <c r="P24" s="3"/>
      <c r="Q24" s="3"/>
      <c r="R24" s="3"/>
    </row>
    <row r="25" spans="1:18" ht="15" customHeight="1">
      <c r="A25" s="40"/>
      <c r="B25" s="40"/>
      <c r="C25" s="40"/>
      <c r="D25" s="40"/>
      <c r="E25" s="40"/>
      <c r="F25" s="40"/>
      <c r="G25" s="40"/>
      <c r="H25" s="40"/>
      <c r="I25" s="40"/>
      <c r="J25" s="40"/>
      <c r="K25" s="40"/>
      <c r="L25" s="40"/>
      <c r="M25" s="40"/>
      <c r="N25" s="40"/>
      <c r="O25" s="3"/>
      <c r="P25" s="3"/>
      <c r="Q25" s="3"/>
      <c r="R25" s="3"/>
    </row>
    <row r="26" spans="1:18" ht="15" customHeight="1">
      <c r="A26" s="41"/>
      <c r="B26" s="41"/>
      <c r="C26" s="42" t="s">
        <v>1328</v>
      </c>
      <c r="D26" s="41"/>
      <c r="E26" s="41"/>
      <c r="F26" s="41"/>
      <c r="G26" s="41"/>
      <c r="H26" s="41"/>
      <c r="I26" s="41"/>
      <c r="J26" s="41"/>
      <c r="K26" s="46">
        <f t="shared" ref="K26:L26" si="0">SUM(K17:K25)</f>
        <v>0</v>
      </c>
      <c r="L26" s="46">
        <f t="shared" si="0"/>
        <v>0</v>
      </c>
      <c r="M26" s="46"/>
      <c r="N26" s="46">
        <f>SUM(N17:N25)</f>
        <v>0</v>
      </c>
      <c r="O26" s="3"/>
      <c r="P26" s="3"/>
      <c r="Q26" s="3"/>
      <c r="R26" s="3"/>
    </row>
    <row r="27" spans="1:18" ht="15" customHeight="1">
      <c r="A27" s="4"/>
      <c r="B27" s="4"/>
      <c r="C27" s="4"/>
      <c r="D27" s="4"/>
      <c r="E27" s="4"/>
      <c r="F27" s="4"/>
      <c r="G27" s="4"/>
      <c r="H27" s="4"/>
      <c r="I27" s="4"/>
      <c r="J27" s="4"/>
      <c r="K27" s="4"/>
      <c r="L27" s="4"/>
      <c r="M27" s="4"/>
      <c r="N27" s="4"/>
      <c r="O27" s="3"/>
      <c r="P27" s="3"/>
      <c r="Q27" s="3"/>
      <c r="R27" s="3"/>
    </row>
    <row r="28" spans="1:18" ht="15" customHeight="1">
      <c r="A28" s="5" t="s">
        <v>1329</v>
      </c>
      <c r="B28" s="4"/>
      <c r="C28" s="4"/>
      <c r="D28" s="4"/>
      <c r="E28" s="4"/>
      <c r="F28" s="4"/>
      <c r="G28" s="4"/>
      <c r="H28" s="4"/>
      <c r="I28" s="4"/>
      <c r="J28" s="4"/>
      <c r="K28" s="4"/>
      <c r="L28" s="4"/>
      <c r="M28" s="4"/>
      <c r="N28" s="4"/>
      <c r="O28" s="3"/>
      <c r="P28" s="3"/>
      <c r="Q28" s="3"/>
      <c r="R28" s="3"/>
    </row>
    <row r="29" spans="1:18" ht="15" customHeight="1">
      <c r="A29" s="5" t="s">
        <v>1293</v>
      </c>
      <c r="B29" s="4"/>
      <c r="C29" s="4"/>
      <c r="D29" s="4"/>
      <c r="E29" s="4"/>
      <c r="F29" s="4"/>
      <c r="G29" s="4"/>
      <c r="H29" s="4"/>
      <c r="I29" s="4"/>
      <c r="J29" s="4"/>
      <c r="K29" s="4"/>
      <c r="L29" s="4"/>
      <c r="M29" s="4"/>
      <c r="N29" s="4"/>
      <c r="O29" s="3"/>
      <c r="P29" s="3"/>
      <c r="Q29" s="3"/>
      <c r="R29" s="3"/>
    </row>
    <row r="30" spans="1:18" ht="15" customHeight="1">
      <c r="A30" s="5" t="s">
        <v>1294</v>
      </c>
      <c r="B30" s="4"/>
      <c r="C30" s="4"/>
      <c r="D30" s="4"/>
      <c r="E30" s="4"/>
      <c r="F30" s="4"/>
      <c r="G30" s="4"/>
      <c r="H30" s="4"/>
      <c r="I30" s="4"/>
      <c r="J30" s="4"/>
      <c r="K30" s="4"/>
      <c r="L30" s="4"/>
      <c r="M30" s="4"/>
      <c r="N30" s="4"/>
      <c r="O30" s="3"/>
      <c r="P30" s="3"/>
      <c r="Q30" s="3"/>
      <c r="R30" s="3"/>
    </row>
    <row r="31" spans="1:18" ht="15" customHeight="1">
      <c r="A31" s="5" t="s">
        <v>1295</v>
      </c>
      <c r="B31" s="4"/>
      <c r="C31" s="4"/>
      <c r="D31" s="4"/>
      <c r="E31" s="4"/>
      <c r="F31" s="4"/>
      <c r="G31" s="4"/>
      <c r="H31" s="4"/>
      <c r="I31" s="4"/>
      <c r="J31" s="4"/>
      <c r="K31" s="4"/>
      <c r="L31" s="4"/>
      <c r="M31" s="4"/>
      <c r="N31" s="4"/>
      <c r="O31" s="3"/>
      <c r="P31" s="3"/>
      <c r="Q31" s="3"/>
      <c r="R31" s="3"/>
    </row>
    <row r="32" spans="1:18" ht="15" customHeight="1">
      <c r="A32" s="5" t="s">
        <v>1330</v>
      </c>
      <c r="B32" s="4"/>
      <c r="C32" s="4"/>
      <c r="D32" s="4"/>
      <c r="E32" s="4"/>
      <c r="F32" s="4"/>
      <c r="G32" s="4"/>
      <c r="H32" s="4"/>
      <c r="I32" s="4"/>
      <c r="J32" s="4"/>
      <c r="K32" s="4"/>
      <c r="L32" s="4"/>
      <c r="M32" s="4"/>
      <c r="N32" s="4"/>
      <c r="O32" s="3"/>
      <c r="P32" s="3"/>
      <c r="Q32" s="3"/>
      <c r="R32" s="3"/>
    </row>
    <row r="33" spans="1:18" ht="15" customHeight="1">
      <c r="A33" s="5" t="s">
        <v>1297</v>
      </c>
      <c r="B33" s="4"/>
      <c r="C33" s="4"/>
      <c r="D33" s="4"/>
      <c r="E33" s="4"/>
      <c r="F33" s="4"/>
      <c r="G33" s="4"/>
      <c r="H33" s="4"/>
      <c r="I33" s="4"/>
      <c r="J33" s="4"/>
      <c r="K33" s="4"/>
      <c r="L33" s="4"/>
      <c r="M33" s="4"/>
      <c r="N33" s="4"/>
      <c r="O33" s="3"/>
      <c r="P33" s="3"/>
      <c r="Q33" s="3"/>
      <c r="R33" s="3"/>
    </row>
    <row r="34" spans="1:18" ht="15" customHeight="1">
      <c r="A34" s="5" t="s">
        <v>1298</v>
      </c>
      <c r="B34" s="4"/>
      <c r="C34" s="4"/>
      <c r="D34" s="4"/>
      <c r="E34" s="4"/>
      <c r="F34" s="4"/>
      <c r="G34" s="4"/>
      <c r="H34" s="4"/>
      <c r="I34" s="4"/>
      <c r="J34" s="4"/>
      <c r="K34" s="4"/>
      <c r="L34" s="4"/>
      <c r="M34" s="4"/>
      <c r="N34" s="4"/>
      <c r="O34" s="3"/>
      <c r="P34" s="3"/>
      <c r="Q34" s="3"/>
      <c r="R34" s="3"/>
    </row>
    <row r="35" spans="1:18" ht="15" customHeight="1">
      <c r="A35" s="5" t="s">
        <v>1299</v>
      </c>
      <c r="B35" s="4"/>
      <c r="C35" s="4"/>
      <c r="D35" s="4"/>
      <c r="E35" s="4"/>
      <c r="F35" s="4"/>
      <c r="G35" s="4"/>
      <c r="H35" s="4"/>
      <c r="I35" s="4"/>
      <c r="J35" s="4"/>
      <c r="K35" s="4"/>
      <c r="L35" s="4"/>
      <c r="M35" s="4"/>
      <c r="N35" s="4"/>
      <c r="O35" s="3"/>
      <c r="P35" s="3"/>
      <c r="Q35" s="3"/>
      <c r="R35" s="3"/>
    </row>
    <row r="36" spans="1:18" ht="15" customHeight="1">
      <c r="A36" s="4"/>
      <c r="B36" s="4"/>
      <c r="C36" s="4"/>
      <c r="D36" s="4"/>
      <c r="E36" s="4"/>
      <c r="F36" s="4"/>
      <c r="G36" s="4"/>
      <c r="H36" s="4"/>
      <c r="I36" s="4"/>
      <c r="J36" s="4"/>
      <c r="K36" s="4"/>
      <c r="L36" s="4"/>
      <c r="M36" s="4"/>
      <c r="N36" s="4"/>
      <c r="O36" s="3"/>
      <c r="P36" s="3"/>
      <c r="Q36" s="3"/>
      <c r="R36" s="3"/>
    </row>
    <row r="37" spans="1:18" ht="15" customHeight="1">
      <c r="A37" s="4"/>
      <c r="B37" s="4"/>
      <c r="C37" s="4"/>
      <c r="D37" s="4"/>
      <c r="E37" s="4"/>
      <c r="F37" s="4"/>
      <c r="G37" s="4"/>
      <c r="H37" s="4"/>
      <c r="I37" s="4"/>
      <c r="J37" s="4"/>
      <c r="K37" s="1084" t="s">
        <v>1315</v>
      </c>
      <c r="L37" s="1071"/>
      <c r="M37" s="1071"/>
      <c r="N37" s="1071"/>
      <c r="O37" s="3"/>
      <c r="P37" s="3"/>
      <c r="Q37" s="3"/>
      <c r="R37" s="3"/>
    </row>
    <row r="38" spans="1:18" ht="17.850000000000001" customHeight="1">
      <c r="A38" s="1067" t="s">
        <v>1300</v>
      </c>
      <c r="B38" s="1071"/>
      <c r="C38" s="1071"/>
      <c r="D38" s="895"/>
      <c r="E38" s="1071"/>
      <c r="F38" s="1071"/>
      <c r="G38" s="1071"/>
      <c r="H38" s="43"/>
      <c r="I38" s="1067" t="s">
        <v>1301</v>
      </c>
      <c r="J38" s="1071"/>
      <c r="K38" s="1071"/>
      <c r="L38" s="1071"/>
      <c r="M38" s="1071"/>
      <c r="N38" s="1071"/>
      <c r="O38" s="3"/>
      <c r="P38" s="3"/>
      <c r="Q38" s="3"/>
      <c r="R38" s="3"/>
    </row>
    <row r="39" spans="1:18" ht="15.6" customHeight="1">
      <c r="A39" s="1061" t="s">
        <v>1302</v>
      </c>
      <c r="B39" s="1071"/>
      <c r="C39" s="1071"/>
      <c r="D39" s="1063"/>
      <c r="E39" s="1071"/>
      <c r="F39" s="1071"/>
      <c r="G39" s="1071"/>
      <c r="H39" s="44"/>
      <c r="I39" s="1061" t="s">
        <v>1302</v>
      </c>
      <c r="J39" s="1071"/>
      <c r="K39" s="1071"/>
      <c r="L39" s="1071"/>
      <c r="M39" s="1071"/>
      <c r="N39" s="1071"/>
      <c r="O39" s="3"/>
      <c r="P39" s="3"/>
      <c r="Q39" s="3"/>
      <c r="R39" s="3"/>
    </row>
  </sheetData>
  <mergeCells count="21">
    <mergeCell ref="A2:N2"/>
    <mergeCell ref="A3:N3"/>
    <mergeCell ref="E13:H13"/>
    <mergeCell ref="I13:J13"/>
    <mergeCell ref="F14:H14"/>
    <mergeCell ref="A13:A15"/>
    <mergeCell ref="B13:B15"/>
    <mergeCell ref="C13:C15"/>
    <mergeCell ref="D13:D15"/>
    <mergeCell ref="E14:E15"/>
    <mergeCell ref="I14:I15"/>
    <mergeCell ref="J14:J15"/>
    <mergeCell ref="N13:N15"/>
    <mergeCell ref="K13:M14"/>
    <mergeCell ref="K37:N37"/>
    <mergeCell ref="A38:C38"/>
    <mergeCell ref="D38:G38"/>
    <mergeCell ref="I38:N38"/>
    <mergeCell ref="A39:C39"/>
    <mergeCell ref="D39:G39"/>
    <mergeCell ref="I39:N3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50"/>
  <sheetViews>
    <sheetView showGridLines="0" workbookViewId="0"/>
  </sheetViews>
  <sheetFormatPr defaultColWidth="9" defaultRowHeight="14.4"/>
  <cols>
    <col min="1" max="1" width="50.77734375" customWidth="1"/>
    <col min="2" max="2" width="22.77734375" customWidth="1"/>
    <col min="3" max="6" width="15.77734375" customWidth="1"/>
  </cols>
  <sheetData>
    <row r="1" spans="1:6" ht="16.5" customHeight="1">
      <c r="A1" s="28"/>
      <c r="B1" s="29"/>
      <c r="C1" s="29"/>
      <c r="D1" s="29"/>
      <c r="E1" s="29"/>
      <c r="F1" s="30" t="s">
        <v>1331</v>
      </c>
    </row>
    <row r="2" spans="1:6" ht="16.5" customHeight="1">
      <c r="A2" s="31" t="s">
        <v>1332</v>
      </c>
      <c r="B2" s="1092" t="s">
        <v>1146</v>
      </c>
      <c r="C2" s="1071"/>
      <c r="D2" s="1071"/>
      <c r="E2" s="1071"/>
      <c r="F2" s="1071"/>
    </row>
    <row r="3" spans="1:6" ht="16.5" customHeight="1">
      <c r="A3" s="31" t="s">
        <v>1333</v>
      </c>
      <c r="B3" s="1092" t="s">
        <v>1085</v>
      </c>
      <c r="C3" s="1071"/>
      <c r="D3" s="1071"/>
      <c r="E3" s="1071"/>
      <c r="F3" s="1071"/>
    </row>
    <row r="4" spans="1:6" ht="16.5" customHeight="1">
      <c r="A4" s="28"/>
      <c r="B4" s="29"/>
      <c r="C4" s="29"/>
      <c r="D4" s="29"/>
      <c r="E4" s="29"/>
      <c r="F4" s="29"/>
    </row>
    <row r="5" spans="1:6" ht="17.850000000000001" customHeight="1">
      <c r="A5" s="1093" t="s">
        <v>1334</v>
      </c>
      <c r="B5" s="1071"/>
      <c r="C5" s="1071"/>
      <c r="D5" s="1071"/>
      <c r="E5" s="1071"/>
      <c r="F5" s="1071"/>
    </row>
    <row r="6" spans="1:6" ht="15" customHeight="1">
      <c r="A6" s="28"/>
      <c r="B6" s="28"/>
      <c r="C6" s="28"/>
      <c r="D6" s="28"/>
      <c r="E6" s="28"/>
      <c r="F6" s="28"/>
    </row>
    <row r="7" spans="1:6" ht="15" customHeight="1">
      <c r="A7" s="1080" t="s">
        <v>1335</v>
      </c>
      <c r="B7" s="1071"/>
      <c r="C7" s="1071"/>
      <c r="D7" s="1071"/>
      <c r="E7" s="1071"/>
      <c r="F7" s="1071"/>
    </row>
    <row r="8" spans="1:6" ht="15" customHeight="1">
      <c r="A8" s="4"/>
      <c r="B8" s="4"/>
      <c r="C8" s="4"/>
      <c r="D8" s="4"/>
      <c r="E8" s="4"/>
      <c r="F8" s="4"/>
    </row>
    <row r="9" spans="1:6" ht="15" customHeight="1">
      <c r="A9" s="5" t="s">
        <v>1336</v>
      </c>
      <c r="B9" s="4"/>
      <c r="C9" s="4"/>
      <c r="D9" s="4"/>
      <c r="E9" s="5" t="s">
        <v>1337</v>
      </c>
      <c r="F9" s="4"/>
    </row>
    <row r="10" spans="1:6" ht="15" customHeight="1">
      <c r="A10" s="5" t="s">
        <v>1338</v>
      </c>
      <c r="B10" s="4"/>
      <c r="C10" s="4"/>
      <c r="D10" s="4"/>
      <c r="E10" s="4"/>
      <c r="F10" s="4"/>
    </row>
    <row r="11" spans="1:6" ht="15" customHeight="1">
      <c r="A11" s="5" t="s">
        <v>1339</v>
      </c>
      <c r="B11" s="5" t="s">
        <v>1340</v>
      </c>
      <c r="C11" s="4"/>
      <c r="D11" s="4"/>
      <c r="E11" s="4"/>
      <c r="F11" s="4"/>
    </row>
    <row r="12" spans="1:6" ht="15" customHeight="1">
      <c r="A12" s="4"/>
      <c r="B12" s="5" t="s">
        <v>1341</v>
      </c>
      <c r="C12" s="4"/>
      <c r="D12" s="4"/>
      <c r="E12" s="4"/>
      <c r="F12" s="4"/>
    </row>
    <row r="13" spans="1:6" ht="15" customHeight="1">
      <c r="A13" s="5" t="s">
        <v>1342</v>
      </c>
      <c r="B13" s="4"/>
      <c r="C13" s="4"/>
      <c r="D13" s="4"/>
      <c r="E13" s="4"/>
      <c r="F13" s="4"/>
    </row>
    <row r="14" spans="1:6" ht="15" customHeight="1">
      <c r="A14" s="5" t="s">
        <v>1343</v>
      </c>
      <c r="B14" s="4"/>
      <c r="C14" s="4"/>
      <c r="D14" s="4"/>
      <c r="E14" s="4"/>
      <c r="F14" s="4"/>
    </row>
    <row r="15" spans="1:6" ht="15" customHeight="1">
      <c r="A15" s="5" t="s">
        <v>1344</v>
      </c>
      <c r="B15" s="4"/>
      <c r="C15" s="4"/>
      <c r="D15" s="4"/>
      <c r="E15" s="4"/>
      <c r="F15" s="4"/>
    </row>
    <row r="16" spans="1:6" ht="15" customHeight="1">
      <c r="A16" s="5" t="s">
        <v>1345</v>
      </c>
      <c r="B16" s="4"/>
      <c r="C16" s="4"/>
      <c r="D16" s="4"/>
      <c r="E16" s="4"/>
      <c r="F16" s="4"/>
    </row>
    <row r="17" spans="1:6" ht="15" customHeight="1">
      <c r="A17" s="5" t="s">
        <v>1346</v>
      </c>
      <c r="B17" s="5" t="s">
        <v>1347</v>
      </c>
      <c r="C17" s="5" t="s">
        <v>1348</v>
      </c>
      <c r="D17" s="5" t="s">
        <v>1349</v>
      </c>
      <c r="E17" s="4"/>
      <c r="F17" s="4"/>
    </row>
    <row r="18" spans="1:6" ht="15" customHeight="1">
      <c r="A18" s="5" t="s">
        <v>1350</v>
      </c>
      <c r="B18" s="4"/>
      <c r="C18" s="4"/>
      <c r="D18" s="4"/>
      <c r="E18" s="4"/>
      <c r="F18" s="4"/>
    </row>
    <row r="19" spans="1:6" ht="15" customHeight="1">
      <c r="A19" s="5" t="s">
        <v>1351</v>
      </c>
      <c r="B19" s="5" t="s">
        <v>1352</v>
      </c>
      <c r="C19" s="4"/>
      <c r="D19" s="4"/>
      <c r="E19" s="4"/>
      <c r="F19" s="4"/>
    </row>
    <row r="20" spans="1:6" ht="15" customHeight="1">
      <c r="A20" s="4"/>
      <c r="B20" s="4"/>
      <c r="C20" s="4"/>
      <c r="D20" s="4"/>
      <c r="E20" s="4"/>
      <c r="F20" s="6" t="s">
        <v>1245</v>
      </c>
    </row>
    <row r="21" spans="1:6" ht="45" customHeight="1">
      <c r="A21" s="1072" t="s">
        <v>1307</v>
      </c>
      <c r="B21" s="1072" t="s">
        <v>1353</v>
      </c>
      <c r="C21" s="1076" t="s">
        <v>1354</v>
      </c>
      <c r="D21" s="1077"/>
      <c r="E21" s="1076" t="s">
        <v>1355</v>
      </c>
      <c r="F21" s="1077"/>
    </row>
    <row r="22" spans="1:6" ht="17.25" customHeight="1">
      <c r="A22" s="1074"/>
      <c r="B22" s="1074"/>
      <c r="C22" s="32" t="s">
        <v>1356</v>
      </c>
      <c r="D22" s="32" t="s">
        <v>1357</v>
      </c>
      <c r="E22" s="32" t="s">
        <v>1356</v>
      </c>
      <c r="F22" s="32" t="s">
        <v>1357</v>
      </c>
    </row>
    <row r="23" spans="1:6" ht="15" customHeight="1">
      <c r="A23" s="33"/>
      <c r="B23" s="33"/>
      <c r="C23" s="33"/>
      <c r="D23" s="33"/>
      <c r="E23" s="33"/>
      <c r="F23" s="33"/>
    </row>
    <row r="24" spans="1:6" ht="15" customHeight="1">
      <c r="A24" s="34"/>
      <c r="B24" s="34"/>
      <c r="C24" s="34"/>
      <c r="D24" s="34"/>
      <c r="E24" s="34"/>
      <c r="F24" s="34"/>
    </row>
    <row r="25" spans="1:6" ht="15" customHeight="1">
      <c r="A25" s="35"/>
      <c r="B25" s="35"/>
      <c r="C25" s="35"/>
      <c r="D25" s="35"/>
      <c r="E25" s="35"/>
      <c r="F25" s="35"/>
    </row>
    <row r="26" spans="1:6" ht="15" customHeight="1">
      <c r="A26" s="36"/>
      <c r="B26" s="36"/>
      <c r="C26" s="36"/>
      <c r="D26" s="36"/>
      <c r="E26" s="36"/>
      <c r="F26" s="36"/>
    </row>
    <row r="27" spans="1:6" ht="15" customHeight="1">
      <c r="A27" s="4"/>
      <c r="B27" s="4"/>
      <c r="C27" s="4"/>
      <c r="D27" s="4"/>
      <c r="E27" s="4"/>
      <c r="F27" s="4"/>
    </row>
    <row r="28" spans="1:6" ht="15" customHeight="1">
      <c r="A28" s="5" t="s">
        <v>1358</v>
      </c>
      <c r="B28" s="4"/>
      <c r="C28" s="4"/>
      <c r="D28" s="4"/>
      <c r="E28" s="4"/>
      <c r="F28" s="4"/>
    </row>
    <row r="29" spans="1:6" ht="15" customHeight="1">
      <c r="A29" s="5" t="s">
        <v>1359</v>
      </c>
      <c r="B29" s="4"/>
      <c r="C29" s="4"/>
      <c r="D29" s="4"/>
      <c r="E29" s="4"/>
      <c r="F29" s="4"/>
    </row>
    <row r="30" spans="1:6" ht="15" customHeight="1">
      <c r="A30" s="5" t="s">
        <v>1360</v>
      </c>
      <c r="B30" s="4"/>
      <c r="C30" s="4"/>
      <c r="D30" s="4"/>
      <c r="E30" s="4"/>
      <c r="F30" s="4"/>
    </row>
    <row r="31" spans="1:6" ht="15" customHeight="1">
      <c r="A31" s="5" t="s">
        <v>1361</v>
      </c>
      <c r="B31" s="4"/>
      <c r="C31" s="4"/>
      <c r="D31" s="4"/>
      <c r="E31" s="4"/>
      <c r="F31" s="4"/>
    </row>
    <row r="32" spans="1:6" ht="15" customHeight="1">
      <c r="A32" s="5" t="s">
        <v>1362</v>
      </c>
      <c r="B32" s="4"/>
      <c r="C32" s="4"/>
      <c r="D32" s="4"/>
      <c r="E32" s="4"/>
      <c r="F32" s="4"/>
    </row>
    <row r="33" spans="1:6" ht="15" customHeight="1">
      <c r="A33" s="5" t="s">
        <v>1363</v>
      </c>
      <c r="B33" s="4"/>
      <c r="C33" s="4"/>
      <c r="D33" s="4"/>
      <c r="E33" s="4"/>
      <c r="F33" s="4"/>
    </row>
    <row r="34" spans="1:6" ht="15" customHeight="1">
      <c r="A34" s="5" t="s">
        <v>1364</v>
      </c>
      <c r="B34" s="4"/>
      <c r="C34" s="4"/>
      <c r="D34" s="4"/>
      <c r="E34" s="4"/>
      <c r="F34" s="4"/>
    </row>
    <row r="35" spans="1:6" ht="15" customHeight="1">
      <c r="A35" s="5" t="s">
        <v>1365</v>
      </c>
      <c r="B35" s="4"/>
      <c r="C35" s="4"/>
      <c r="D35" s="4"/>
      <c r="E35" s="4"/>
      <c r="F35" s="4"/>
    </row>
    <row r="36" spans="1:6" ht="15" customHeight="1">
      <c r="A36" s="5" t="s">
        <v>1366</v>
      </c>
      <c r="B36" s="4"/>
      <c r="C36" s="4"/>
      <c r="D36" s="4"/>
      <c r="E36" s="4"/>
      <c r="F36" s="4"/>
    </row>
    <row r="37" spans="1:6" ht="15" customHeight="1">
      <c r="A37" s="5" t="s">
        <v>1362</v>
      </c>
      <c r="B37" s="4"/>
      <c r="C37" s="4"/>
      <c r="D37" s="4"/>
      <c r="E37" s="4"/>
      <c r="F37" s="4"/>
    </row>
    <row r="38" spans="1:6" ht="15" customHeight="1">
      <c r="A38" s="5" t="s">
        <v>1363</v>
      </c>
      <c r="B38" s="4"/>
      <c r="C38" s="4"/>
      <c r="D38" s="4"/>
      <c r="E38" s="4"/>
      <c r="F38" s="4"/>
    </row>
    <row r="39" spans="1:6" ht="15" customHeight="1">
      <c r="A39" s="5" t="s">
        <v>1367</v>
      </c>
      <c r="B39" s="4"/>
      <c r="C39" s="4"/>
      <c r="D39" s="4"/>
      <c r="E39" s="4"/>
      <c r="F39" s="4"/>
    </row>
    <row r="40" spans="1:6" ht="15" customHeight="1">
      <c r="A40" s="5" t="s">
        <v>1368</v>
      </c>
      <c r="B40" s="4"/>
      <c r="C40" s="4"/>
      <c r="D40" s="4"/>
      <c r="E40" s="4"/>
      <c r="F40" s="4"/>
    </row>
    <row r="41" spans="1:6" ht="15" customHeight="1">
      <c r="A41" s="4"/>
      <c r="B41" s="4"/>
      <c r="C41" s="4"/>
      <c r="D41" s="4"/>
      <c r="E41" s="4"/>
      <c r="F41" s="4"/>
    </row>
    <row r="42" spans="1:6" ht="15" customHeight="1">
      <c r="A42" s="4"/>
      <c r="B42" s="4"/>
      <c r="C42" s="1079" t="s">
        <v>1369</v>
      </c>
      <c r="D42" s="1071"/>
      <c r="E42" s="1071"/>
      <c r="F42" s="1071"/>
    </row>
    <row r="43" spans="1:6" ht="15" customHeight="1">
      <c r="A43" s="25" t="s">
        <v>1370</v>
      </c>
      <c r="B43" s="4"/>
      <c r="C43" s="1080" t="s">
        <v>1178</v>
      </c>
      <c r="D43" s="1071"/>
      <c r="E43" s="1071"/>
      <c r="F43" s="1071"/>
    </row>
    <row r="44" spans="1:6" ht="15" customHeight="1">
      <c r="A44" s="26" t="s">
        <v>1371</v>
      </c>
      <c r="B44" s="4"/>
      <c r="C44" s="1091" t="s">
        <v>1302</v>
      </c>
      <c r="D44" s="1071"/>
      <c r="E44" s="1071"/>
      <c r="F44" s="1071"/>
    </row>
    <row r="45" spans="1:6" ht="15" customHeight="1">
      <c r="A45" s="4"/>
      <c r="B45" s="4"/>
      <c r="C45" s="4"/>
      <c r="D45" s="4"/>
      <c r="E45" s="4"/>
      <c r="F45" s="4"/>
    </row>
    <row r="46" spans="1:6" ht="15" customHeight="1">
      <c r="A46" s="4"/>
      <c r="B46" s="4"/>
      <c r="C46" s="4"/>
      <c r="D46" s="4"/>
      <c r="E46" s="4"/>
      <c r="F46" s="4"/>
    </row>
    <row r="47" spans="1:6" ht="15" customHeight="1">
      <c r="A47" s="4"/>
      <c r="B47" s="4"/>
      <c r="C47" s="4"/>
      <c r="D47" s="4"/>
      <c r="E47" s="4"/>
      <c r="F47" s="4"/>
    </row>
    <row r="48" spans="1:6" ht="15" customHeight="1">
      <c r="A48" s="4"/>
      <c r="B48" s="4"/>
      <c r="C48" s="4"/>
      <c r="D48" s="4"/>
      <c r="E48" s="4"/>
      <c r="F48" s="4"/>
    </row>
    <row r="49" spans="1:6" ht="15" customHeight="1">
      <c r="A49" s="4"/>
      <c r="B49" s="4"/>
      <c r="C49" s="4"/>
      <c r="D49" s="4"/>
      <c r="E49" s="4"/>
      <c r="F49" s="4"/>
    </row>
    <row r="50" spans="1:6" ht="15" customHeight="1">
      <c r="A50" s="4"/>
      <c r="B50" s="4"/>
      <c r="C50" s="4"/>
      <c r="D50" s="4"/>
      <c r="E50" s="4"/>
      <c r="F50" s="4"/>
    </row>
  </sheetData>
  <mergeCells count="11">
    <mergeCell ref="B2:F2"/>
    <mergeCell ref="B3:F3"/>
    <mergeCell ref="A5:F5"/>
    <mergeCell ref="A7:F7"/>
    <mergeCell ref="C21:D21"/>
    <mergeCell ref="E21:F21"/>
    <mergeCell ref="C42:F42"/>
    <mergeCell ref="C43:F43"/>
    <mergeCell ref="C44:F44"/>
    <mergeCell ref="A21:A22"/>
    <mergeCell ref="B21:B2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80"/>
  <sheetViews>
    <sheetView showGridLines="0" workbookViewId="0"/>
  </sheetViews>
  <sheetFormatPr defaultColWidth="9" defaultRowHeight="14.4"/>
  <cols>
    <col min="1" max="1" width="5.77734375" customWidth="1"/>
    <col min="2" max="2" width="45.77734375" customWidth="1"/>
    <col min="3" max="8" width="20.77734375" customWidth="1"/>
  </cols>
  <sheetData>
    <row r="1" spans="1:8" ht="17.850000000000001" customHeight="1">
      <c r="A1" s="1"/>
      <c r="B1" s="1"/>
      <c r="C1" s="1"/>
      <c r="D1" s="1"/>
      <c r="E1" s="1"/>
      <c r="F1" s="1"/>
      <c r="G1" s="1"/>
      <c r="H1" s="2" t="s">
        <v>1372</v>
      </c>
    </row>
    <row r="2" spans="1:8" ht="17.850000000000001" customHeight="1">
      <c r="A2" s="1093" t="s">
        <v>1373</v>
      </c>
      <c r="B2" s="1071"/>
      <c r="C2" s="1071"/>
      <c r="D2" s="1071"/>
      <c r="E2" s="1071"/>
      <c r="F2" s="1071"/>
      <c r="G2" s="1071"/>
      <c r="H2" s="1071"/>
    </row>
    <row r="3" spans="1:8" ht="15" customHeight="1">
      <c r="A3" s="4"/>
      <c r="B3" s="4"/>
      <c r="C3" s="4"/>
      <c r="D3" s="4"/>
      <c r="E3" s="4"/>
      <c r="F3" s="4"/>
      <c r="G3" s="4"/>
      <c r="H3" s="4"/>
    </row>
    <row r="4" spans="1:8" ht="15" customHeight="1">
      <c r="A4" s="5" t="s">
        <v>1374</v>
      </c>
      <c r="B4" s="4"/>
      <c r="C4" s="5" t="s">
        <v>1375</v>
      </c>
      <c r="D4" s="4"/>
      <c r="E4" s="4"/>
      <c r="F4" s="4"/>
      <c r="G4" s="4"/>
      <c r="H4" s="4"/>
    </row>
    <row r="5" spans="1:8" ht="15" customHeight="1">
      <c r="A5" s="5" t="s">
        <v>1276</v>
      </c>
      <c r="B5" s="4"/>
      <c r="C5" s="4"/>
      <c r="D5" s="4"/>
      <c r="E5" s="4"/>
      <c r="F5" s="4"/>
      <c r="G5" s="4"/>
      <c r="H5" s="4"/>
    </row>
    <row r="6" spans="1:8" ht="15" customHeight="1">
      <c r="A6" s="5" t="s">
        <v>1376</v>
      </c>
      <c r="B6" s="4"/>
      <c r="C6" s="4"/>
      <c r="D6" s="4"/>
      <c r="E6" s="4"/>
      <c r="F6" s="4"/>
      <c r="G6" s="4"/>
      <c r="H6" s="4"/>
    </row>
    <row r="7" spans="1:8" ht="15" customHeight="1">
      <c r="A7" s="5" t="s">
        <v>1377</v>
      </c>
      <c r="B7" s="4"/>
      <c r="C7" s="4"/>
      <c r="D7" s="4"/>
      <c r="E7" s="4"/>
      <c r="F7" s="4"/>
      <c r="G7" s="4"/>
      <c r="H7" s="4"/>
    </row>
    <row r="8" spans="1:8" ht="15" customHeight="1">
      <c r="A8" s="5" t="s">
        <v>1378</v>
      </c>
      <c r="B8" s="4"/>
      <c r="C8" s="4"/>
      <c r="D8" s="4"/>
      <c r="E8" s="4"/>
      <c r="F8" s="4"/>
      <c r="G8" s="4"/>
      <c r="H8" s="4"/>
    </row>
    <row r="9" spans="1:8" ht="15" customHeight="1">
      <c r="A9" s="5" t="s">
        <v>1379</v>
      </c>
      <c r="B9" s="4"/>
      <c r="C9" s="4"/>
      <c r="D9" s="4"/>
      <c r="E9" s="4"/>
      <c r="F9" s="4"/>
      <c r="G9" s="4"/>
      <c r="H9" s="4"/>
    </row>
    <row r="10" spans="1:8" ht="15" customHeight="1">
      <c r="A10" s="4"/>
      <c r="B10" s="4"/>
      <c r="C10" s="4"/>
      <c r="D10" s="4"/>
      <c r="E10" s="4"/>
      <c r="F10" s="4"/>
      <c r="G10" s="4"/>
      <c r="H10" s="6" t="s">
        <v>1245</v>
      </c>
    </row>
    <row r="11" spans="1:8" ht="15.6" customHeight="1">
      <c r="A11" s="1095" t="s">
        <v>5</v>
      </c>
      <c r="B11" s="1095" t="s">
        <v>1307</v>
      </c>
      <c r="C11" s="1095" t="s">
        <v>1380</v>
      </c>
      <c r="D11" s="1096" t="s">
        <v>1381</v>
      </c>
      <c r="E11" s="1078"/>
      <c r="F11" s="1077"/>
      <c r="G11" s="1095" t="s">
        <v>1382</v>
      </c>
      <c r="H11" s="1095" t="s">
        <v>698</v>
      </c>
    </row>
    <row r="12" spans="1:8" ht="15.6" customHeight="1">
      <c r="A12" s="1073"/>
      <c r="B12" s="1073"/>
      <c r="C12" s="1073"/>
      <c r="D12" s="7" t="s">
        <v>1383</v>
      </c>
      <c r="E12" s="1096" t="s">
        <v>1384</v>
      </c>
      <c r="F12" s="1077"/>
      <c r="G12" s="1073"/>
      <c r="H12" s="1073"/>
    </row>
    <row r="13" spans="1:8" ht="29.1" customHeight="1">
      <c r="A13" s="1074"/>
      <c r="B13" s="1074"/>
      <c r="C13" s="1074"/>
      <c r="D13" s="8"/>
      <c r="E13" s="7" t="s">
        <v>1385</v>
      </c>
      <c r="F13" s="7" t="s">
        <v>1386</v>
      </c>
      <c r="G13" s="1074"/>
      <c r="H13" s="1074"/>
    </row>
    <row r="14" spans="1:8" ht="15" customHeight="1">
      <c r="A14" s="9" t="s">
        <v>14</v>
      </c>
      <c r="B14" s="9" t="s">
        <v>16</v>
      </c>
      <c r="C14" s="9" t="s">
        <v>40</v>
      </c>
      <c r="D14" s="9" t="s">
        <v>43</v>
      </c>
      <c r="E14" s="9" t="s">
        <v>46</v>
      </c>
      <c r="F14" s="9" t="s">
        <v>50</v>
      </c>
      <c r="G14" s="9"/>
      <c r="H14" s="9"/>
    </row>
    <row r="15" spans="1:8" ht="15.6" customHeight="1">
      <c r="A15" s="10" t="s">
        <v>1387</v>
      </c>
      <c r="B15" s="11" t="s">
        <v>1388</v>
      </c>
      <c r="C15" s="12"/>
      <c r="D15" s="12"/>
      <c r="E15" s="12"/>
      <c r="F15" s="12"/>
      <c r="G15" s="12"/>
      <c r="H15" s="12"/>
    </row>
    <row r="16" spans="1:8" ht="15.6" customHeight="1">
      <c r="A16" s="13" t="s">
        <v>12</v>
      </c>
      <c r="B16" s="14" t="s">
        <v>1389</v>
      </c>
      <c r="C16" s="15"/>
      <c r="D16" s="15"/>
      <c r="E16" s="15"/>
      <c r="F16" s="15"/>
      <c r="G16" s="15"/>
      <c r="H16" s="15"/>
    </row>
    <row r="17" spans="1:8" ht="15.6" customHeight="1">
      <c r="A17" s="16"/>
      <c r="B17" s="17" t="s">
        <v>1390</v>
      </c>
      <c r="C17" s="15"/>
      <c r="D17" s="15"/>
      <c r="E17" s="15"/>
      <c r="F17" s="15"/>
      <c r="G17" s="15"/>
      <c r="H17" s="15"/>
    </row>
    <row r="18" spans="1:8" ht="15.6" customHeight="1">
      <c r="A18" s="16"/>
      <c r="B18" s="17" t="s">
        <v>1391</v>
      </c>
      <c r="C18" s="15"/>
      <c r="D18" s="15"/>
      <c r="E18" s="15"/>
      <c r="F18" s="15"/>
      <c r="G18" s="15"/>
      <c r="H18" s="15"/>
    </row>
    <row r="19" spans="1:8" ht="15.6" customHeight="1">
      <c r="A19" s="16"/>
      <c r="B19" s="14" t="s">
        <v>1392</v>
      </c>
      <c r="C19" s="15"/>
      <c r="D19" s="15"/>
      <c r="E19" s="15"/>
      <c r="F19" s="15"/>
      <c r="G19" s="15"/>
      <c r="H19" s="15"/>
    </row>
    <row r="20" spans="1:8" ht="15.6" customHeight="1">
      <c r="A20" s="16">
        <v>1</v>
      </c>
      <c r="B20" s="14" t="s">
        <v>1393</v>
      </c>
      <c r="C20" s="15"/>
      <c r="D20" s="15"/>
      <c r="E20" s="15"/>
      <c r="F20" s="15"/>
      <c r="G20" s="15"/>
      <c r="H20" s="15"/>
    </row>
    <row r="21" spans="1:8" ht="15.6" customHeight="1">
      <c r="A21" s="16"/>
      <c r="B21" s="17" t="s">
        <v>1390</v>
      </c>
      <c r="C21" s="15"/>
      <c r="D21" s="15"/>
      <c r="E21" s="15"/>
      <c r="F21" s="15"/>
      <c r="G21" s="15"/>
      <c r="H21" s="15"/>
    </row>
    <row r="22" spans="1:8" ht="15.6" customHeight="1">
      <c r="A22" s="16"/>
      <c r="B22" s="17" t="s">
        <v>1391</v>
      </c>
      <c r="C22" s="15"/>
      <c r="D22" s="15"/>
      <c r="E22" s="15"/>
      <c r="F22" s="15"/>
      <c r="G22" s="15"/>
      <c r="H22" s="15"/>
    </row>
    <row r="23" spans="1:8" ht="15.6" customHeight="1">
      <c r="A23" s="16">
        <v>2</v>
      </c>
      <c r="B23" s="14" t="s">
        <v>1394</v>
      </c>
      <c r="C23" s="15"/>
      <c r="D23" s="15"/>
      <c r="E23" s="15"/>
      <c r="F23" s="15"/>
      <c r="G23" s="15"/>
      <c r="H23" s="15"/>
    </row>
    <row r="24" spans="1:8" ht="15.6" customHeight="1">
      <c r="A24" s="16">
        <v>3</v>
      </c>
      <c r="B24" s="14" t="s">
        <v>1395</v>
      </c>
      <c r="C24" s="15"/>
      <c r="D24" s="15"/>
      <c r="E24" s="15"/>
      <c r="F24" s="15"/>
      <c r="G24" s="15"/>
      <c r="H24" s="15"/>
    </row>
    <row r="25" spans="1:8" ht="15.6" customHeight="1">
      <c r="A25" s="16"/>
      <c r="B25" s="17" t="s">
        <v>1390</v>
      </c>
      <c r="C25" s="15"/>
      <c r="D25" s="15"/>
      <c r="E25" s="15"/>
      <c r="F25" s="15"/>
      <c r="G25" s="15"/>
      <c r="H25" s="15"/>
    </row>
    <row r="26" spans="1:8" ht="15.6" customHeight="1">
      <c r="A26" s="16"/>
      <c r="B26" s="17" t="s">
        <v>1391</v>
      </c>
      <c r="C26" s="15"/>
      <c r="D26" s="15"/>
      <c r="E26" s="15"/>
      <c r="F26" s="15"/>
      <c r="G26" s="15"/>
      <c r="H26" s="15"/>
    </row>
    <row r="27" spans="1:8" ht="29.1" customHeight="1">
      <c r="A27" s="13" t="s">
        <v>17</v>
      </c>
      <c r="B27" s="14" t="s">
        <v>1396</v>
      </c>
      <c r="C27" s="15"/>
      <c r="D27" s="15"/>
      <c r="E27" s="15"/>
      <c r="F27" s="15"/>
      <c r="G27" s="15"/>
      <c r="H27" s="15"/>
    </row>
    <row r="28" spans="1:8" ht="15.6" customHeight="1">
      <c r="A28" s="16"/>
      <c r="B28" s="17" t="s">
        <v>1390</v>
      </c>
      <c r="C28" s="15"/>
      <c r="D28" s="15"/>
      <c r="E28" s="15"/>
      <c r="F28" s="15"/>
      <c r="G28" s="15"/>
      <c r="H28" s="15"/>
    </row>
    <row r="29" spans="1:8" ht="15.6" customHeight="1">
      <c r="A29" s="16"/>
      <c r="B29" s="17" t="s">
        <v>1391</v>
      </c>
      <c r="C29" s="15"/>
      <c r="D29" s="15"/>
      <c r="E29" s="15"/>
      <c r="F29" s="15"/>
      <c r="G29" s="15"/>
      <c r="H29" s="15"/>
    </row>
    <row r="30" spans="1:8" ht="15.6" customHeight="1">
      <c r="A30" s="18" t="s">
        <v>1397</v>
      </c>
      <c r="B30" s="19" t="s">
        <v>1398</v>
      </c>
      <c r="C30" s="20"/>
      <c r="D30" s="20"/>
      <c r="E30" s="20"/>
      <c r="F30" s="20"/>
      <c r="G30" s="20"/>
      <c r="H30" s="20"/>
    </row>
    <row r="31" spans="1:8" ht="15.6" customHeight="1">
      <c r="A31" s="13" t="s">
        <v>12</v>
      </c>
      <c r="B31" s="14" t="s">
        <v>1389</v>
      </c>
      <c r="C31" s="15"/>
      <c r="D31" s="15"/>
      <c r="E31" s="15"/>
      <c r="F31" s="15"/>
      <c r="G31" s="15"/>
      <c r="H31" s="15"/>
    </row>
    <row r="32" spans="1:8" ht="15.6" customHeight="1">
      <c r="A32" s="16"/>
      <c r="B32" s="17" t="s">
        <v>1390</v>
      </c>
      <c r="C32" s="15"/>
      <c r="D32" s="15"/>
      <c r="E32" s="15"/>
      <c r="F32" s="15"/>
      <c r="G32" s="15"/>
      <c r="H32" s="15"/>
    </row>
    <row r="33" spans="1:8" ht="15.6" customHeight="1">
      <c r="A33" s="16"/>
      <c r="B33" s="17" t="s">
        <v>1391</v>
      </c>
      <c r="C33" s="15"/>
      <c r="D33" s="15"/>
      <c r="E33" s="15"/>
      <c r="F33" s="15"/>
      <c r="G33" s="15"/>
      <c r="H33" s="15"/>
    </row>
    <row r="34" spans="1:8" ht="15.6" customHeight="1">
      <c r="A34" s="16"/>
      <c r="B34" s="14" t="s">
        <v>1392</v>
      </c>
      <c r="C34" s="15"/>
      <c r="D34" s="15"/>
      <c r="E34" s="15"/>
      <c r="F34" s="15"/>
      <c r="G34" s="15"/>
      <c r="H34" s="15"/>
    </row>
    <row r="35" spans="1:8" ht="15.6" customHeight="1">
      <c r="A35" s="16">
        <v>1</v>
      </c>
      <c r="B35" s="14" t="s">
        <v>1393</v>
      </c>
      <c r="C35" s="15"/>
      <c r="D35" s="15"/>
      <c r="E35" s="15"/>
      <c r="F35" s="15"/>
      <c r="G35" s="15"/>
      <c r="H35" s="15"/>
    </row>
    <row r="36" spans="1:8" ht="15.6" customHeight="1">
      <c r="A36" s="16"/>
      <c r="B36" s="17" t="s">
        <v>1390</v>
      </c>
      <c r="C36" s="15"/>
      <c r="D36" s="15"/>
      <c r="E36" s="15"/>
      <c r="F36" s="15"/>
      <c r="G36" s="15"/>
      <c r="H36" s="15"/>
    </row>
    <row r="37" spans="1:8" ht="15.6" customHeight="1">
      <c r="A37" s="16"/>
      <c r="B37" s="17" t="s">
        <v>1391</v>
      </c>
      <c r="C37" s="15"/>
      <c r="D37" s="15"/>
      <c r="E37" s="15"/>
      <c r="F37" s="15"/>
      <c r="G37" s="15"/>
      <c r="H37" s="15"/>
    </row>
    <row r="38" spans="1:8" ht="15.6" customHeight="1">
      <c r="A38" s="16">
        <v>2</v>
      </c>
      <c r="B38" s="14" t="s">
        <v>1394</v>
      </c>
      <c r="C38" s="15"/>
      <c r="D38" s="15"/>
      <c r="E38" s="15"/>
      <c r="F38" s="15"/>
      <c r="G38" s="15"/>
      <c r="H38" s="15"/>
    </row>
    <row r="39" spans="1:8" ht="15.6" customHeight="1">
      <c r="A39" s="16">
        <v>3</v>
      </c>
      <c r="B39" s="14" t="s">
        <v>1395</v>
      </c>
      <c r="C39" s="15"/>
      <c r="D39" s="15"/>
      <c r="E39" s="15"/>
      <c r="F39" s="15"/>
      <c r="G39" s="15"/>
      <c r="H39" s="15"/>
    </row>
    <row r="40" spans="1:8" ht="15.6" customHeight="1">
      <c r="A40" s="16"/>
      <c r="B40" s="17" t="s">
        <v>1390</v>
      </c>
      <c r="C40" s="15"/>
      <c r="D40" s="15"/>
      <c r="E40" s="15"/>
      <c r="F40" s="15"/>
      <c r="G40" s="15"/>
      <c r="H40" s="15"/>
    </row>
    <row r="41" spans="1:8" ht="15.6" customHeight="1">
      <c r="A41" s="16"/>
      <c r="B41" s="17" t="s">
        <v>1391</v>
      </c>
      <c r="C41" s="15"/>
      <c r="D41" s="15"/>
      <c r="E41" s="15"/>
      <c r="F41" s="15"/>
      <c r="G41" s="15"/>
      <c r="H41" s="15"/>
    </row>
    <row r="42" spans="1:8" ht="29.1" customHeight="1">
      <c r="A42" s="13" t="s">
        <v>17</v>
      </c>
      <c r="B42" s="14" t="s">
        <v>1396</v>
      </c>
      <c r="C42" s="15"/>
      <c r="D42" s="15"/>
      <c r="E42" s="15"/>
      <c r="F42" s="15"/>
      <c r="G42" s="15"/>
      <c r="H42" s="15"/>
    </row>
    <row r="43" spans="1:8" ht="15.6" customHeight="1">
      <c r="A43" s="16"/>
      <c r="B43" s="17" t="s">
        <v>1390</v>
      </c>
      <c r="C43" s="15"/>
      <c r="D43" s="15"/>
      <c r="E43" s="15"/>
      <c r="F43" s="15"/>
      <c r="G43" s="15"/>
      <c r="H43" s="15"/>
    </row>
    <row r="44" spans="1:8" ht="15.6" customHeight="1">
      <c r="A44" s="16"/>
      <c r="B44" s="17" t="s">
        <v>1391</v>
      </c>
      <c r="C44" s="15"/>
      <c r="D44" s="15"/>
      <c r="E44" s="15"/>
      <c r="F44" s="15"/>
      <c r="G44" s="15"/>
      <c r="H44" s="15"/>
    </row>
    <row r="45" spans="1:8" ht="15.6" customHeight="1">
      <c r="A45" s="18" t="s">
        <v>274</v>
      </c>
      <c r="B45" s="19" t="s">
        <v>1399</v>
      </c>
      <c r="C45" s="20"/>
      <c r="D45" s="20"/>
      <c r="E45" s="20"/>
      <c r="F45" s="20"/>
      <c r="G45" s="20"/>
      <c r="H45" s="20"/>
    </row>
    <row r="46" spans="1:8" ht="15.6" customHeight="1">
      <c r="A46" s="13" t="s">
        <v>12</v>
      </c>
      <c r="B46" s="14" t="s">
        <v>1389</v>
      </c>
      <c r="C46" s="15"/>
      <c r="D46" s="15"/>
      <c r="E46" s="15"/>
      <c r="F46" s="15"/>
      <c r="G46" s="15"/>
      <c r="H46" s="15"/>
    </row>
    <row r="47" spans="1:8" ht="15.6" customHeight="1">
      <c r="A47" s="16"/>
      <c r="B47" s="17" t="s">
        <v>1390</v>
      </c>
      <c r="C47" s="15"/>
      <c r="D47" s="15"/>
      <c r="E47" s="15"/>
      <c r="F47" s="15"/>
      <c r="G47" s="15"/>
      <c r="H47" s="15"/>
    </row>
    <row r="48" spans="1:8" ht="15.6" customHeight="1">
      <c r="A48" s="16"/>
      <c r="B48" s="17" t="s">
        <v>1391</v>
      </c>
      <c r="C48" s="15"/>
      <c r="D48" s="15"/>
      <c r="E48" s="15"/>
      <c r="F48" s="15"/>
      <c r="G48" s="15"/>
      <c r="H48" s="15"/>
    </row>
    <row r="49" spans="1:8" ht="15.6" customHeight="1">
      <c r="A49" s="16"/>
      <c r="B49" s="14" t="s">
        <v>1392</v>
      </c>
      <c r="C49" s="15"/>
      <c r="D49" s="15"/>
      <c r="E49" s="15"/>
      <c r="F49" s="15"/>
      <c r="G49" s="15"/>
      <c r="H49" s="15"/>
    </row>
    <row r="50" spans="1:8" ht="15.6" customHeight="1">
      <c r="A50" s="16">
        <v>1</v>
      </c>
      <c r="B50" s="14" t="s">
        <v>1393</v>
      </c>
      <c r="C50" s="15"/>
      <c r="D50" s="15"/>
      <c r="E50" s="15"/>
      <c r="F50" s="15"/>
      <c r="G50" s="15"/>
      <c r="H50" s="15"/>
    </row>
    <row r="51" spans="1:8" ht="15.6" customHeight="1">
      <c r="A51" s="16"/>
      <c r="B51" s="17" t="s">
        <v>1390</v>
      </c>
      <c r="C51" s="15"/>
      <c r="D51" s="15"/>
      <c r="E51" s="15"/>
      <c r="F51" s="15"/>
      <c r="G51" s="15"/>
      <c r="H51" s="15"/>
    </row>
    <row r="52" spans="1:8" ht="15.6" customHeight="1">
      <c r="A52" s="16"/>
      <c r="B52" s="17" t="s">
        <v>1391</v>
      </c>
      <c r="C52" s="15"/>
      <c r="D52" s="15"/>
      <c r="E52" s="15"/>
      <c r="F52" s="15"/>
      <c r="G52" s="15"/>
      <c r="H52" s="15"/>
    </row>
    <row r="53" spans="1:8" ht="15.6" customHeight="1">
      <c r="A53" s="16">
        <v>2</v>
      </c>
      <c r="B53" s="14" t="s">
        <v>1394</v>
      </c>
      <c r="C53" s="15"/>
      <c r="D53" s="15"/>
      <c r="E53" s="15"/>
      <c r="F53" s="15"/>
      <c r="G53" s="15"/>
      <c r="H53" s="15"/>
    </row>
    <row r="54" spans="1:8" ht="15.6" customHeight="1">
      <c r="A54" s="16">
        <v>3</v>
      </c>
      <c r="B54" s="14" t="s">
        <v>1395</v>
      </c>
      <c r="C54" s="15"/>
      <c r="D54" s="15"/>
      <c r="E54" s="15"/>
      <c r="F54" s="15"/>
      <c r="G54" s="15"/>
      <c r="H54" s="15"/>
    </row>
    <row r="55" spans="1:8" ht="15.6" customHeight="1">
      <c r="A55" s="16"/>
      <c r="B55" s="17" t="s">
        <v>1390</v>
      </c>
      <c r="C55" s="15"/>
      <c r="D55" s="15"/>
      <c r="E55" s="15"/>
      <c r="F55" s="15"/>
      <c r="G55" s="15"/>
      <c r="H55" s="15"/>
    </row>
    <row r="56" spans="1:8" ht="15.6" customHeight="1">
      <c r="A56" s="16"/>
      <c r="B56" s="17" t="s">
        <v>1391</v>
      </c>
      <c r="C56" s="15"/>
      <c r="D56" s="15"/>
      <c r="E56" s="15"/>
      <c r="F56" s="15"/>
      <c r="G56" s="15"/>
      <c r="H56" s="15"/>
    </row>
    <row r="57" spans="1:8" ht="29.1" customHeight="1">
      <c r="A57" s="13" t="s">
        <v>17</v>
      </c>
      <c r="B57" s="14" t="s">
        <v>1396</v>
      </c>
      <c r="C57" s="15"/>
      <c r="D57" s="15"/>
      <c r="E57" s="15"/>
      <c r="F57" s="15"/>
      <c r="G57" s="15"/>
      <c r="H57" s="15"/>
    </row>
    <row r="58" spans="1:8" ht="15.6" customHeight="1">
      <c r="A58" s="16"/>
      <c r="B58" s="17" t="s">
        <v>1390</v>
      </c>
      <c r="C58" s="15"/>
      <c r="D58" s="15"/>
      <c r="E58" s="15"/>
      <c r="F58" s="15"/>
      <c r="G58" s="15"/>
      <c r="H58" s="15"/>
    </row>
    <row r="59" spans="1:8" ht="15.6" customHeight="1">
      <c r="A59" s="21"/>
      <c r="B59" s="22" t="s">
        <v>1391</v>
      </c>
      <c r="C59" s="23"/>
      <c r="D59" s="23"/>
      <c r="E59" s="23"/>
      <c r="F59" s="23"/>
      <c r="G59" s="23"/>
      <c r="H59" s="23"/>
    </row>
    <row r="60" spans="1:8" ht="15" customHeight="1">
      <c r="A60" s="5" t="s">
        <v>1400</v>
      </c>
      <c r="B60" s="4"/>
      <c r="C60" s="4"/>
      <c r="D60" s="4"/>
      <c r="E60" s="4"/>
      <c r="F60" s="4"/>
      <c r="G60" s="4"/>
      <c r="H60" s="4"/>
    </row>
    <row r="61" spans="1:8" ht="15" customHeight="1">
      <c r="A61" s="5" t="s">
        <v>1401</v>
      </c>
      <c r="B61" s="4"/>
      <c r="C61" s="4"/>
      <c r="D61" s="4"/>
      <c r="E61" s="4"/>
      <c r="F61" s="4"/>
      <c r="G61" s="4"/>
      <c r="H61" s="4"/>
    </row>
    <row r="62" spans="1:8" ht="15" customHeight="1">
      <c r="A62" s="5" t="s">
        <v>1402</v>
      </c>
      <c r="B62" s="4"/>
      <c r="C62" s="4"/>
      <c r="D62" s="4"/>
      <c r="E62" s="4"/>
      <c r="F62" s="4"/>
      <c r="G62" s="4"/>
      <c r="H62" s="4"/>
    </row>
    <row r="63" spans="1:8" ht="15" customHeight="1">
      <c r="A63" s="5" t="s">
        <v>1403</v>
      </c>
      <c r="B63" s="4"/>
      <c r="C63" s="4"/>
      <c r="D63" s="4"/>
      <c r="E63" s="4"/>
      <c r="F63" s="4"/>
      <c r="G63" s="4"/>
      <c r="H63" s="4"/>
    </row>
    <row r="64" spans="1:8" ht="15" customHeight="1">
      <c r="A64" s="5" t="s">
        <v>1404</v>
      </c>
      <c r="B64" s="4"/>
      <c r="C64" s="4"/>
      <c r="D64" s="4"/>
      <c r="E64" s="4"/>
      <c r="F64" s="4"/>
      <c r="G64" s="4"/>
      <c r="H64" s="4"/>
    </row>
    <row r="65" spans="1:8" ht="15" customHeight="1">
      <c r="A65" s="4"/>
      <c r="B65" s="5" t="s">
        <v>1405</v>
      </c>
      <c r="C65" s="4"/>
      <c r="D65" s="4"/>
      <c r="E65" s="4"/>
      <c r="F65" s="4"/>
      <c r="G65" s="4"/>
      <c r="H65" s="4"/>
    </row>
    <row r="66" spans="1:8" ht="15" customHeight="1">
      <c r="A66" s="4"/>
      <c r="B66" s="4"/>
      <c r="C66" s="4"/>
      <c r="D66" s="4"/>
      <c r="E66" s="4"/>
      <c r="F66" s="4"/>
      <c r="G66" s="4"/>
      <c r="H66" s="4"/>
    </row>
    <row r="67" spans="1:8" ht="15" customHeight="1">
      <c r="A67" s="24"/>
      <c r="B67" s="24"/>
      <c r="C67" s="24"/>
      <c r="D67" s="24"/>
      <c r="E67" s="24"/>
      <c r="F67" s="1094" t="s">
        <v>1406</v>
      </c>
      <c r="G67" s="1071"/>
      <c r="H67" s="1071"/>
    </row>
    <row r="68" spans="1:8" ht="15" customHeight="1">
      <c r="A68" s="24"/>
      <c r="B68" s="26" t="s">
        <v>1178</v>
      </c>
      <c r="C68" s="24"/>
      <c r="D68" s="24"/>
      <c r="E68" s="24"/>
      <c r="F68" s="1097" t="s">
        <v>1407</v>
      </c>
      <c r="G68" s="1071"/>
      <c r="H68" s="1071"/>
    </row>
    <row r="69" spans="1:8" ht="15" customHeight="1">
      <c r="A69" s="24"/>
      <c r="B69" s="25" t="s">
        <v>1408</v>
      </c>
      <c r="C69" s="24"/>
      <c r="D69" s="24"/>
      <c r="E69" s="24"/>
      <c r="F69" s="1094" t="s">
        <v>1409</v>
      </c>
      <c r="G69" s="1071"/>
      <c r="H69" s="1071"/>
    </row>
    <row r="70" spans="1:8" ht="15" customHeight="1">
      <c r="A70" s="24"/>
      <c r="B70" s="25" t="s">
        <v>1302</v>
      </c>
      <c r="C70" s="24"/>
      <c r="D70" s="24"/>
      <c r="E70" s="24"/>
      <c r="F70" s="1094" t="s">
        <v>1302</v>
      </c>
      <c r="G70" s="1071"/>
      <c r="H70" s="1071"/>
    </row>
    <row r="71" spans="1:8" ht="15" customHeight="1">
      <c r="A71" s="27"/>
      <c r="B71" s="27"/>
      <c r="C71" s="27"/>
      <c r="D71" s="27"/>
      <c r="E71" s="27"/>
      <c r="F71" s="27"/>
      <c r="G71" s="27"/>
      <c r="H71" s="27"/>
    </row>
    <row r="72" spans="1:8" ht="15" customHeight="1">
      <c r="A72" s="27"/>
      <c r="B72" s="27"/>
      <c r="C72" s="27"/>
      <c r="D72" s="27"/>
      <c r="E72" s="27"/>
      <c r="F72" s="27"/>
      <c r="G72" s="27"/>
      <c r="H72" s="27"/>
    </row>
    <row r="73" spans="1:8" ht="15" customHeight="1">
      <c r="A73" s="27"/>
      <c r="B73" s="27"/>
      <c r="C73" s="27"/>
      <c r="D73" s="27"/>
      <c r="E73" s="27"/>
      <c r="F73" s="27"/>
      <c r="G73" s="27"/>
      <c r="H73" s="27"/>
    </row>
    <row r="74" spans="1:8" ht="15" customHeight="1">
      <c r="A74" s="27"/>
      <c r="B74" s="27"/>
      <c r="C74" s="27"/>
      <c r="D74" s="27"/>
      <c r="E74" s="27"/>
      <c r="F74" s="27"/>
      <c r="G74" s="27"/>
      <c r="H74" s="27"/>
    </row>
    <row r="75" spans="1:8" ht="15" customHeight="1">
      <c r="A75" s="27"/>
      <c r="B75" s="27"/>
      <c r="C75" s="27"/>
      <c r="D75" s="27"/>
      <c r="E75" s="27"/>
      <c r="F75" s="27"/>
      <c r="G75" s="27"/>
      <c r="H75" s="27"/>
    </row>
    <row r="76" spans="1:8" ht="15" customHeight="1">
      <c r="A76" s="27"/>
      <c r="B76" s="27"/>
      <c r="C76" s="27"/>
      <c r="D76" s="27"/>
      <c r="E76" s="27"/>
      <c r="F76" s="27"/>
      <c r="G76" s="27"/>
      <c r="H76" s="27"/>
    </row>
    <row r="77" spans="1:8" ht="15" customHeight="1">
      <c r="A77" s="27"/>
      <c r="B77" s="27"/>
      <c r="C77" s="27"/>
      <c r="D77" s="27"/>
      <c r="E77" s="27"/>
      <c r="F77" s="27"/>
      <c r="G77" s="27"/>
      <c r="H77" s="27"/>
    </row>
    <row r="78" spans="1:8" ht="15" customHeight="1">
      <c r="A78" s="27"/>
      <c r="B78" s="27"/>
      <c r="C78" s="27"/>
      <c r="D78" s="27"/>
      <c r="E78" s="27"/>
      <c r="F78" s="27"/>
      <c r="G78" s="27"/>
      <c r="H78" s="27"/>
    </row>
    <row r="79" spans="1:8" ht="15" customHeight="1">
      <c r="A79" s="27"/>
      <c r="B79" s="27"/>
      <c r="C79" s="27"/>
      <c r="D79" s="27"/>
      <c r="E79" s="27"/>
      <c r="F79" s="27"/>
      <c r="G79" s="27"/>
      <c r="H79" s="27"/>
    </row>
    <row r="80" spans="1:8" ht="15" customHeight="1">
      <c r="A80" s="27"/>
      <c r="B80" s="27"/>
      <c r="C80" s="27"/>
      <c r="D80" s="27"/>
      <c r="E80" s="27"/>
      <c r="F80" s="27"/>
      <c r="G80" s="27"/>
      <c r="H80" s="27"/>
    </row>
  </sheetData>
  <mergeCells count="12">
    <mergeCell ref="A2:H2"/>
    <mergeCell ref="D11:F11"/>
    <mergeCell ref="E12:F12"/>
    <mergeCell ref="F67:H67"/>
    <mergeCell ref="F68:H68"/>
    <mergeCell ref="F69:H69"/>
    <mergeCell ref="F70:H70"/>
    <mergeCell ref="A11:A13"/>
    <mergeCell ref="B11:B13"/>
    <mergeCell ref="C11:C13"/>
    <mergeCell ref="G11:G13"/>
    <mergeCell ref="H11: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K424"/>
  <sheetViews>
    <sheetView tabSelected="1" view="pageLayout" zoomScaleNormal="85" zoomScaleSheetLayoutView="100" workbookViewId="0">
      <selection activeCell="F44" sqref="F44:G44"/>
    </sheetView>
  </sheetViews>
  <sheetFormatPr defaultColWidth="9" defaultRowHeight="13.8"/>
  <cols>
    <col min="1" max="1" width="5" style="72" customWidth="1"/>
    <col min="2" max="2" width="47.44140625" style="72" customWidth="1"/>
    <col min="3" max="3" width="10" style="72" customWidth="1"/>
    <col min="4" max="4" width="19" style="72" customWidth="1"/>
    <col min="5" max="5" width="16" style="72" customWidth="1"/>
    <col min="6" max="6" width="19.44140625" style="72" customWidth="1"/>
    <col min="7" max="7" width="13.33203125" style="72" customWidth="1"/>
    <col min="8" max="8" width="16.44140625" style="72" customWidth="1"/>
    <col min="9" max="9" width="16.77734375" style="72" customWidth="1"/>
    <col min="10" max="10" width="15.44140625" style="72" customWidth="1"/>
    <col min="11" max="11" width="42.44140625" style="72" customWidth="1"/>
    <col min="12" max="12" width="16.44140625" style="72" customWidth="1"/>
    <col min="13" max="13" width="17.44140625" style="72" customWidth="1"/>
    <col min="14" max="14" width="20.44140625" style="72" customWidth="1"/>
    <col min="15" max="15" width="19.44140625" style="72" customWidth="1"/>
    <col min="16" max="17" width="8.44140625" style="72" customWidth="1"/>
    <col min="18" max="18" width="9.44140625" style="72" customWidth="1"/>
    <col min="19" max="20" width="8.44140625" style="72" customWidth="1"/>
    <col min="21" max="21" width="8" style="72" customWidth="1"/>
    <col min="22" max="23" width="6.44140625" style="72" customWidth="1"/>
    <col min="24" max="24" width="15.44140625" style="72" customWidth="1"/>
    <col min="25" max="25" width="11.21875" style="72" customWidth="1"/>
    <col min="26" max="27" width="7.21875" style="72" customWidth="1"/>
    <col min="28" max="30" width="8.44140625" style="72" customWidth="1"/>
    <col min="31" max="31" width="12" style="72" customWidth="1"/>
    <col min="32" max="33" width="10.77734375" style="72" customWidth="1"/>
    <col min="34" max="34" width="12" style="72" customWidth="1"/>
    <col min="35" max="35" width="13.44140625" style="72" customWidth="1"/>
    <col min="36" max="37" width="18" style="72" customWidth="1"/>
    <col min="38" max="257" width="9.21875" style="72"/>
    <col min="258" max="258" width="5" style="72" customWidth="1"/>
    <col min="259" max="259" width="52.44140625" style="72" customWidth="1"/>
    <col min="260" max="260" width="21.44140625" style="72" customWidth="1"/>
    <col min="261" max="263" width="19.44140625" style="72" customWidth="1"/>
    <col min="264" max="264" width="12.44140625" style="72" customWidth="1"/>
    <col min="265" max="265" width="9.21875" style="72"/>
    <col min="266" max="266" width="6.44140625" style="72" customWidth="1"/>
    <col min="267" max="267" width="42.44140625" style="72" customWidth="1"/>
    <col min="268" max="268" width="16.44140625" style="72" customWidth="1"/>
    <col min="269" max="269" width="17.44140625" style="72" customWidth="1"/>
    <col min="270" max="270" width="20.44140625" style="72" customWidth="1"/>
    <col min="271" max="271" width="19.44140625" style="72" customWidth="1"/>
    <col min="272" max="273" width="8.44140625" style="72" customWidth="1"/>
    <col min="274" max="274" width="9.44140625" style="72" customWidth="1"/>
    <col min="275" max="276" width="8.44140625" style="72" customWidth="1"/>
    <col min="277" max="277" width="8" style="72" customWidth="1"/>
    <col min="278" max="279" width="6.44140625" style="72" customWidth="1"/>
    <col min="280" max="280" width="15.44140625" style="72" customWidth="1"/>
    <col min="281" max="281" width="11.21875" style="72" customWidth="1"/>
    <col min="282" max="283" width="7.21875" style="72" customWidth="1"/>
    <col min="284" max="286" width="8.44140625" style="72" customWidth="1"/>
    <col min="287" max="287" width="12" style="72" customWidth="1"/>
    <col min="288" max="289" width="10.77734375" style="72" customWidth="1"/>
    <col min="290" max="290" width="12" style="72" customWidth="1"/>
    <col min="291" max="291" width="13.44140625" style="72" customWidth="1"/>
    <col min="292" max="293" width="18" style="72" customWidth="1"/>
    <col min="294" max="513" width="9.21875" style="72"/>
    <col min="514" max="514" width="5" style="72" customWidth="1"/>
    <col min="515" max="515" width="52.44140625" style="72" customWidth="1"/>
    <col min="516" max="516" width="21.44140625" style="72" customWidth="1"/>
    <col min="517" max="519" width="19.44140625" style="72" customWidth="1"/>
    <col min="520" max="520" width="12.44140625" style="72" customWidth="1"/>
    <col min="521" max="521" width="9.21875" style="72"/>
    <col min="522" max="522" width="6.44140625" style="72" customWidth="1"/>
    <col min="523" max="523" width="42.44140625" style="72" customWidth="1"/>
    <col min="524" max="524" width="16.44140625" style="72" customWidth="1"/>
    <col min="525" max="525" width="17.44140625" style="72" customWidth="1"/>
    <col min="526" max="526" width="20.44140625" style="72" customWidth="1"/>
    <col min="527" max="527" width="19.44140625" style="72" customWidth="1"/>
    <col min="528" max="529" width="8.44140625" style="72" customWidth="1"/>
    <col min="530" max="530" width="9.44140625" style="72" customWidth="1"/>
    <col min="531" max="532" width="8.44140625" style="72" customWidth="1"/>
    <col min="533" max="533" width="8" style="72" customWidth="1"/>
    <col min="534" max="535" width="6.44140625" style="72" customWidth="1"/>
    <col min="536" max="536" width="15.44140625" style="72" customWidth="1"/>
    <col min="537" max="537" width="11.21875" style="72" customWidth="1"/>
    <col min="538" max="539" width="7.21875" style="72" customWidth="1"/>
    <col min="540" max="542" width="8.44140625" style="72" customWidth="1"/>
    <col min="543" max="543" width="12" style="72" customWidth="1"/>
    <col min="544" max="545" width="10.77734375" style="72" customWidth="1"/>
    <col min="546" max="546" width="12" style="72" customWidth="1"/>
    <col min="547" max="547" width="13.44140625" style="72" customWidth="1"/>
    <col min="548" max="549" width="18" style="72" customWidth="1"/>
    <col min="550" max="769" width="9.21875" style="72"/>
    <col min="770" max="770" width="5" style="72" customWidth="1"/>
    <col min="771" max="771" width="52.44140625" style="72" customWidth="1"/>
    <col min="772" max="772" width="21.44140625" style="72" customWidth="1"/>
    <col min="773" max="775" width="19.44140625" style="72" customWidth="1"/>
    <col min="776" max="776" width="12.44140625" style="72" customWidth="1"/>
    <col min="777" max="777" width="9.21875" style="72"/>
    <col min="778" max="778" width="6.44140625" style="72" customWidth="1"/>
    <col min="779" max="779" width="42.44140625" style="72" customWidth="1"/>
    <col min="780" max="780" width="16.44140625" style="72" customWidth="1"/>
    <col min="781" max="781" width="17.44140625" style="72" customWidth="1"/>
    <col min="782" max="782" width="20.44140625" style="72" customWidth="1"/>
    <col min="783" max="783" width="19.44140625" style="72" customWidth="1"/>
    <col min="784" max="785" width="8.44140625" style="72" customWidth="1"/>
    <col min="786" max="786" width="9.44140625" style="72" customWidth="1"/>
    <col min="787" max="788" width="8.44140625" style="72" customWidth="1"/>
    <col min="789" max="789" width="8" style="72" customWidth="1"/>
    <col min="790" max="791" width="6.44140625" style="72" customWidth="1"/>
    <col min="792" max="792" width="15.44140625" style="72" customWidth="1"/>
    <col min="793" max="793" width="11.21875" style="72" customWidth="1"/>
    <col min="794" max="795" width="7.21875" style="72" customWidth="1"/>
    <col min="796" max="798" width="8.44140625" style="72" customWidth="1"/>
    <col min="799" max="799" width="12" style="72" customWidth="1"/>
    <col min="800" max="801" width="10.77734375" style="72" customWidth="1"/>
    <col min="802" max="802" width="12" style="72" customWidth="1"/>
    <col min="803" max="803" width="13.44140625" style="72" customWidth="1"/>
    <col min="804" max="805" width="18" style="72" customWidth="1"/>
    <col min="806" max="1025" width="9.21875" style="72"/>
    <col min="1026" max="1026" width="5" style="72" customWidth="1"/>
    <col min="1027" max="1027" width="52.44140625" style="72" customWidth="1"/>
    <col min="1028" max="1028" width="21.44140625" style="72" customWidth="1"/>
    <col min="1029" max="1031" width="19.44140625" style="72" customWidth="1"/>
    <col min="1032" max="1032" width="12.44140625" style="72" customWidth="1"/>
    <col min="1033" max="1033" width="9.21875" style="72"/>
    <col min="1034" max="1034" width="6.44140625" style="72" customWidth="1"/>
    <col min="1035" max="1035" width="42.44140625" style="72" customWidth="1"/>
    <col min="1036" max="1036" width="16.44140625" style="72" customWidth="1"/>
    <col min="1037" max="1037" width="17.44140625" style="72" customWidth="1"/>
    <col min="1038" max="1038" width="20.44140625" style="72" customWidth="1"/>
    <col min="1039" max="1039" width="19.44140625" style="72" customWidth="1"/>
    <col min="1040" max="1041" width="8.44140625" style="72" customWidth="1"/>
    <col min="1042" max="1042" width="9.44140625" style="72" customWidth="1"/>
    <col min="1043" max="1044" width="8.44140625" style="72" customWidth="1"/>
    <col min="1045" max="1045" width="8" style="72" customWidth="1"/>
    <col min="1046" max="1047" width="6.44140625" style="72" customWidth="1"/>
    <col min="1048" max="1048" width="15.44140625" style="72" customWidth="1"/>
    <col min="1049" max="1049" width="11.21875" style="72" customWidth="1"/>
    <col min="1050" max="1051" width="7.21875" style="72" customWidth="1"/>
    <col min="1052" max="1054" width="8.44140625" style="72" customWidth="1"/>
    <col min="1055" max="1055" width="12" style="72" customWidth="1"/>
    <col min="1056" max="1057" width="10.77734375" style="72" customWidth="1"/>
    <col min="1058" max="1058" width="12" style="72" customWidth="1"/>
    <col min="1059" max="1059" width="13.44140625" style="72" customWidth="1"/>
    <col min="1060" max="1061" width="18" style="72" customWidth="1"/>
    <col min="1062" max="1281" width="9.21875" style="72"/>
    <col min="1282" max="1282" width="5" style="72" customWidth="1"/>
    <col min="1283" max="1283" width="52.44140625" style="72" customWidth="1"/>
    <col min="1284" max="1284" width="21.44140625" style="72" customWidth="1"/>
    <col min="1285" max="1287" width="19.44140625" style="72" customWidth="1"/>
    <col min="1288" max="1288" width="12.44140625" style="72" customWidth="1"/>
    <col min="1289" max="1289" width="9.21875" style="72"/>
    <col min="1290" max="1290" width="6.44140625" style="72" customWidth="1"/>
    <col min="1291" max="1291" width="42.44140625" style="72" customWidth="1"/>
    <col min="1292" max="1292" width="16.44140625" style="72" customWidth="1"/>
    <col min="1293" max="1293" width="17.44140625" style="72" customWidth="1"/>
    <col min="1294" max="1294" width="20.44140625" style="72" customWidth="1"/>
    <col min="1295" max="1295" width="19.44140625" style="72" customWidth="1"/>
    <col min="1296" max="1297" width="8.44140625" style="72" customWidth="1"/>
    <col min="1298" max="1298" width="9.44140625" style="72" customWidth="1"/>
    <col min="1299" max="1300" width="8.44140625" style="72" customWidth="1"/>
    <col min="1301" max="1301" width="8" style="72" customWidth="1"/>
    <col min="1302" max="1303" width="6.44140625" style="72" customWidth="1"/>
    <col min="1304" max="1304" width="15.44140625" style="72" customWidth="1"/>
    <col min="1305" max="1305" width="11.21875" style="72" customWidth="1"/>
    <col min="1306" max="1307" width="7.21875" style="72" customWidth="1"/>
    <col min="1308" max="1310" width="8.44140625" style="72" customWidth="1"/>
    <col min="1311" max="1311" width="12" style="72" customWidth="1"/>
    <col min="1312" max="1313" width="10.77734375" style="72" customWidth="1"/>
    <col min="1314" max="1314" width="12" style="72" customWidth="1"/>
    <col min="1315" max="1315" width="13.44140625" style="72" customWidth="1"/>
    <col min="1316" max="1317" width="18" style="72" customWidth="1"/>
    <col min="1318" max="1537" width="9.21875" style="72"/>
    <col min="1538" max="1538" width="5" style="72" customWidth="1"/>
    <col min="1539" max="1539" width="52.44140625" style="72" customWidth="1"/>
    <col min="1540" max="1540" width="21.44140625" style="72" customWidth="1"/>
    <col min="1541" max="1543" width="19.44140625" style="72" customWidth="1"/>
    <col min="1544" max="1544" width="12.44140625" style="72" customWidth="1"/>
    <col min="1545" max="1545" width="9.21875" style="72"/>
    <col min="1546" max="1546" width="6.44140625" style="72" customWidth="1"/>
    <col min="1547" max="1547" width="42.44140625" style="72" customWidth="1"/>
    <col min="1548" max="1548" width="16.44140625" style="72" customWidth="1"/>
    <col min="1549" max="1549" width="17.44140625" style="72" customWidth="1"/>
    <col min="1550" max="1550" width="20.44140625" style="72" customWidth="1"/>
    <col min="1551" max="1551" width="19.44140625" style="72" customWidth="1"/>
    <col min="1552" max="1553" width="8.44140625" style="72" customWidth="1"/>
    <col min="1554" max="1554" width="9.44140625" style="72" customWidth="1"/>
    <col min="1555" max="1556" width="8.44140625" style="72" customWidth="1"/>
    <col min="1557" max="1557" width="8" style="72" customWidth="1"/>
    <col min="1558" max="1559" width="6.44140625" style="72" customWidth="1"/>
    <col min="1560" max="1560" width="15.44140625" style="72" customWidth="1"/>
    <col min="1561" max="1561" width="11.21875" style="72" customWidth="1"/>
    <col min="1562" max="1563" width="7.21875" style="72" customWidth="1"/>
    <col min="1564" max="1566" width="8.44140625" style="72" customWidth="1"/>
    <col min="1567" max="1567" width="12" style="72" customWidth="1"/>
    <col min="1568" max="1569" width="10.77734375" style="72" customWidth="1"/>
    <col min="1570" max="1570" width="12" style="72" customWidth="1"/>
    <col min="1571" max="1571" width="13.44140625" style="72" customWidth="1"/>
    <col min="1572" max="1573" width="18" style="72" customWidth="1"/>
    <col min="1574" max="1793" width="9.21875" style="72"/>
    <col min="1794" max="1794" width="5" style="72" customWidth="1"/>
    <col min="1795" max="1795" width="52.44140625" style="72" customWidth="1"/>
    <col min="1796" max="1796" width="21.44140625" style="72" customWidth="1"/>
    <col min="1797" max="1799" width="19.44140625" style="72" customWidth="1"/>
    <col min="1800" max="1800" width="12.44140625" style="72" customWidth="1"/>
    <col min="1801" max="1801" width="9.21875" style="72"/>
    <col min="1802" max="1802" width="6.44140625" style="72" customWidth="1"/>
    <col min="1803" max="1803" width="42.44140625" style="72" customWidth="1"/>
    <col min="1804" max="1804" width="16.44140625" style="72" customWidth="1"/>
    <col min="1805" max="1805" width="17.44140625" style="72" customWidth="1"/>
    <col min="1806" max="1806" width="20.44140625" style="72" customWidth="1"/>
    <col min="1807" max="1807" width="19.44140625" style="72" customWidth="1"/>
    <col min="1808" max="1809" width="8.44140625" style="72" customWidth="1"/>
    <col min="1810" max="1810" width="9.44140625" style="72" customWidth="1"/>
    <col min="1811" max="1812" width="8.44140625" style="72" customWidth="1"/>
    <col min="1813" max="1813" width="8" style="72" customWidth="1"/>
    <col min="1814" max="1815" width="6.44140625" style="72" customWidth="1"/>
    <col min="1816" max="1816" width="15.44140625" style="72" customWidth="1"/>
    <col min="1817" max="1817" width="11.21875" style="72" customWidth="1"/>
    <col min="1818" max="1819" width="7.21875" style="72" customWidth="1"/>
    <col min="1820" max="1822" width="8.44140625" style="72" customWidth="1"/>
    <col min="1823" max="1823" width="12" style="72" customWidth="1"/>
    <col min="1824" max="1825" width="10.77734375" style="72" customWidth="1"/>
    <col min="1826" max="1826" width="12" style="72" customWidth="1"/>
    <col min="1827" max="1827" width="13.44140625" style="72" customWidth="1"/>
    <col min="1828" max="1829" width="18" style="72" customWidth="1"/>
    <col min="1830" max="2049" width="9.21875" style="72"/>
    <col min="2050" max="2050" width="5" style="72" customWidth="1"/>
    <col min="2051" max="2051" width="52.44140625" style="72" customWidth="1"/>
    <col min="2052" max="2052" width="21.44140625" style="72" customWidth="1"/>
    <col min="2053" max="2055" width="19.44140625" style="72" customWidth="1"/>
    <col min="2056" max="2056" width="12.44140625" style="72" customWidth="1"/>
    <col min="2057" max="2057" width="9.21875" style="72"/>
    <col min="2058" max="2058" width="6.44140625" style="72" customWidth="1"/>
    <col min="2059" max="2059" width="42.44140625" style="72" customWidth="1"/>
    <col min="2060" max="2060" width="16.44140625" style="72" customWidth="1"/>
    <col min="2061" max="2061" width="17.44140625" style="72" customWidth="1"/>
    <col min="2062" max="2062" width="20.44140625" style="72" customWidth="1"/>
    <col min="2063" max="2063" width="19.44140625" style="72" customWidth="1"/>
    <col min="2064" max="2065" width="8.44140625" style="72" customWidth="1"/>
    <col min="2066" max="2066" width="9.44140625" style="72" customWidth="1"/>
    <col min="2067" max="2068" width="8.44140625" style="72" customWidth="1"/>
    <col min="2069" max="2069" width="8" style="72" customWidth="1"/>
    <col min="2070" max="2071" width="6.44140625" style="72" customWidth="1"/>
    <col min="2072" max="2072" width="15.44140625" style="72" customWidth="1"/>
    <col min="2073" max="2073" width="11.21875" style="72" customWidth="1"/>
    <col min="2074" max="2075" width="7.21875" style="72" customWidth="1"/>
    <col min="2076" max="2078" width="8.44140625" style="72" customWidth="1"/>
    <col min="2079" max="2079" width="12" style="72" customWidth="1"/>
    <col min="2080" max="2081" width="10.77734375" style="72" customWidth="1"/>
    <col min="2082" max="2082" width="12" style="72" customWidth="1"/>
    <col min="2083" max="2083" width="13.44140625" style="72" customWidth="1"/>
    <col min="2084" max="2085" width="18" style="72" customWidth="1"/>
    <col min="2086" max="2305" width="9.21875" style="72"/>
    <col min="2306" max="2306" width="5" style="72" customWidth="1"/>
    <col min="2307" max="2307" width="52.44140625" style="72" customWidth="1"/>
    <col min="2308" max="2308" width="21.44140625" style="72" customWidth="1"/>
    <col min="2309" max="2311" width="19.44140625" style="72" customWidth="1"/>
    <col min="2312" max="2312" width="12.44140625" style="72" customWidth="1"/>
    <col min="2313" max="2313" width="9.21875" style="72"/>
    <col min="2314" max="2314" width="6.44140625" style="72" customWidth="1"/>
    <col min="2315" max="2315" width="42.44140625" style="72" customWidth="1"/>
    <col min="2316" max="2316" width="16.44140625" style="72" customWidth="1"/>
    <col min="2317" max="2317" width="17.44140625" style="72" customWidth="1"/>
    <col min="2318" max="2318" width="20.44140625" style="72" customWidth="1"/>
    <col min="2319" max="2319" width="19.44140625" style="72" customWidth="1"/>
    <col min="2320" max="2321" width="8.44140625" style="72" customWidth="1"/>
    <col min="2322" max="2322" width="9.44140625" style="72" customWidth="1"/>
    <col min="2323" max="2324" width="8.44140625" style="72" customWidth="1"/>
    <col min="2325" max="2325" width="8" style="72" customWidth="1"/>
    <col min="2326" max="2327" width="6.44140625" style="72" customWidth="1"/>
    <col min="2328" max="2328" width="15.44140625" style="72" customWidth="1"/>
    <col min="2329" max="2329" width="11.21875" style="72" customWidth="1"/>
    <col min="2330" max="2331" width="7.21875" style="72" customWidth="1"/>
    <col min="2332" max="2334" width="8.44140625" style="72" customWidth="1"/>
    <col min="2335" max="2335" width="12" style="72" customWidth="1"/>
    <col min="2336" max="2337" width="10.77734375" style="72" customWidth="1"/>
    <col min="2338" max="2338" width="12" style="72" customWidth="1"/>
    <col min="2339" max="2339" width="13.44140625" style="72" customWidth="1"/>
    <col min="2340" max="2341" width="18" style="72" customWidth="1"/>
    <col min="2342" max="2561" width="9.21875" style="72"/>
    <col min="2562" max="2562" width="5" style="72" customWidth="1"/>
    <col min="2563" max="2563" width="52.44140625" style="72" customWidth="1"/>
    <col min="2564" max="2564" width="21.44140625" style="72" customWidth="1"/>
    <col min="2565" max="2567" width="19.44140625" style="72" customWidth="1"/>
    <col min="2568" max="2568" width="12.44140625" style="72" customWidth="1"/>
    <col min="2569" max="2569" width="9.21875" style="72"/>
    <col min="2570" max="2570" width="6.44140625" style="72" customWidth="1"/>
    <col min="2571" max="2571" width="42.44140625" style="72" customWidth="1"/>
    <col min="2572" max="2572" width="16.44140625" style="72" customWidth="1"/>
    <col min="2573" max="2573" width="17.44140625" style="72" customWidth="1"/>
    <col min="2574" max="2574" width="20.44140625" style="72" customWidth="1"/>
    <col min="2575" max="2575" width="19.44140625" style="72" customWidth="1"/>
    <col min="2576" max="2577" width="8.44140625" style="72" customWidth="1"/>
    <col min="2578" max="2578" width="9.44140625" style="72" customWidth="1"/>
    <col min="2579" max="2580" width="8.44140625" style="72" customWidth="1"/>
    <col min="2581" max="2581" width="8" style="72" customWidth="1"/>
    <col min="2582" max="2583" width="6.44140625" style="72" customWidth="1"/>
    <col min="2584" max="2584" width="15.44140625" style="72" customWidth="1"/>
    <col min="2585" max="2585" width="11.21875" style="72" customWidth="1"/>
    <col min="2586" max="2587" width="7.21875" style="72" customWidth="1"/>
    <col min="2588" max="2590" width="8.44140625" style="72" customWidth="1"/>
    <col min="2591" max="2591" width="12" style="72" customWidth="1"/>
    <col min="2592" max="2593" width="10.77734375" style="72" customWidth="1"/>
    <col min="2594" max="2594" width="12" style="72" customWidth="1"/>
    <col min="2595" max="2595" width="13.44140625" style="72" customWidth="1"/>
    <col min="2596" max="2597" width="18" style="72" customWidth="1"/>
    <col min="2598" max="2817" width="9.21875" style="72"/>
    <col min="2818" max="2818" width="5" style="72" customWidth="1"/>
    <col min="2819" max="2819" width="52.44140625" style="72" customWidth="1"/>
    <col min="2820" max="2820" width="21.44140625" style="72" customWidth="1"/>
    <col min="2821" max="2823" width="19.44140625" style="72" customWidth="1"/>
    <col min="2824" max="2824" width="12.44140625" style="72" customWidth="1"/>
    <col min="2825" max="2825" width="9.21875" style="72"/>
    <col min="2826" max="2826" width="6.44140625" style="72" customWidth="1"/>
    <col min="2827" max="2827" width="42.44140625" style="72" customWidth="1"/>
    <col min="2828" max="2828" width="16.44140625" style="72" customWidth="1"/>
    <col min="2829" max="2829" width="17.44140625" style="72" customWidth="1"/>
    <col min="2830" max="2830" width="20.44140625" style="72" customWidth="1"/>
    <col min="2831" max="2831" width="19.44140625" style="72" customWidth="1"/>
    <col min="2832" max="2833" width="8.44140625" style="72" customWidth="1"/>
    <col min="2834" max="2834" width="9.44140625" style="72" customWidth="1"/>
    <col min="2835" max="2836" width="8.44140625" style="72" customWidth="1"/>
    <col min="2837" max="2837" width="8" style="72" customWidth="1"/>
    <col min="2838" max="2839" width="6.44140625" style="72" customWidth="1"/>
    <col min="2840" max="2840" width="15.44140625" style="72" customWidth="1"/>
    <col min="2841" max="2841" width="11.21875" style="72" customWidth="1"/>
    <col min="2842" max="2843" width="7.21875" style="72" customWidth="1"/>
    <col min="2844" max="2846" width="8.44140625" style="72" customWidth="1"/>
    <col min="2847" max="2847" width="12" style="72" customWidth="1"/>
    <col min="2848" max="2849" width="10.77734375" style="72" customWidth="1"/>
    <col min="2850" max="2850" width="12" style="72" customWidth="1"/>
    <col min="2851" max="2851" width="13.44140625" style="72" customWidth="1"/>
    <col min="2852" max="2853" width="18" style="72" customWidth="1"/>
    <col min="2854" max="3073" width="9.21875" style="72"/>
    <col min="3074" max="3074" width="5" style="72" customWidth="1"/>
    <col min="3075" max="3075" width="52.44140625" style="72" customWidth="1"/>
    <col min="3076" max="3076" width="21.44140625" style="72" customWidth="1"/>
    <col min="3077" max="3079" width="19.44140625" style="72" customWidth="1"/>
    <col min="3080" max="3080" width="12.44140625" style="72" customWidth="1"/>
    <col min="3081" max="3081" width="9.21875" style="72"/>
    <col min="3082" max="3082" width="6.44140625" style="72" customWidth="1"/>
    <col min="3083" max="3083" width="42.44140625" style="72" customWidth="1"/>
    <col min="3084" max="3084" width="16.44140625" style="72" customWidth="1"/>
    <col min="3085" max="3085" width="17.44140625" style="72" customWidth="1"/>
    <col min="3086" max="3086" width="20.44140625" style="72" customWidth="1"/>
    <col min="3087" max="3087" width="19.44140625" style="72" customWidth="1"/>
    <col min="3088" max="3089" width="8.44140625" style="72" customWidth="1"/>
    <col min="3090" max="3090" width="9.44140625" style="72" customWidth="1"/>
    <col min="3091" max="3092" width="8.44140625" style="72" customWidth="1"/>
    <col min="3093" max="3093" width="8" style="72" customWidth="1"/>
    <col min="3094" max="3095" width="6.44140625" style="72" customWidth="1"/>
    <col min="3096" max="3096" width="15.44140625" style="72" customWidth="1"/>
    <col min="3097" max="3097" width="11.21875" style="72" customWidth="1"/>
    <col min="3098" max="3099" width="7.21875" style="72" customWidth="1"/>
    <col min="3100" max="3102" width="8.44140625" style="72" customWidth="1"/>
    <col min="3103" max="3103" width="12" style="72" customWidth="1"/>
    <col min="3104" max="3105" width="10.77734375" style="72" customWidth="1"/>
    <col min="3106" max="3106" width="12" style="72" customWidth="1"/>
    <col min="3107" max="3107" width="13.44140625" style="72" customWidth="1"/>
    <col min="3108" max="3109" width="18" style="72" customWidth="1"/>
    <col min="3110" max="3329" width="9.21875" style="72"/>
    <col min="3330" max="3330" width="5" style="72" customWidth="1"/>
    <col min="3331" max="3331" width="52.44140625" style="72" customWidth="1"/>
    <col min="3332" max="3332" width="21.44140625" style="72" customWidth="1"/>
    <col min="3333" max="3335" width="19.44140625" style="72" customWidth="1"/>
    <col min="3336" max="3336" width="12.44140625" style="72" customWidth="1"/>
    <col min="3337" max="3337" width="9.21875" style="72"/>
    <col min="3338" max="3338" width="6.44140625" style="72" customWidth="1"/>
    <col min="3339" max="3339" width="42.44140625" style="72" customWidth="1"/>
    <col min="3340" max="3340" width="16.44140625" style="72" customWidth="1"/>
    <col min="3341" max="3341" width="17.44140625" style="72" customWidth="1"/>
    <col min="3342" max="3342" width="20.44140625" style="72" customWidth="1"/>
    <col min="3343" max="3343" width="19.44140625" style="72" customWidth="1"/>
    <col min="3344" max="3345" width="8.44140625" style="72" customWidth="1"/>
    <col min="3346" max="3346" width="9.44140625" style="72" customWidth="1"/>
    <col min="3347" max="3348" width="8.44140625" style="72" customWidth="1"/>
    <col min="3349" max="3349" width="8" style="72" customWidth="1"/>
    <col min="3350" max="3351" width="6.44140625" style="72" customWidth="1"/>
    <col min="3352" max="3352" width="15.44140625" style="72" customWidth="1"/>
    <col min="3353" max="3353" width="11.21875" style="72" customWidth="1"/>
    <col min="3354" max="3355" width="7.21875" style="72" customWidth="1"/>
    <col min="3356" max="3358" width="8.44140625" style="72" customWidth="1"/>
    <col min="3359" max="3359" width="12" style="72" customWidth="1"/>
    <col min="3360" max="3361" width="10.77734375" style="72" customWidth="1"/>
    <col min="3362" max="3362" width="12" style="72" customWidth="1"/>
    <col min="3363" max="3363" width="13.44140625" style="72" customWidth="1"/>
    <col min="3364" max="3365" width="18" style="72" customWidth="1"/>
    <col min="3366" max="3585" width="9.21875" style="72"/>
    <col min="3586" max="3586" width="5" style="72" customWidth="1"/>
    <col min="3587" max="3587" width="52.44140625" style="72" customWidth="1"/>
    <col min="3588" max="3588" width="21.44140625" style="72" customWidth="1"/>
    <col min="3589" max="3591" width="19.44140625" style="72" customWidth="1"/>
    <col min="3592" max="3592" width="12.44140625" style="72" customWidth="1"/>
    <col min="3593" max="3593" width="9.21875" style="72"/>
    <col min="3594" max="3594" width="6.44140625" style="72" customWidth="1"/>
    <col min="3595" max="3595" width="42.44140625" style="72" customWidth="1"/>
    <col min="3596" max="3596" width="16.44140625" style="72" customWidth="1"/>
    <col min="3597" max="3597" width="17.44140625" style="72" customWidth="1"/>
    <col min="3598" max="3598" width="20.44140625" style="72" customWidth="1"/>
    <col min="3599" max="3599" width="19.44140625" style="72" customWidth="1"/>
    <col min="3600" max="3601" width="8.44140625" style="72" customWidth="1"/>
    <col min="3602" max="3602" width="9.44140625" style="72" customWidth="1"/>
    <col min="3603" max="3604" width="8.44140625" style="72" customWidth="1"/>
    <col min="3605" max="3605" width="8" style="72" customWidth="1"/>
    <col min="3606" max="3607" width="6.44140625" style="72" customWidth="1"/>
    <col min="3608" max="3608" width="15.44140625" style="72" customWidth="1"/>
    <col min="3609" max="3609" width="11.21875" style="72" customWidth="1"/>
    <col min="3610" max="3611" width="7.21875" style="72" customWidth="1"/>
    <col min="3612" max="3614" width="8.44140625" style="72" customWidth="1"/>
    <col min="3615" max="3615" width="12" style="72" customWidth="1"/>
    <col min="3616" max="3617" width="10.77734375" style="72" customWidth="1"/>
    <col min="3618" max="3618" width="12" style="72" customWidth="1"/>
    <col min="3619" max="3619" width="13.44140625" style="72" customWidth="1"/>
    <col min="3620" max="3621" width="18" style="72" customWidth="1"/>
    <col min="3622" max="3841" width="9.21875" style="72"/>
    <col min="3842" max="3842" width="5" style="72" customWidth="1"/>
    <col min="3843" max="3843" width="52.44140625" style="72" customWidth="1"/>
    <col min="3844" max="3844" width="21.44140625" style="72" customWidth="1"/>
    <col min="3845" max="3847" width="19.44140625" style="72" customWidth="1"/>
    <col min="3848" max="3848" width="12.44140625" style="72" customWidth="1"/>
    <col min="3849" max="3849" width="9.21875" style="72"/>
    <col min="3850" max="3850" width="6.44140625" style="72" customWidth="1"/>
    <col min="3851" max="3851" width="42.44140625" style="72" customWidth="1"/>
    <col min="3852" max="3852" width="16.44140625" style="72" customWidth="1"/>
    <col min="3853" max="3853" width="17.44140625" style="72" customWidth="1"/>
    <col min="3854" max="3854" width="20.44140625" style="72" customWidth="1"/>
    <col min="3855" max="3855" width="19.44140625" style="72" customWidth="1"/>
    <col min="3856" max="3857" width="8.44140625" style="72" customWidth="1"/>
    <col min="3858" max="3858" width="9.44140625" style="72" customWidth="1"/>
    <col min="3859" max="3860" width="8.44140625" style="72" customWidth="1"/>
    <col min="3861" max="3861" width="8" style="72" customWidth="1"/>
    <col min="3862" max="3863" width="6.44140625" style="72" customWidth="1"/>
    <col min="3864" max="3864" width="15.44140625" style="72" customWidth="1"/>
    <col min="3865" max="3865" width="11.21875" style="72" customWidth="1"/>
    <col min="3866" max="3867" width="7.21875" style="72" customWidth="1"/>
    <col min="3868" max="3870" width="8.44140625" style="72" customWidth="1"/>
    <col min="3871" max="3871" width="12" style="72" customWidth="1"/>
    <col min="3872" max="3873" width="10.77734375" style="72" customWidth="1"/>
    <col min="3874" max="3874" width="12" style="72" customWidth="1"/>
    <col min="3875" max="3875" width="13.44140625" style="72" customWidth="1"/>
    <col min="3876" max="3877" width="18" style="72" customWidth="1"/>
    <col min="3878" max="4097" width="9.21875" style="72"/>
    <col min="4098" max="4098" width="5" style="72" customWidth="1"/>
    <col min="4099" max="4099" width="52.44140625" style="72" customWidth="1"/>
    <col min="4100" max="4100" width="21.44140625" style="72" customWidth="1"/>
    <col min="4101" max="4103" width="19.44140625" style="72" customWidth="1"/>
    <col min="4104" max="4104" width="12.44140625" style="72" customWidth="1"/>
    <col min="4105" max="4105" width="9.21875" style="72"/>
    <col min="4106" max="4106" width="6.44140625" style="72" customWidth="1"/>
    <col min="4107" max="4107" width="42.44140625" style="72" customWidth="1"/>
    <col min="4108" max="4108" width="16.44140625" style="72" customWidth="1"/>
    <col min="4109" max="4109" width="17.44140625" style="72" customWidth="1"/>
    <col min="4110" max="4110" width="20.44140625" style="72" customWidth="1"/>
    <col min="4111" max="4111" width="19.44140625" style="72" customWidth="1"/>
    <col min="4112" max="4113" width="8.44140625" style="72" customWidth="1"/>
    <col min="4114" max="4114" width="9.44140625" style="72" customWidth="1"/>
    <col min="4115" max="4116" width="8.44140625" style="72" customWidth="1"/>
    <col min="4117" max="4117" width="8" style="72" customWidth="1"/>
    <col min="4118" max="4119" width="6.44140625" style="72" customWidth="1"/>
    <col min="4120" max="4120" width="15.44140625" style="72" customWidth="1"/>
    <col min="4121" max="4121" width="11.21875" style="72" customWidth="1"/>
    <col min="4122" max="4123" width="7.21875" style="72" customWidth="1"/>
    <col min="4124" max="4126" width="8.44140625" style="72" customWidth="1"/>
    <col min="4127" max="4127" width="12" style="72" customWidth="1"/>
    <col min="4128" max="4129" width="10.77734375" style="72" customWidth="1"/>
    <col min="4130" max="4130" width="12" style="72" customWidth="1"/>
    <col min="4131" max="4131" width="13.44140625" style="72" customWidth="1"/>
    <col min="4132" max="4133" width="18" style="72" customWidth="1"/>
    <col min="4134" max="4353" width="9.21875" style="72"/>
    <col min="4354" max="4354" width="5" style="72" customWidth="1"/>
    <col min="4355" max="4355" width="52.44140625" style="72" customWidth="1"/>
    <col min="4356" max="4356" width="21.44140625" style="72" customWidth="1"/>
    <col min="4357" max="4359" width="19.44140625" style="72" customWidth="1"/>
    <col min="4360" max="4360" width="12.44140625" style="72" customWidth="1"/>
    <col min="4361" max="4361" width="9.21875" style="72"/>
    <col min="4362" max="4362" width="6.44140625" style="72" customWidth="1"/>
    <col min="4363" max="4363" width="42.44140625" style="72" customWidth="1"/>
    <col min="4364" max="4364" width="16.44140625" style="72" customWidth="1"/>
    <col min="4365" max="4365" width="17.44140625" style="72" customWidth="1"/>
    <col min="4366" max="4366" width="20.44140625" style="72" customWidth="1"/>
    <col min="4367" max="4367" width="19.44140625" style="72" customWidth="1"/>
    <col min="4368" max="4369" width="8.44140625" style="72" customWidth="1"/>
    <col min="4370" max="4370" width="9.44140625" style="72" customWidth="1"/>
    <col min="4371" max="4372" width="8.44140625" style="72" customWidth="1"/>
    <col min="4373" max="4373" width="8" style="72" customWidth="1"/>
    <col min="4374" max="4375" width="6.44140625" style="72" customWidth="1"/>
    <col min="4376" max="4376" width="15.44140625" style="72" customWidth="1"/>
    <col min="4377" max="4377" width="11.21875" style="72" customWidth="1"/>
    <col min="4378" max="4379" width="7.21875" style="72" customWidth="1"/>
    <col min="4380" max="4382" width="8.44140625" style="72" customWidth="1"/>
    <col min="4383" max="4383" width="12" style="72" customWidth="1"/>
    <col min="4384" max="4385" width="10.77734375" style="72" customWidth="1"/>
    <col min="4386" max="4386" width="12" style="72" customWidth="1"/>
    <col min="4387" max="4387" width="13.44140625" style="72" customWidth="1"/>
    <col min="4388" max="4389" width="18" style="72" customWidth="1"/>
    <col min="4390" max="4609" width="9.21875" style="72"/>
    <col min="4610" max="4610" width="5" style="72" customWidth="1"/>
    <col min="4611" max="4611" width="52.44140625" style="72" customWidth="1"/>
    <col min="4612" max="4612" width="21.44140625" style="72" customWidth="1"/>
    <col min="4613" max="4615" width="19.44140625" style="72" customWidth="1"/>
    <col min="4616" max="4616" width="12.44140625" style="72" customWidth="1"/>
    <col min="4617" max="4617" width="9.21875" style="72"/>
    <col min="4618" max="4618" width="6.44140625" style="72" customWidth="1"/>
    <col min="4619" max="4619" width="42.44140625" style="72" customWidth="1"/>
    <col min="4620" max="4620" width="16.44140625" style="72" customWidth="1"/>
    <col min="4621" max="4621" width="17.44140625" style="72" customWidth="1"/>
    <col min="4622" max="4622" width="20.44140625" style="72" customWidth="1"/>
    <col min="4623" max="4623" width="19.44140625" style="72" customWidth="1"/>
    <col min="4624" max="4625" width="8.44140625" style="72" customWidth="1"/>
    <col min="4626" max="4626" width="9.44140625" style="72" customWidth="1"/>
    <col min="4627" max="4628" width="8.44140625" style="72" customWidth="1"/>
    <col min="4629" max="4629" width="8" style="72" customWidth="1"/>
    <col min="4630" max="4631" width="6.44140625" style="72" customWidth="1"/>
    <col min="4632" max="4632" width="15.44140625" style="72" customWidth="1"/>
    <col min="4633" max="4633" width="11.21875" style="72" customWidth="1"/>
    <col min="4634" max="4635" width="7.21875" style="72" customWidth="1"/>
    <col min="4636" max="4638" width="8.44140625" style="72" customWidth="1"/>
    <col min="4639" max="4639" width="12" style="72" customWidth="1"/>
    <col min="4640" max="4641" width="10.77734375" style="72" customWidth="1"/>
    <col min="4642" max="4642" width="12" style="72" customWidth="1"/>
    <col min="4643" max="4643" width="13.44140625" style="72" customWidth="1"/>
    <col min="4644" max="4645" width="18" style="72" customWidth="1"/>
    <col min="4646" max="4865" width="9.21875" style="72"/>
    <col min="4866" max="4866" width="5" style="72" customWidth="1"/>
    <col min="4867" max="4867" width="52.44140625" style="72" customWidth="1"/>
    <col min="4868" max="4868" width="21.44140625" style="72" customWidth="1"/>
    <col min="4869" max="4871" width="19.44140625" style="72" customWidth="1"/>
    <col min="4872" max="4872" width="12.44140625" style="72" customWidth="1"/>
    <col min="4873" max="4873" width="9.21875" style="72"/>
    <col min="4874" max="4874" width="6.44140625" style="72" customWidth="1"/>
    <col min="4875" max="4875" width="42.44140625" style="72" customWidth="1"/>
    <col min="4876" max="4876" width="16.44140625" style="72" customWidth="1"/>
    <col min="4877" max="4877" width="17.44140625" style="72" customWidth="1"/>
    <col min="4878" max="4878" width="20.44140625" style="72" customWidth="1"/>
    <col min="4879" max="4879" width="19.44140625" style="72" customWidth="1"/>
    <col min="4880" max="4881" width="8.44140625" style="72" customWidth="1"/>
    <col min="4882" max="4882" width="9.44140625" style="72" customWidth="1"/>
    <col min="4883" max="4884" width="8.44140625" style="72" customWidth="1"/>
    <col min="4885" max="4885" width="8" style="72" customWidth="1"/>
    <col min="4886" max="4887" width="6.44140625" style="72" customWidth="1"/>
    <col min="4888" max="4888" width="15.44140625" style="72" customWidth="1"/>
    <col min="4889" max="4889" width="11.21875" style="72" customWidth="1"/>
    <col min="4890" max="4891" width="7.21875" style="72" customWidth="1"/>
    <col min="4892" max="4894" width="8.44140625" style="72" customWidth="1"/>
    <col min="4895" max="4895" width="12" style="72" customWidth="1"/>
    <col min="4896" max="4897" width="10.77734375" style="72" customWidth="1"/>
    <col min="4898" max="4898" width="12" style="72" customWidth="1"/>
    <col min="4899" max="4899" width="13.44140625" style="72" customWidth="1"/>
    <col min="4900" max="4901" width="18" style="72" customWidth="1"/>
    <col min="4902" max="5121" width="9.21875" style="72"/>
    <col min="5122" max="5122" width="5" style="72" customWidth="1"/>
    <col min="5123" max="5123" width="52.44140625" style="72" customWidth="1"/>
    <col min="5124" max="5124" width="21.44140625" style="72" customWidth="1"/>
    <col min="5125" max="5127" width="19.44140625" style="72" customWidth="1"/>
    <col min="5128" max="5128" width="12.44140625" style="72" customWidth="1"/>
    <col min="5129" max="5129" width="9.21875" style="72"/>
    <col min="5130" max="5130" width="6.44140625" style="72" customWidth="1"/>
    <col min="5131" max="5131" width="42.44140625" style="72" customWidth="1"/>
    <col min="5132" max="5132" width="16.44140625" style="72" customWidth="1"/>
    <col min="5133" max="5133" width="17.44140625" style="72" customWidth="1"/>
    <col min="5134" max="5134" width="20.44140625" style="72" customWidth="1"/>
    <col min="5135" max="5135" width="19.44140625" style="72" customWidth="1"/>
    <col min="5136" max="5137" width="8.44140625" style="72" customWidth="1"/>
    <col min="5138" max="5138" width="9.44140625" style="72" customWidth="1"/>
    <col min="5139" max="5140" width="8.44140625" style="72" customWidth="1"/>
    <col min="5141" max="5141" width="8" style="72" customWidth="1"/>
    <col min="5142" max="5143" width="6.44140625" style="72" customWidth="1"/>
    <col min="5144" max="5144" width="15.44140625" style="72" customWidth="1"/>
    <col min="5145" max="5145" width="11.21875" style="72" customWidth="1"/>
    <col min="5146" max="5147" width="7.21875" style="72" customWidth="1"/>
    <col min="5148" max="5150" width="8.44140625" style="72" customWidth="1"/>
    <col min="5151" max="5151" width="12" style="72" customWidth="1"/>
    <col min="5152" max="5153" width="10.77734375" style="72" customWidth="1"/>
    <col min="5154" max="5154" width="12" style="72" customWidth="1"/>
    <col min="5155" max="5155" width="13.44140625" style="72" customWidth="1"/>
    <col min="5156" max="5157" width="18" style="72" customWidth="1"/>
    <col min="5158" max="5377" width="9.21875" style="72"/>
    <col min="5378" max="5378" width="5" style="72" customWidth="1"/>
    <col min="5379" max="5379" width="52.44140625" style="72" customWidth="1"/>
    <col min="5380" max="5380" width="21.44140625" style="72" customWidth="1"/>
    <col min="5381" max="5383" width="19.44140625" style="72" customWidth="1"/>
    <col min="5384" max="5384" width="12.44140625" style="72" customWidth="1"/>
    <col min="5385" max="5385" width="9.21875" style="72"/>
    <col min="5386" max="5386" width="6.44140625" style="72" customWidth="1"/>
    <col min="5387" max="5387" width="42.44140625" style="72" customWidth="1"/>
    <col min="5388" max="5388" width="16.44140625" style="72" customWidth="1"/>
    <col min="5389" max="5389" width="17.44140625" style="72" customWidth="1"/>
    <col min="5390" max="5390" width="20.44140625" style="72" customWidth="1"/>
    <col min="5391" max="5391" width="19.44140625" style="72" customWidth="1"/>
    <col min="5392" max="5393" width="8.44140625" style="72" customWidth="1"/>
    <col min="5394" max="5394" width="9.44140625" style="72" customWidth="1"/>
    <col min="5395" max="5396" width="8.44140625" style="72" customWidth="1"/>
    <col min="5397" max="5397" width="8" style="72" customWidth="1"/>
    <col min="5398" max="5399" width="6.44140625" style="72" customWidth="1"/>
    <col min="5400" max="5400" width="15.44140625" style="72" customWidth="1"/>
    <col min="5401" max="5401" width="11.21875" style="72" customWidth="1"/>
    <col min="5402" max="5403" width="7.21875" style="72" customWidth="1"/>
    <col min="5404" max="5406" width="8.44140625" style="72" customWidth="1"/>
    <col min="5407" max="5407" width="12" style="72" customWidth="1"/>
    <col min="5408" max="5409" width="10.77734375" style="72" customWidth="1"/>
    <col min="5410" max="5410" width="12" style="72" customWidth="1"/>
    <col min="5411" max="5411" width="13.44140625" style="72" customWidth="1"/>
    <col min="5412" max="5413" width="18" style="72" customWidth="1"/>
    <col min="5414" max="5633" width="9.21875" style="72"/>
    <col min="5634" max="5634" width="5" style="72" customWidth="1"/>
    <col min="5635" max="5635" width="52.44140625" style="72" customWidth="1"/>
    <col min="5636" max="5636" width="21.44140625" style="72" customWidth="1"/>
    <col min="5637" max="5639" width="19.44140625" style="72" customWidth="1"/>
    <col min="5640" max="5640" width="12.44140625" style="72" customWidth="1"/>
    <col min="5641" max="5641" width="9.21875" style="72"/>
    <col min="5642" max="5642" width="6.44140625" style="72" customWidth="1"/>
    <col min="5643" max="5643" width="42.44140625" style="72" customWidth="1"/>
    <col min="5644" max="5644" width="16.44140625" style="72" customWidth="1"/>
    <col min="5645" max="5645" width="17.44140625" style="72" customWidth="1"/>
    <col min="5646" max="5646" width="20.44140625" style="72" customWidth="1"/>
    <col min="5647" max="5647" width="19.44140625" style="72" customWidth="1"/>
    <col min="5648" max="5649" width="8.44140625" style="72" customWidth="1"/>
    <col min="5650" max="5650" width="9.44140625" style="72" customWidth="1"/>
    <col min="5651" max="5652" width="8.44140625" style="72" customWidth="1"/>
    <col min="5653" max="5653" width="8" style="72" customWidth="1"/>
    <col min="5654" max="5655" width="6.44140625" style="72" customWidth="1"/>
    <col min="5656" max="5656" width="15.44140625" style="72" customWidth="1"/>
    <col min="5657" max="5657" width="11.21875" style="72" customWidth="1"/>
    <col min="5658" max="5659" width="7.21875" style="72" customWidth="1"/>
    <col min="5660" max="5662" width="8.44140625" style="72" customWidth="1"/>
    <col min="5663" max="5663" width="12" style="72" customWidth="1"/>
    <col min="5664" max="5665" width="10.77734375" style="72" customWidth="1"/>
    <col min="5666" max="5666" width="12" style="72" customWidth="1"/>
    <col min="5667" max="5667" width="13.44140625" style="72" customWidth="1"/>
    <col min="5668" max="5669" width="18" style="72" customWidth="1"/>
    <col min="5670" max="5889" width="9.21875" style="72"/>
    <col min="5890" max="5890" width="5" style="72" customWidth="1"/>
    <col min="5891" max="5891" width="52.44140625" style="72" customWidth="1"/>
    <col min="5892" max="5892" width="21.44140625" style="72" customWidth="1"/>
    <col min="5893" max="5895" width="19.44140625" style="72" customWidth="1"/>
    <col min="5896" max="5896" width="12.44140625" style="72" customWidth="1"/>
    <col min="5897" max="5897" width="9.21875" style="72"/>
    <col min="5898" max="5898" width="6.44140625" style="72" customWidth="1"/>
    <col min="5899" max="5899" width="42.44140625" style="72" customWidth="1"/>
    <col min="5900" max="5900" width="16.44140625" style="72" customWidth="1"/>
    <col min="5901" max="5901" width="17.44140625" style="72" customWidth="1"/>
    <col min="5902" max="5902" width="20.44140625" style="72" customWidth="1"/>
    <col min="5903" max="5903" width="19.44140625" style="72" customWidth="1"/>
    <col min="5904" max="5905" width="8.44140625" style="72" customWidth="1"/>
    <col min="5906" max="5906" width="9.44140625" style="72" customWidth="1"/>
    <col min="5907" max="5908" width="8.44140625" style="72" customWidth="1"/>
    <col min="5909" max="5909" width="8" style="72" customWidth="1"/>
    <col min="5910" max="5911" width="6.44140625" style="72" customWidth="1"/>
    <col min="5912" max="5912" width="15.44140625" style="72" customWidth="1"/>
    <col min="5913" max="5913" width="11.21875" style="72" customWidth="1"/>
    <col min="5914" max="5915" width="7.21875" style="72" customWidth="1"/>
    <col min="5916" max="5918" width="8.44140625" style="72" customWidth="1"/>
    <col min="5919" max="5919" width="12" style="72" customWidth="1"/>
    <col min="5920" max="5921" width="10.77734375" style="72" customWidth="1"/>
    <col min="5922" max="5922" width="12" style="72" customWidth="1"/>
    <col min="5923" max="5923" width="13.44140625" style="72" customWidth="1"/>
    <col min="5924" max="5925" width="18" style="72" customWidth="1"/>
    <col min="5926" max="6145" width="9.21875" style="72"/>
    <col min="6146" max="6146" width="5" style="72" customWidth="1"/>
    <col min="6147" max="6147" width="52.44140625" style="72" customWidth="1"/>
    <col min="6148" max="6148" width="21.44140625" style="72" customWidth="1"/>
    <col min="6149" max="6151" width="19.44140625" style="72" customWidth="1"/>
    <col min="6152" max="6152" width="12.44140625" style="72" customWidth="1"/>
    <col min="6153" max="6153" width="9.21875" style="72"/>
    <col min="6154" max="6154" width="6.44140625" style="72" customWidth="1"/>
    <col min="6155" max="6155" width="42.44140625" style="72" customWidth="1"/>
    <col min="6156" max="6156" width="16.44140625" style="72" customWidth="1"/>
    <col min="6157" max="6157" width="17.44140625" style="72" customWidth="1"/>
    <col min="6158" max="6158" width="20.44140625" style="72" customWidth="1"/>
    <col min="6159" max="6159" width="19.44140625" style="72" customWidth="1"/>
    <col min="6160" max="6161" width="8.44140625" style="72" customWidth="1"/>
    <col min="6162" max="6162" width="9.44140625" style="72" customWidth="1"/>
    <col min="6163" max="6164" width="8.44140625" style="72" customWidth="1"/>
    <col min="6165" max="6165" width="8" style="72" customWidth="1"/>
    <col min="6166" max="6167" width="6.44140625" style="72" customWidth="1"/>
    <col min="6168" max="6168" width="15.44140625" style="72" customWidth="1"/>
    <col min="6169" max="6169" width="11.21875" style="72" customWidth="1"/>
    <col min="6170" max="6171" width="7.21875" style="72" customWidth="1"/>
    <col min="6172" max="6174" width="8.44140625" style="72" customWidth="1"/>
    <col min="6175" max="6175" width="12" style="72" customWidth="1"/>
    <col min="6176" max="6177" width="10.77734375" style="72" customWidth="1"/>
    <col min="6178" max="6178" width="12" style="72" customWidth="1"/>
    <col min="6179" max="6179" width="13.44140625" style="72" customWidth="1"/>
    <col min="6180" max="6181" width="18" style="72" customWidth="1"/>
    <col min="6182" max="6401" width="9.21875" style="72"/>
    <col min="6402" max="6402" width="5" style="72" customWidth="1"/>
    <col min="6403" max="6403" width="52.44140625" style="72" customWidth="1"/>
    <col min="6404" max="6404" width="21.44140625" style="72" customWidth="1"/>
    <col min="6405" max="6407" width="19.44140625" style="72" customWidth="1"/>
    <col min="6408" max="6408" width="12.44140625" style="72" customWidth="1"/>
    <col min="6409" max="6409" width="9.21875" style="72"/>
    <col min="6410" max="6410" width="6.44140625" style="72" customWidth="1"/>
    <col min="6411" max="6411" width="42.44140625" style="72" customWidth="1"/>
    <col min="6412" max="6412" width="16.44140625" style="72" customWidth="1"/>
    <col min="6413" max="6413" width="17.44140625" style="72" customWidth="1"/>
    <col min="6414" max="6414" width="20.44140625" style="72" customWidth="1"/>
    <col min="6415" max="6415" width="19.44140625" style="72" customWidth="1"/>
    <col min="6416" max="6417" width="8.44140625" style="72" customWidth="1"/>
    <col min="6418" max="6418" width="9.44140625" style="72" customWidth="1"/>
    <col min="6419" max="6420" width="8.44140625" style="72" customWidth="1"/>
    <col min="6421" max="6421" width="8" style="72" customWidth="1"/>
    <col min="6422" max="6423" width="6.44140625" style="72" customWidth="1"/>
    <col min="6424" max="6424" width="15.44140625" style="72" customWidth="1"/>
    <col min="6425" max="6425" width="11.21875" style="72" customWidth="1"/>
    <col min="6426" max="6427" width="7.21875" style="72" customWidth="1"/>
    <col min="6428" max="6430" width="8.44140625" style="72" customWidth="1"/>
    <col min="6431" max="6431" width="12" style="72" customWidth="1"/>
    <col min="6432" max="6433" width="10.77734375" style="72" customWidth="1"/>
    <col min="6434" max="6434" width="12" style="72" customWidth="1"/>
    <col min="6435" max="6435" width="13.44140625" style="72" customWidth="1"/>
    <col min="6436" max="6437" width="18" style="72" customWidth="1"/>
    <col min="6438" max="6657" width="9.21875" style="72"/>
    <col min="6658" max="6658" width="5" style="72" customWidth="1"/>
    <col min="6659" max="6659" width="52.44140625" style="72" customWidth="1"/>
    <col min="6660" max="6660" width="21.44140625" style="72" customWidth="1"/>
    <col min="6661" max="6663" width="19.44140625" style="72" customWidth="1"/>
    <col min="6664" max="6664" width="12.44140625" style="72" customWidth="1"/>
    <col min="6665" max="6665" width="9.21875" style="72"/>
    <col min="6666" max="6666" width="6.44140625" style="72" customWidth="1"/>
    <col min="6667" max="6667" width="42.44140625" style="72" customWidth="1"/>
    <col min="6668" max="6668" width="16.44140625" style="72" customWidth="1"/>
    <col min="6669" max="6669" width="17.44140625" style="72" customWidth="1"/>
    <col min="6670" max="6670" width="20.44140625" style="72" customWidth="1"/>
    <col min="6671" max="6671" width="19.44140625" style="72" customWidth="1"/>
    <col min="6672" max="6673" width="8.44140625" style="72" customWidth="1"/>
    <col min="6674" max="6674" width="9.44140625" style="72" customWidth="1"/>
    <col min="6675" max="6676" width="8.44140625" style="72" customWidth="1"/>
    <col min="6677" max="6677" width="8" style="72" customWidth="1"/>
    <col min="6678" max="6679" width="6.44140625" style="72" customWidth="1"/>
    <col min="6680" max="6680" width="15.44140625" style="72" customWidth="1"/>
    <col min="6681" max="6681" width="11.21875" style="72" customWidth="1"/>
    <col min="6682" max="6683" width="7.21875" style="72" customWidth="1"/>
    <col min="6684" max="6686" width="8.44140625" style="72" customWidth="1"/>
    <col min="6687" max="6687" width="12" style="72" customWidth="1"/>
    <col min="6688" max="6689" width="10.77734375" style="72" customWidth="1"/>
    <col min="6690" max="6690" width="12" style="72" customWidth="1"/>
    <col min="6691" max="6691" width="13.44140625" style="72" customWidth="1"/>
    <col min="6692" max="6693" width="18" style="72" customWidth="1"/>
    <col min="6694" max="6913" width="9.21875" style="72"/>
    <col min="6914" max="6914" width="5" style="72" customWidth="1"/>
    <col min="6915" max="6915" width="52.44140625" style="72" customWidth="1"/>
    <col min="6916" max="6916" width="21.44140625" style="72" customWidth="1"/>
    <col min="6917" max="6919" width="19.44140625" style="72" customWidth="1"/>
    <col min="6920" max="6920" width="12.44140625" style="72" customWidth="1"/>
    <col min="6921" max="6921" width="9.21875" style="72"/>
    <col min="6922" max="6922" width="6.44140625" style="72" customWidth="1"/>
    <col min="6923" max="6923" width="42.44140625" style="72" customWidth="1"/>
    <col min="6924" max="6924" width="16.44140625" style="72" customWidth="1"/>
    <col min="6925" max="6925" width="17.44140625" style="72" customWidth="1"/>
    <col min="6926" max="6926" width="20.44140625" style="72" customWidth="1"/>
    <col min="6927" max="6927" width="19.44140625" style="72" customWidth="1"/>
    <col min="6928" max="6929" width="8.44140625" style="72" customWidth="1"/>
    <col min="6930" max="6930" width="9.44140625" style="72" customWidth="1"/>
    <col min="6931" max="6932" width="8.44140625" style="72" customWidth="1"/>
    <col min="6933" max="6933" width="8" style="72" customWidth="1"/>
    <col min="6934" max="6935" width="6.44140625" style="72" customWidth="1"/>
    <col min="6936" max="6936" width="15.44140625" style="72" customWidth="1"/>
    <col min="6937" max="6937" width="11.21875" style="72" customWidth="1"/>
    <col min="6938" max="6939" width="7.21875" style="72" customWidth="1"/>
    <col min="6940" max="6942" width="8.44140625" style="72" customWidth="1"/>
    <col min="6943" max="6943" width="12" style="72" customWidth="1"/>
    <col min="6944" max="6945" width="10.77734375" style="72" customWidth="1"/>
    <col min="6946" max="6946" width="12" style="72" customWidth="1"/>
    <col min="6947" max="6947" width="13.44140625" style="72" customWidth="1"/>
    <col min="6948" max="6949" width="18" style="72" customWidth="1"/>
    <col min="6950" max="7169" width="9.21875" style="72"/>
    <col min="7170" max="7170" width="5" style="72" customWidth="1"/>
    <col min="7171" max="7171" width="52.44140625" style="72" customWidth="1"/>
    <col min="7172" max="7172" width="21.44140625" style="72" customWidth="1"/>
    <col min="7173" max="7175" width="19.44140625" style="72" customWidth="1"/>
    <col min="7176" max="7176" width="12.44140625" style="72" customWidth="1"/>
    <col min="7177" max="7177" width="9.21875" style="72"/>
    <col min="7178" max="7178" width="6.44140625" style="72" customWidth="1"/>
    <col min="7179" max="7179" width="42.44140625" style="72" customWidth="1"/>
    <col min="7180" max="7180" width="16.44140625" style="72" customWidth="1"/>
    <col min="7181" max="7181" width="17.44140625" style="72" customWidth="1"/>
    <col min="7182" max="7182" width="20.44140625" style="72" customWidth="1"/>
    <col min="7183" max="7183" width="19.44140625" style="72" customWidth="1"/>
    <col min="7184" max="7185" width="8.44140625" style="72" customWidth="1"/>
    <col min="7186" max="7186" width="9.44140625" style="72" customWidth="1"/>
    <col min="7187" max="7188" width="8.44140625" style="72" customWidth="1"/>
    <col min="7189" max="7189" width="8" style="72" customWidth="1"/>
    <col min="7190" max="7191" width="6.44140625" style="72" customWidth="1"/>
    <col min="7192" max="7192" width="15.44140625" style="72" customWidth="1"/>
    <col min="7193" max="7193" width="11.21875" style="72" customWidth="1"/>
    <col min="7194" max="7195" width="7.21875" style="72" customWidth="1"/>
    <col min="7196" max="7198" width="8.44140625" style="72" customWidth="1"/>
    <col min="7199" max="7199" width="12" style="72" customWidth="1"/>
    <col min="7200" max="7201" width="10.77734375" style="72" customWidth="1"/>
    <col min="7202" max="7202" width="12" style="72" customWidth="1"/>
    <col min="7203" max="7203" width="13.44140625" style="72" customWidth="1"/>
    <col min="7204" max="7205" width="18" style="72" customWidth="1"/>
    <col min="7206" max="7425" width="9.21875" style="72"/>
    <col min="7426" max="7426" width="5" style="72" customWidth="1"/>
    <col min="7427" max="7427" width="52.44140625" style="72" customWidth="1"/>
    <col min="7428" max="7428" width="21.44140625" style="72" customWidth="1"/>
    <col min="7429" max="7431" width="19.44140625" style="72" customWidth="1"/>
    <col min="7432" max="7432" width="12.44140625" style="72" customWidth="1"/>
    <col min="7433" max="7433" width="9.21875" style="72"/>
    <col min="7434" max="7434" width="6.44140625" style="72" customWidth="1"/>
    <col min="7435" max="7435" width="42.44140625" style="72" customWidth="1"/>
    <col min="7436" max="7436" width="16.44140625" style="72" customWidth="1"/>
    <col min="7437" max="7437" width="17.44140625" style="72" customWidth="1"/>
    <col min="7438" max="7438" width="20.44140625" style="72" customWidth="1"/>
    <col min="7439" max="7439" width="19.44140625" style="72" customWidth="1"/>
    <col min="7440" max="7441" width="8.44140625" style="72" customWidth="1"/>
    <col min="7442" max="7442" width="9.44140625" style="72" customWidth="1"/>
    <col min="7443" max="7444" width="8.44140625" style="72" customWidth="1"/>
    <col min="7445" max="7445" width="8" style="72" customWidth="1"/>
    <col min="7446" max="7447" width="6.44140625" style="72" customWidth="1"/>
    <col min="7448" max="7448" width="15.44140625" style="72" customWidth="1"/>
    <col min="7449" max="7449" width="11.21875" style="72" customWidth="1"/>
    <col min="7450" max="7451" width="7.21875" style="72" customWidth="1"/>
    <col min="7452" max="7454" width="8.44140625" style="72" customWidth="1"/>
    <col min="7455" max="7455" width="12" style="72" customWidth="1"/>
    <col min="7456" max="7457" width="10.77734375" style="72" customWidth="1"/>
    <col min="7458" max="7458" width="12" style="72" customWidth="1"/>
    <col min="7459" max="7459" width="13.44140625" style="72" customWidth="1"/>
    <col min="7460" max="7461" width="18" style="72" customWidth="1"/>
    <col min="7462" max="7681" width="9.21875" style="72"/>
    <col min="7682" max="7682" width="5" style="72" customWidth="1"/>
    <col min="7683" max="7683" width="52.44140625" style="72" customWidth="1"/>
    <col min="7684" max="7684" width="21.44140625" style="72" customWidth="1"/>
    <col min="7685" max="7687" width="19.44140625" style="72" customWidth="1"/>
    <col min="7688" max="7688" width="12.44140625" style="72" customWidth="1"/>
    <col min="7689" max="7689" width="9.21875" style="72"/>
    <col min="7690" max="7690" width="6.44140625" style="72" customWidth="1"/>
    <col min="7691" max="7691" width="42.44140625" style="72" customWidth="1"/>
    <col min="7692" max="7692" width="16.44140625" style="72" customWidth="1"/>
    <col min="7693" max="7693" width="17.44140625" style="72" customWidth="1"/>
    <col min="7694" max="7694" width="20.44140625" style="72" customWidth="1"/>
    <col min="7695" max="7695" width="19.44140625" style="72" customWidth="1"/>
    <col min="7696" max="7697" width="8.44140625" style="72" customWidth="1"/>
    <col min="7698" max="7698" width="9.44140625" style="72" customWidth="1"/>
    <col min="7699" max="7700" width="8.44140625" style="72" customWidth="1"/>
    <col min="7701" max="7701" width="8" style="72" customWidth="1"/>
    <col min="7702" max="7703" width="6.44140625" style="72" customWidth="1"/>
    <col min="7704" max="7704" width="15.44140625" style="72" customWidth="1"/>
    <col min="7705" max="7705" width="11.21875" style="72" customWidth="1"/>
    <col min="7706" max="7707" width="7.21875" style="72" customWidth="1"/>
    <col min="7708" max="7710" width="8.44140625" style="72" customWidth="1"/>
    <col min="7711" max="7711" width="12" style="72" customWidth="1"/>
    <col min="7712" max="7713" width="10.77734375" style="72" customWidth="1"/>
    <col min="7714" max="7714" width="12" style="72" customWidth="1"/>
    <col min="7715" max="7715" width="13.44140625" style="72" customWidth="1"/>
    <col min="7716" max="7717" width="18" style="72" customWidth="1"/>
    <col min="7718" max="7937" width="9.21875" style="72"/>
    <col min="7938" max="7938" width="5" style="72" customWidth="1"/>
    <col min="7939" max="7939" width="52.44140625" style="72" customWidth="1"/>
    <col min="7940" max="7940" width="21.44140625" style="72" customWidth="1"/>
    <col min="7941" max="7943" width="19.44140625" style="72" customWidth="1"/>
    <col min="7944" max="7944" width="12.44140625" style="72" customWidth="1"/>
    <col min="7945" max="7945" width="9.21875" style="72"/>
    <col min="7946" max="7946" width="6.44140625" style="72" customWidth="1"/>
    <col min="7947" max="7947" width="42.44140625" style="72" customWidth="1"/>
    <col min="7948" max="7948" width="16.44140625" style="72" customWidth="1"/>
    <col min="7949" max="7949" width="17.44140625" style="72" customWidth="1"/>
    <col min="7950" max="7950" width="20.44140625" style="72" customWidth="1"/>
    <col min="7951" max="7951" width="19.44140625" style="72" customWidth="1"/>
    <col min="7952" max="7953" width="8.44140625" style="72" customWidth="1"/>
    <col min="7954" max="7954" width="9.44140625" style="72" customWidth="1"/>
    <col min="7955" max="7956" width="8.44140625" style="72" customWidth="1"/>
    <col min="7957" max="7957" width="8" style="72" customWidth="1"/>
    <col min="7958" max="7959" width="6.44140625" style="72" customWidth="1"/>
    <col min="7960" max="7960" width="15.44140625" style="72" customWidth="1"/>
    <col min="7961" max="7961" width="11.21875" style="72" customWidth="1"/>
    <col min="7962" max="7963" width="7.21875" style="72" customWidth="1"/>
    <col min="7964" max="7966" width="8.44140625" style="72" customWidth="1"/>
    <col min="7967" max="7967" width="12" style="72" customWidth="1"/>
    <col min="7968" max="7969" width="10.77734375" style="72" customWidth="1"/>
    <col min="7970" max="7970" width="12" style="72" customWidth="1"/>
    <col min="7971" max="7971" width="13.44140625" style="72" customWidth="1"/>
    <col min="7972" max="7973" width="18" style="72" customWidth="1"/>
    <col min="7974" max="8193" width="9.21875" style="72"/>
    <col min="8194" max="8194" width="5" style="72" customWidth="1"/>
    <col min="8195" max="8195" width="52.44140625" style="72" customWidth="1"/>
    <col min="8196" max="8196" width="21.44140625" style="72" customWidth="1"/>
    <col min="8197" max="8199" width="19.44140625" style="72" customWidth="1"/>
    <col min="8200" max="8200" width="12.44140625" style="72" customWidth="1"/>
    <col min="8201" max="8201" width="9.21875" style="72"/>
    <col min="8202" max="8202" width="6.44140625" style="72" customWidth="1"/>
    <col min="8203" max="8203" width="42.44140625" style="72" customWidth="1"/>
    <col min="8204" max="8204" width="16.44140625" style="72" customWidth="1"/>
    <col min="8205" max="8205" width="17.44140625" style="72" customWidth="1"/>
    <col min="8206" max="8206" width="20.44140625" style="72" customWidth="1"/>
    <col min="8207" max="8207" width="19.44140625" style="72" customWidth="1"/>
    <col min="8208" max="8209" width="8.44140625" style="72" customWidth="1"/>
    <col min="8210" max="8210" width="9.44140625" style="72" customWidth="1"/>
    <col min="8211" max="8212" width="8.44140625" style="72" customWidth="1"/>
    <col min="8213" max="8213" width="8" style="72" customWidth="1"/>
    <col min="8214" max="8215" width="6.44140625" style="72" customWidth="1"/>
    <col min="8216" max="8216" width="15.44140625" style="72" customWidth="1"/>
    <col min="8217" max="8217" width="11.21875" style="72" customWidth="1"/>
    <col min="8218" max="8219" width="7.21875" style="72" customWidth="1"/>
    <col min="8220" max="8222" width="8.44140625" style="72" customWidth="1"/>
    <col min="8223" max="8223" width="12" style="72" customWidth="1"/>
    <col min="8224" max="8225" width="10.77734375" style="72" customWidth="1"/>
    <col min="8226" max="8226" width="12" style="72" customWidth="1"/>
    <col min="8227" max="8227" width="13.44140625" style="72" customWidth="1"/>
    <col min="8228" max="8229" width="18" style="72" customWidth="1"/>
    <col min="8230" max="8449" width="9.21875" style="72"/>
    <col min="8450" max="8450" width="5" style="72" customWidth="1"/>
    <col min="8451" max="8451" width="52.44140625" style="72" customWidth="1"/>
    <col min="8452" max="8452" width="21.44140625" style="72" customWidth="1"/>
    <col min="8453" max="8455" width="19.44140625" style="72" customWidth="1"/>
    <col min="8456" max="8456" width="12.44140625" style="72" customWidth="1"/>
    <col min="8457" max="8457" width="9.21875" style="72"/>
    <col min="8458" max="8458" width="6.44140625" style="72" customWidth="1"/>
    <col min="8459" max="8459" width="42.44140625" style="72" customWidth="1"/>
    <col min="8460" max="8460" width="16.44140625" style="72" customWidth="1"/>
    <col min="8461" max="8461" width="17.44140625" style="72" customWidth="1"/>
    <col min="8462" max="8462" width="20.44140625" style="72" customWidth="1"/>
    <col min="8463" max="8463" width="19.44140625" style="72" customWidth="1"/>
    <col min="8464" max="8465" width="8.44140625" style="72" customWidth="1"/>
    <col min="8466" max="8466" width="9.44140625" style="72" customWidth="1"/>
    <col min="8467" max="8468" width="8.44140625" style="72" customWidth="1"/>
    <col min="8469" max="8469" width="8" style="72" customWidth="1"/>
    <col min="8470" max="8471" width="6.44140625" style="72" customWidth="1"/>
    <col min="8472" max="8472" width="15.44140625" style="72" customWidth="1"/>
    <col min="8473" max="8473" width="11.21875" style="72" customWidth="1"/>
    <col min="8474" max="8475" width="7.21875" style="72" customWidth="1"/>
    <col min="8476" max="8478" width="8.44140625" style="72" customWidth="1"/>
    <col min="8479" max="8479" width="12" style="72" customWidth="1"/>
    <col min="8480" max="8481" width="10.77734375" style="72" customWidth="1"/>
    <col min="8482" max="8482" width="12" style="72" customWidth="1"/>
    <col min="8483" max="8483" width="13.44140625" style="72" customWidth="1"/>
    <col min="8484" max="8485" width="18" style="72" customWidth="1"/>
    <col min="8486" max="8705" width="9.21875" style="72"/>
    <col min="8706" max="8706" width="5" style="72" customWidth="1"/>
    <col min="8707" max="8707" width="52.44140625" style="72" customWidth="1"/>
    <col min="8708" max="8708" width="21.44140625" style="72" customWidth="1"/>
    <col min="8709" max="8711" width="19.44140625" style="72" customWidth="1"/>
    <col min="8712" max="8712" width="12.44140625" style="72" customWidth="1"/>
    <col min="8713" max="8713" width="9.21875" style="72"/>
    <col min="8714" max="8714" width="6.44140625" style="72" customWidth="1"/>
    <col min="8715" max="8715" width="42.44140625" style="72" customWidth="1"/>
    <col min="8716" max="8716" width="16.44140625" style="72" customWidth="1"/>
    <col min="8717" max="8717" width="17.44140625" style="72" customWidth="1"/>
    <col min="8718" max="8718" width="20.44140625" style="72" customWidth="1"/>
    <col min="8719" max="8719" width="19.44140625" style="72" customWidth="1"/>
    <col min="8720" max="8721" width="8.44140625" style="72" customWidth="1"/>
    <col min="8722" max="8722" width="9.44140625" style="72" customWidth="1"/>
    <col min="8723" max="8724" width="8.44140625" style="72" customWidth="1"/>
    <col min="8725" max="8725" width="8" style="72" customWidth="1"/>
    <col min="8726" max="8727" width="6.44140625" style="72" customWidth="1"/>
    <col min="8728" max="8728" width="15.44140625" style="72" customWidth="1"/>
    <col min="8729" max="8729" width="11.21875" style="72" customWidth="1"/>
    <col min="8730" max="8731" width="7.21875" style="72" customWidth="1"/>
    <col min="8732" max="8734" width="8.44140625" style="72" customWidth="1"/>
    <col min="8735" max="8735" width="12" style="72" customWidth="1"/>
    <col min="8736" max="8737" width="10.77734375" style="72" customWidth="1"/>
    <col min="8738" max="8738" width="12" style="72" customWidth="1"/>
    <col min="8739" max="8739" width="13.44140625" style="72" customWidth="1"/>
    <col min="8740" max="8741" width="18" style="72" customWidth="1"/>
    <col min="8742" max="8961" width="9.21875" style="72"/>
    <col min="8962" max="8962" width="5" style="72" customWidth="1"/>
    <col min="8963" max="8963" width="52.44140625" style="72" customWidth="1"/>
    <col min="8964" max="8964" width="21.44140625" style="72" customWidth="1"/>
    <col min="8965" max="8967" width="19.44140625" style="72" customWidth="1"/>
    <col min="8968" max="8968" width="12.44140625" style="72" customWidth="1"/>
    <col min="8969" max="8969" width="9.21875" style="72"/>
    <col min="8970" max="8970" width="6.44140625" style="72" customWidth="1"/>
    <col min="8971" max="8971" width="42.44140625" style="72" customWidth="1"/>
    <col min="8972" max="8972" width="16.44140625" style="72" customWidth="1"/>
    <col min="8973" max="8973" width="17.44140625" style="72" customWidth="1"/>
    <col min="8974" max="8974" width="20.44140625" style="72" customWidth="1"/>
    <col min="8975" max="8975" width="19.44140625" style="72" customWidth="1"/>
    <col min="8976" max="8977" width="8.44140625" style="72" customWidth="1"/>
    <col min="8978" max="8978" width="9.44140625" style="72" customWidth="1"/>
    <col min="8979" max="8980" width="8.44140625" style="72" customWidth="1"/>
    <col min="8981" max="8981" width="8" style="72" customWidth="1"/>
    <col min="8982" max="8983" width="6.44140625" style="72" customWidth="1"/>
    <col min="8984" max="8984" width="15.44140625" style="72" customWidth="1"/>
    <col min="8985" max="8985" width="11.21875" style="72" customWidth="1"/>
    <col min="8986" max="8987" width="7.21875" style="72" customWidth="1"/>
    <col min="8988" max="8990" width="8.44140625" style="72" customWidth="1"/>
    <col min="8991" max="8991" width="12" style="72" customWidth="1"/>
    <col min="8992" max="8993" width="10.77734375" style="72" customWidth="1"/>
    <col min="8994" max="8994" width="12" style="72" customWidth="1"/>
    <col min="8995" max="8995" width="13.44140625" style="72" customWidth="1"/>
    <col min="8996" max="8997" width="18" style="72" customWidth="1"/>
    <col min="8998" max="9217" width="9.21875" style="72"/>
    <col min="9218" max="9218" width="5" style="72" customWidth="1"/>
    <col min="9219" max="9219" width="52.44140625" style="72" customWidth="1"/>
    <col min="9220" max="9220" width="21.44140625" style="72" customWidth="1"/>
    <col min="9221" max="9223" width="19.44140625" style="72" customWidth="1"/>
    <col min="9224" max="9224" width="12.44140625" style="72" customWidth="1"/>
    <col min="9225" max="9225" width="9.21875" style="72"/>
    <col min="9226" max="9226" width="6.44140625" style="72" customWidth="1"/>
    <col min="9227" max="9227" width="42.44140625" style="72" customWidth="1"/>
    <col min="9228" max="9228" width="16.44140625" style="72" customWidth="1"/>
    <col min="9229" max="9229" width="17.44140625" style="72" customWidth="1"/>
    <col min="9230" max="9230" width="20.44140625" style="72" customWidth="1"/>
    <col min="9231" max="9231" width="19.44140625" style="72" customWidth="1"/>
    <col min="9232" max="9233" width="8.44140625" style="72" customWidth="1"/>
    <col min="9234" max="9234" width="9.44140625" style="72" customWidth="1"/>
    <col min="9235" max="9236" width="8.44140625" style="72" customWidth="1"/>
    <col min="9237" max="9237" width="8" style="72" customWidth="1"/>
    <col min="9238" max="9239" width="6.44140625" style="72" customWidth="1"/>
    <col min="9240" max="9240" width="15.44140625" style="72" customWidth="1"/>
    <col min="9241" max="9241" width="11.21875" style="72" customWidth="1"/>
    <col min="9242" max="9243" width="7.21875" style="72" customWidth="1"/>
    <col min="9244" max="9246" width="8.44140625" style="72" customWidth="1"/>
    <col min="9247" max="9247" width="12" style="72" customWidth="1"/>
    <col min="9248" max="9249" width="10.77734375" style="72" customWidth="1"/>
    <col min="9250" max="9250" width="12" style="72" customWidth="1"/>
    <col min="9251" max="9251" width="13.44140625" style="72" customWidth="1"/>
    <col min="9252" max="9253" width="18" style="72" customWidth="1"/>
    <col min="9254" max="9473" width="9.21875" style="72"/>
    <col min="9474" max="9474" width="5" style="72" customWidth="1"/>
    <col min="9475" max="9475" width="52.44140625" style="72" customWidth="1"/>
    <col min="9476" max="9476" width="21.44140625" style="72" customWidth="1"/>
    <col min="9477" max="9479" width="19.44140625" style="72" customWidth="1"/>
    <col min="9480" max="9480" width="12.44140625" style="72" customWidth="1"/>
    <col min="9481" max="9481" width="9.21875" style="72"/>
    <col min="9482" max="9482" width="6.44140625" style="72" customWidth="1"/>
    <col min="9483" max="9483" width="42.44140625" style="72" customWidth="1"/>
    <col min="9484" max="9484" width="16.44140625" style="72" customWidth="1"/>
    <col min="9485" max="9485" width="17.44140625" style="72" customWidth="1"/>
    <col min="9486" max="9486" width="20.44140625" style="72" customWidth="1"/>
    <col min="9487" max="9487" width="19.44140625" style="72" customWidth="1"/>
    <col min="9488" max="9489" width="8.44140625" style="72" customWidth="1"/>
    <col min="9490" max="9490" width="9.44140625" style="72" customWidth="1"/>
    <col min="9491" max="9492" width="8.44140625" style="72" customWidth="1"/>
    <col min="9493" max="9493" width="8" style="72" customWidth="1"/>
    <col min="9494" max="9495" width="6.44140625" style="72" customWidth="1"/>
    <col min="9496" max="9496" width="15.44140625" style="72" customWidth="1"/>
    <col min="9497" max="9497" width="11.21875" style="72" customWidth="1"/>
    <col min="9498" max="9499" width="7.21875" style="72" customWidth="1"/>
    <col min="9500" max="9502" width="8.44140625" style="72" customWidth="1"/>
    <col min="9503" max="9503" width="12" style="72" customWidth="1"/>
    <col min="9504" max="9505" width="10.77734375" style="72" customWidth="1"/>
    <col min="9506" max="9506" width="12" style="72" customWidth="1"/>
    <col min="9507" max="9507" width="13.44140625" style="72" customWidth="1"/>
    <col min="9508" max="9509" width="18" style="72" customWidth="1"/>
    <col min="9510" max="9729" width="9.21875" style="72"/>
    <col min="9730" max="9730" width="5" style="72" customWidth="1"/>
    <col min="9731" max="9731" width="52.44140625" style="72" customWidth="1"/>
    <col min="9732" max="9732" width="21.44140625" style="72" customWidth="1"/>
    <col min="9733" max="9735" width="19.44140625" style="72" customWidth="1"/>
    <col min="9736" max="9736" width="12.44140625" style="72" customWidth="1"/>
    <col min="9737" max="9737" width="9.21875" style="72"/>
    <col min="9738" max="9738" width="6.44140625" style="72" customWidth="1"/>
    <col min="9739" max="9739" width="42.44140625" style="72" customWidth="1"/>
    <col min="9740" max="9740" width="16.44140625" style="72" customWidth="1"/>
    <col min="9741" max="9741" width="17.44140625" style="72" customWidth="1"/>
    <col min="9742" max="9742" width="20.44140625" style="72" customWidth="1"/>
    <col min="9743" max="9743" width="19.44140625" style="72" customWidth="1"/>
    <col min="9744" max="9745" width="8.44140625" style="72" customWidth="1"/>
    <col min="9746" max="9746" width="9.44140625" style="72" customWidth="1"/>
    <col min="9747" max="9748" width="8.44140625" style="72" customWidth="1"/>
    <col min="9749" max="9749" width="8" style="72" customWidth="1"/>
    <col min="9750" max="9751" width="6.44140625" style="72" customWidth="1"/>
    <col min="9752" max="9752" width="15.44140625" style="72" customWidth="1"/>
    <col min="9753" max="9753" width="11.21875" style="72" customWidth="1"/>
    <col min="9754" max="9755" width="7.21875" style="72" customWidth="1"/>
    <col min="9756" max="9758" width="8.44140625" style="72" customWidth="1"/>
    <col min="9759" max="9759" width="12" style="72" customWidth="1"/>
    <col min="9760" max="9761" width="10.77734375" style="72" customWidth="1"/>
    <col min="9762" max="9762" width="12" style="72" customWidth="1"/>
    <col min="9763" max="9763" width="13.44140625" style="72" customWidth="1"/>
    <col min="9764" max="9765" width="18" style="72" customWidth="1"/>
    <col min="9766" max="9985" width="9.21875" style="72"/>
    <col min="9986" max="9986" width="5" style="72" customWidth="1"/>
    <col min="9987" max="9987" width="52.44140625" style="72" customWidth="1"/>
    <col min="9988" max="9988" width="21.44140625" style="72" customWidth="1"/>
    <col min="9989" max="9991" width="19.44140625" style="72" customWidth="1"/>
    <col min="9992" max="9992" width="12.44140625" style="72" customWidth="1"/>
    <col min="9993" max="9993" width="9.21875" style="72"/>
    <col min="9994" max="9994" width="6.44140625" style="72" customWidth="1"/>
    <col min="9995" max="9995" width="42.44140625" style="72" customWidth="1"/>
    <col min="9996" max="9996" width="16.44140625" style="72" customWidth="1"/>
    <col min="9997" max="9997" width="17.44140625" style="72" customWidth="1"/>
    <col min="9998" max="9998" width="20.44140625" style="72" customWidth="1"/>
    <col min="9999" max="9999" width="19.44140625" style="72" customWidth="1"/>
    <col min="10000" max="10001" width="8.44140625" style="72" customWidth="1"/>
    <col min="10002" max="10002" width="9.44140625" style="72" customWidth="1"/>
    <col min="10003" max="10004" width="8.44140625" style="72" customWidth="1"/>
    <col min="10005" max="10005" width="8" style="72" customWidth="1"/>
    <col min="10006" max="10007" width="6.44140625" style="72" customWidth="1"/>
    <col min="10008" max="10008" width="15.44140625" style="72" customWidth="1"/>
    <col min="10009" max="10009" width="11.21875" style="72" customWidth="1"/>
    <col min="10010" max="10011" width="7.21875" style="72" customWidth="1"/>
    <col min="10012" max="10014" width="8.44140625" style="72" customWidth="1"/>
    <col min="10015" max="10015" width="12" style="72" customWidth="1"/>
    <col min="10016" max="10017" width="10.77734375" style="72" customWidth="1"/>
    <col min="10018" max="10018" width="12" style="72" customWidth="1"/>
    <col min="10019" max="10019" width="13.44140625" style="72" customWidth="1"/>
    <col min="10020" max="10021" width="18" style="72" customWidth="1"/>
    <col min="10022" max="10241" width="9.21875" style="72"/>
    <col min="10242" max="10242" width="5" style="72" customWidth="1"/>
    <col min="10243" max="10243" width="52.44140625" style="72" customWidth="1"/>
    <col min="10244" max="10244" width="21.44140625" style="72" customWidth="1"/>
    <col min="10245" max="10247" width="19.44140625" style="72" customWidth="1"/>
    <col min="10248" max="10248" width="12.44140625" style="72" customWidth="1"/>
    <col min="10249" max="10249" width="9.21875" style="72"/>
    <col min="10250" max="10250" width="6.44140625" style="72" customWidth="1"/>
    <col min="10251" max="10251" width="42.44140625" style="72" customWidth="1"/>
    <col min="10252" max="10252" width="16.44140625" style="72" customWidth="1"/>
    <col min="10253" max="10253" width="17.44140625" style="72" customWidth="1"/>
    <col min="10254" max="10254" width="20.44140625" style="72" customWidth="1"/>
    <col min="10255" max="10255" width="19.44140625" style="72" customWidth="1"/>
    <col min="10256" max="10257" width="8.44140625" style="72" customWidth="1"/>
    <col min="10258" max="10258" width="9.44140625" style="72" customWidth="1"/>
    <col min="10259" max="10260" width="8.44140625" style="72" customWidth="1"/>
    <col min="10261" max="10261" width="8" style="72" customWidth="1"/>
    <col min="10262" max="10263" width="6.44140625" style="72" customWidth="1"/>
    <col min="10264" max="10264" width="15.44140625" style="72" customWidth="1"/>
    <col min="10265" max="10265" width="11.21875" style="72" customWidth="1"/>
    <col min="10266" max="10267" width="7.21875" style="72" customWidth="1"/>
    <col min="10268" max="10270" width="8.44140625" style="72" customWidth="1"/>
    <col min="10271" max="10271" width="12" style="72" customWidth="1"/>
    <col min="10272" max="10273" width="10.77734375" style="72" customWidth="1"/>
    <col min="10274" max="10274" width="12" style="72" customWidth="1"/>
    <col min="10275" max="10275" width="13.44140625" style="72" customWidth="1"/>
    <col min="10276" max="10277" width="18" style="72" customWidth="1"/>
    <col min="10278" max="10497" width="9.21875" style="72"/>
    <col min="10498" max="10498" width="5" style="72" customWidth="1"/>
    <col min="10499" max="10499" width="52.44140625" style="72" customWidth="1"/>
    <col min="10500" max="10500" width="21.44140625" style="72" customWidth="1"/>
    <col min="10501" max="10503" width="19.44140625" style="72" customWidth="1"/>
    <col min="10504" max="10504" width="12.44140625" style="72" customWidth="1"/>
    <col min="10505" max="10505" width="9.21875" style="72"/>
    <col min="10506" max="10506" width="6.44140625" style="72" customWidth="1"/>
    <col min="10507" max="10507" width="42.44140625" style="72" customWidth="1"/>
    <col min="10508" max="10508" width="16.44140625" style="72" customWidth="1"/>
    <col min="10509" max="10509" width="17.44140625" style="72" customWidth="1"/>
    <col min="10510" max="10510" width="20.44140625" style="72" customWidth="1"/>
    <col min="10511" max="10511" width="19.44140625" style="72" customWidth="1"/>
    <col min="10512" max="10513" width="8.44140625" style="72" customWidth="1"/>
    <col min="10514" max="10514" width="9.44140625" style="72" customWidth="1"/>
    <col min="10515" max="10516" width="8.44140625" style="72" customWidth="1"/>
    <col min="10517" max="10517" width="8" style="72" customWidth="1"/>
    <col min="10518" max="10519" width="6.44140625" style="72" customWidth="1"/>
    <col min="10520" max="10520" width="15.44140625" style="72" customWidth="1"/>
    <col min="10521" max="10521" width="11.21875" style="72" customWidth="1"/>
    <col min="10522" max="10523" width="7.21875" style="72" customWidth="1"/>
    <col min="10524" max="10526" width="8.44140625" style="72" customWidth="1"/>
    <col min="10527" max="10527" width="12" style="72" customWidth="1"/>
    <col min="10528" max="10529" width="10.77734375" style="72" customWidth="1"/>
    <col min="10530" max="10530" width="12" style="72" customWidth="1"/>
    <col min="10531" max="10531" width="13.44140625" style="72" customWidth="1"/>
    <col min="10532" max="10533" width="18" style="72" customWidth="1"/>
    <col min="10534" max="10753" width="9.21875" style="72"/>
    <col min="10754" max="10754" width="5" style="72" customWidth="1"/>
    <col min="10755" max="10755" width="52.44140625" style="72" customWidth="1"/>
    <col min="10756" max="10756" width="21.44140625" style="72" customWidth="1"/>
    <col min="10757" max="10759" width="19.44140625" style="72" customWidth="1"/>
    <col min="10760" max="10760" width="12.44140625" style="72" customWidth="1"/>
    <col min="10761" max="10761" width="9.21875" style="72"/>
    <col min="10762" max="10762" width="6.44140625" style="72" customWidth="1"/>
    <col min="10763" max="10763" width="42.44140625" style="72" customWidth="1"/>
    <col min="10764" max="10764" width="16.44140625" style="72" customWidth="1"/>
    <col min="10765" max="10765" width="17.44140625" style="72" customWidth="1"/>
    <col min="10766" max="10766" width="20.44140625" style="72" customWidth="1"/>
    <col min="10767" max="10767" width="19.44140625" style="72" customWidth="1"/>
    <col min="10768" max="10769" width="8.44140625" style="72" customWidth="1"/>
    <col min="10770" max="10770" width="9.44140625" style="72" customWidth="1"/>
    <col min="10771" max="10772" width="8.44140625" style="72" customWidth="1"/>
    <col min="10773" max="10773" width="8" style="72" customWidth="1"/>
    <col min="10774" max="10775" width="6.44140625" style="72" customWidth="1"/>
    <col min="10776" max="10776" width="15.44140625" style="72" customWidth="1"/>
    <col min="10777" max="10777" width="11.21875" style="72" customWidth="1"/>
    <col min="10778" max="10779" width="7.21875" style="72" customWidth="1"/>
    <col min="10780" max="10782" width="8.44140625" style="72" customWidth="1"/>
    <col min="10783" max="10783" width="12" style="72" customWidth="1"/>
    <col min="10784" max="10785" width="10.77734375" style="72" customWidth="1"/>
    <col min="10786" max="10786" width="12" style="72" customWidth="1"/>
    <col min="10787" max="10787" width="13.44140625" style="72" customWidth="1"/>
    <col min="10788" max="10789" width="18" style="72" customWidth="1"/>
    <col min="10790" max="11009" width="9.21875" style="72"/>
    <col min="11010" max="11010" width="5" style="72" customWidth="1"/>
    <col min="11011" max="11011" width="52.44140625" style="72" customWidth="1"/>
    <col min="11012" max="11012" width="21.44140625" style="72" customWidth="1"/>
    <col min="11013" max="11015" width="19.44140625" style="72" customWidth="1"/>
    <col min="11016" max="11016" width="12.44140625" style="72" customWidth="1"/>
    <col min="11017" max="11017" width="9.21875" style="72"/>
    <col min="11018" max="11018" width="6.44140625" style="72" customWidth="1"/>
    <col min="11019" max="11019" width="42.44140625" style="72" customWidth="1"/>
    <col min="11020" max="11020" width="16.44140625" style="72" customWidth="1"/>
    <col min="11021" max="11021" width="17.44140625" style="72" customWidth="1"/>
    <col min="11022" max="11022" width="20.44140625" style="72" customWidth="1"/>
    <col min="11023" max="11023" width="19.44140625" style="72" customWidth="1"/>
    <col min="11024" max="11025" width="8.44140625" style="72" customWidth="1"/>
    <col min="11026" max="11026" width="9.44140625" style="72" customWidth="1"/>
    <col min="11027" max="11028" width="8.44140625" style="72" customWidth="1"/>
    <col min="11029" max="11029" width="8" style="72" customWidth="1"/>
    <col min="11030" max="11031" width="6.44140625" style="72" customWidth="1"/>
    <col min="11032" max="11032" width="15.44140625" style="72" customWidth="1"/>
    <col min="11033" max="11033" width="11.21875" style="72" customWidth="1"/>
    <col min="11034" max="11035" width="7.21875" style="72" customWidth="1"/>
    <col min="11036" max="11038" width="8.44140625" style="72" customWidth="1"/>
    <col min="11039" max="11039" width="12" style="72" customWidth="1"/>
    <col min="11040" max="11041" width="10.77734375" style="72" customWidth="1"/>
    <col min="11042" max="11042" width="12" style="72" customWidth="1"/>
    <col min="11043" max="11043" width="13.44140625" style="72" customWidth="1"/>
    <col min="11044" max="11045" width="18" style="72" customWidth="1"/>
    <col min="11046" max="11265" width="9.21875" style="72"/>
    <col min="11266" max="11266" width="5" style="72" customWidth="1"/>
    <col min="11267" max="11267" width="52.44140625" style="72" customWidth="1"/>
    <col min="11268" max="11268" width="21.44140625" style="72" customWidth="1"/>
    <col min="11269" max="11271" width="19.44140625" style="72" customWidth="1"/>
    <col min="11272" max="11272" width="12.44140625" style="72" customWidth="1"/>
    <col min="11273" max="11273" width="9.21875" style="72"/>
    <col min="11274" max="11274" width="6.44140625" style="72" customWidth="1"/>
    <col min="11275" max="11275" width="42.44140625" style="72" customWidth="1"/>
    <col min="11276" max="11276" width="16.44140625" style="72" customWidth="1"/>
    <col min="11277" max="11277" width="17.44140625" style="72" customWidth="1"/>
    <col min="11278" max="11278" width="20.44140625" style="72" customWidth="1"/>
    <col min="11279" max="11279" width="19.44140625" style="72" customWidth="1"/>
    <col min="11280" max="11281" width="8.44140625" style="72" customWidth="1"/>
    <col min="11282" max="11282" width="9.44140625" style="72" customWidth="1"/>
    <col min="11283" max="11284" width="8.44140625" style="72" customWidth="1"/>
    <col min="11285" max="11285" width="8" style="72" customWidth="1"/>
    <col min="11286" max="11287" width="6.44140625" style="72" customWidth="1"/>
    <col min="11288" max="11288" width="15.44140625" style="72" customWidth="1"/>
    <col min="11289" max="11289" width="11.21875" style="72" customWidth="1"/>
    <col min="11290" max="11291" width="7.21875" style="72" customWidth="1"/>
    <col min="11292" max="11294" width="8.44140625" style="72" customWidth="1"/>
    <col min="11295" max="11295" width="12" style="72" customWidth="1"/>
    <col min="11296" max="11297" width="10.77734375" style="72" customWidth="1"/>
    <col min="11298" max="11298" width="12" style="72" customWidth="1"/>
    <col min="11299" max="11299" width="13.44140625" style="72" customWidth="1"/>
    <col min="11300" max="11301" width="18" style="72" customWidth="1"/>
    <col min="11302" max="11521" width="9.21875" style="72"/>
    <col min="11522" max="11522" width="5" style="72" customWidth="1"/>
    <col min="11523" max="11523" width="52.44140625" style="72" customWidth="1"/>
    <col min="11524" max="11524" width="21.44140625" style="72" customWidth="1"/>
    <col min="11525" max="11527" width="19.44140625" style="72" customWidth="1"/>
    <col min="11528" max="11528" width="12.44140625" style="72" customWidth="1"/>
    <col min="11529" max="11529" width="9.21875" style="72"/>
    <col min="11530" max="11530" width="6.44140625" style="72" customWidth="1"/>
    <col min="11531" max="11531" width="42.44140625" style="72" customWidth="1"/>
    <col min="11532" max="11532" width="16.44140625" style="72" customWidth="1"/>
    <col min="11533" max="11533" width="17.44140625" style="72" customWidth="1"/>
    <col min="11534" max="11534" width="20.44140625" style="72" customWidth="1"/>
    <col min="11535" max="11535" width="19.44140625" style="72" customWidth="1"/>
    <col min="11536" max="11537" width="8.44140625" style="72" customWidth="1"/>
    <col min="11538" max="11538" width="9.44140625" style="72" customWidth="1"/>
    <col min="11539" max="11540" width="8.44140625" style="72" customWidth="1"/>
    <col min="11541" max="11541" width="8" style="72" customWidth="1"/>
    <col min="11542" max="11543" width="6.44140625" style="72" customWidth="1"/>
    <col min="11544" max="11544" width="15.44140625" style="72" customWidth="1"/>
    <col min="11545" max="11545" width="11.21875" style="72" customWidth="1"/>
    <col min="11546" max="11547" width="7.21875" style="72" customWidth="1"/>
    <col min="11548" max="11550" width="8.44140625" style="72" customWidth="1"/>
    <col min="11551" max="11551" width="12" style="72" customWidth="1"/>
    <col min="11552" max="11553" width="10.77734375" style="72" customWidth="1"/>
    <col min="11554" max="11554" width="12" style="72" customWidth="1"/>
    <col min="11555" max="11555" width="13.44140625" style="72" customWidth="1"/>
    <col min="11556" max="11557" width="18" style="72" customWidth="1"/>
    <col min="11558" max="11777" width="9.21875" style="72"/>
    <col min="11778" max="11778" width="5" style="72" customWidth="1"/>
    <col min="11779" max="11779" width="52.44140625" style="72" customWidth="1"/>
    <col min="11780" max="11780" width="21.44140625" style="72" customWidth="1"/>
    <col min="11781" max="11783" width="19.44140625" style="72" customWidth="1"/>
    <col min="11784" max="11784" width="12.44140625" style="72" customWidth="1"/>
    <col min="11785" max="11785" width="9.21875" style="72"/>
    <col min="11786" max="11786" width="6.44140625" style="72" customWidth="1"/>
    <col min="11787" max="11787" width="42.44140625" style="72" customWidth="1"/>
    <col min="11788" max="11788" width="16.44140625" style="72" customWidth="1"/>
    <col min="11789" max="11789" width="17.44140625" style="72" customWidth="1"/>
    <col min="11790" max="11790" width="20.44140625" style="72" customWidth="1"/>
    <col min="11791" max="11791" width="19.44140625" style="72" customWidth="1"/>
    <col min="11792" max="11793" width="8.44140625" style="72" customWidth="1"/>
    <col min="11794" max="11794" width="9.44140625" style="72" customWidth="1"/>
    <col min="11795" max="11796" width="8.44140625" style="72" customWidth="1"/>
    <col min="11797" max="11797" width="8" style="72" customWidth="1"/>
    <col min="11798" max="11799" width="6.44140625" style="72" customWidth="1"/>
    <col min="11800" max="11800" width="15.44140625" style="72" customWidth="1"/>
    <col min="11801" max="11801" width="11.21875" style="72" customWidth="1"/>
    <col min="11802" max="11803" width="7.21875" style="72" customWidth="1"/>
    <col min="11804" max="11806" width="8.44140625" style="72" customWidth="1"/>
    <col min="11807" max="11807" width="12" style="72" customWidth="1"/>
    <col min="11808" max="11809" width="10.77734375" style="72" customWidth="1"/>
    <col min="11810" max="11810" width="12" style="72" customWidth="1"/>
    <col min="11811" max="11811" width="13.44140625" style="72" customWidth="1"/>
    <col min="11812" max="11813" width="18" style="72" customWidth="1"/>
    <col min="11814" max="12033" width="9.21875" style="72"/>
    <col min="12034" max="12034" width="5" style="72" customWidth="1"/>
    <col min="12035" max="12035" width="52.44140625" style="72" customWidth="1"/>
    <col min="12036" max="12036" width="21.44140625" style="72" customWidth="1"/>
    <col min="12037" max="12039" width="19.44140625" style="72" customWidth="1"/>
    <col min="12040" max="12040" width="12.44140625" style="72" customWidth="1"/>
    <col min="12041" max="12041" width="9.21875" style="72"/>
    <col min="12042" max="12042" width="6.44140625" style="72" customWidth="1"/>
    <col min="12043" max="12043" width="42.44140625" style="72" customWidth="1"/>
    <col min="12044" max="12044" width="16.44140625" style="72" customWidth="1"/>
    <col min="12045" max="12045" width="17.44140625" style="72" customWidth="1"/>
    <col min="12046" max="12046" width="20.44140625" style="72" customWidth="1"/>
    <col min="12047" max="12047" width="19.44140625" style="72" customWidth="1"/>
    <col min="12048" max="12049" width="8.44140625" style="72" customWidth="1"/>
    <col min="12050" max="12050" width="9.44140625" style="72" customWidth="1"/>
    <col min="12051" max="12052" width="8.44140625" style="72" customWidth="1"/>
    <col min="12053" max="12053" width="8" style="72" customWidth="1"/>
    <col min="12054" max="12055" width="6.44140625" style="72" customWidth="1"/>
    <col min="12056" max="12056" width="15.44140625" style="72" customWidth="1"/>
    <col min="12057" max="12057" width="11.21875" style="72" customWidth="1"/>
    <col min="12058" max="12059" width="7.21875" style="72" customWidth="1"/>
    <col min="12060" max="12062" width="8.44140625" style="72" customWidth="1"/>
    <col min="12063" max="12063" width="12" style="72" customWidth="1"/>
    <col min="12064" max="12065" width="10.77734375" style="72" customWidth="1"/>
    <col min="12066" max="12066" width="12" style="72" customWidth="1"/>
    <col min="12067" max="12067" width="13.44140625" style="72" customWidth="1"/>
    <col min="12068" max="12069" width="18" style="72" customWidth="1"/>
    <col min="12070" max="12289" width="9.21875" style="72"/>
    <col min="12290" max="12290" width="5" style="72" customWidth="1"/>
    <col min="12291" max="12291" width="52.44140625" style="72" customWidth="1"/>
    <col min="12292" max="12292" width="21.44140625" style="72" customWidth="1"/>
    <col min="12293" max="12295" width="19.44140625" style="72" customWidth="1"/>
    <col min="12296" max="12296" width="12.44140625" style="72" customWidth="1"/>
    <col min="12297" max="12297" width="9.21875" style="72"/>
    <col min="12298" max="12298" width="6.44140625" style="72" customWidth="1"/>
    <col min="12299" max="12299" width="42.44140625" style="72" customWidth="1"/>
    <col min="12300" max="12300" width="16.44140625" style="72" customWidth="1"/>
    <col min="12301" max="12301" width="17.44140625" style="72" customWidth="1"/>
    <col min="12302" max="12302" width="20.44140625" style="72" customWidth="1"/>
    <col min="12303" max="12303" width="19.44140625" style="72" customWidth="1"/>
    <col min="12304" max="12305" width="8.44140625" style="72" customWidth="1"/>
    <col min="12306" max="12306" width="9.44140625" style="72" customWidth="1"/>
    <col min="12307" max="12308" width="8.44140625" style="72" customWidth="1"/>
    <col min="12309" max="12309" width="8" style="72" customWidth="1"/>
    <col min="12310" max="12311" width="6.44140625" style="72" customWidth="1"/>
    <col min="12312" max="12312" width="15.44140625" style="72" customWidth="1"/>
    <col min="12313" max="12313" width="11.21875" style="72" customWidth="1"/>
    <col min="12314" max="12315" width="7.21875" style="72" customWidth="1"/>
    <col min="12316" max="12318" width="8.44140625" style="72" customWidth="1"/>
    <col min="12319" max="12319" width="12" style="72" customWidth="1"/>
    <col min="12320" max="12321" width="10.77734375" style="72" customWidth="1"/>
    <col min="12322" max="12322" width="12" style="72" customWidth="1"/>
    <col min="12323" max="12323" width="13.44140625" style="72" customWidth="1"/>
    <col min="12324" max="12325" width="18" style="72" customWidth="1"/>
    <col min="12326" max="12545" width="9.21875" style="72"/>
    <col min="12546" max="12546" width="5" style="72" customWidth="1"/>
    <col min="12547" max="12547" width="52.44140625" style="72" customWidth="1"/>
    <col min="12548" max="12548" width="21.44140625" style="72" customWidth="1"/>
    <col min="12549" max="12551" width="19.44140625" style="72" customWidth="1"/>
    <col min="12552" max="12552" width="12.44140625" style="72" customWidth="1"/>
    <col min="12553" max="12553" width="9.21875" style="72"/>
    <col min="12554" max="12554" width="6.44140625" style="72" customWidth="1"/>
    <col min="12555" max="12555" width="42.44140625" style="72" customWidth="1"/>
    <col min="12556" max="12556" width="16.44140625" style="72" customWidth="1"/>
    <col min="12557" max="12557" width="17.44140625" style="72" customWidth="1"/>
    <col min="12558" max="12558" width="20.44140625" style="72" customWidth="1"/>
    <col min="12559" max="12559" width="19.44140625" style="72" customWidth="1"/>
    <col min="12560" max="12561" width="8.44140625" style="72" customWidth="1"/>
    <col min="12562" max="12562" width="9.44140625" style="72" customWidth="1"/>
    <col min="12563" max="12564" width="8.44140625" style="72" customWidth="1"/>
    <col min="12565" max="12565" width="8" style="72" customWidth="1"/>
    <col min="12566" max="12567" width="6.44140625" style="72" customWidth="1"/>
    <col min="12568" max="12568" width="15.44140625" style="72" customWidth="1"/>
    <col min="12569" max="12569" width="11.21875" style="72" customWidth="1"/>
    <col min="12570" max="12571" width="7.21875" style="72" customWidth="1"/>
    <col min="12572" max="12574" width="8.44140625" style="72" customWidth="1"/>
    <col min="12575" max="12575" width="12" style="72" customWidth="1"/>
    <col min="12576" max="12577" width="10.77734375" style="72" customWidth="1"/>
    <col min="12578" max="12578" width="12" style="72" customWidth="1"/>
    <col min="12579" max="12579" width="13.44140625" style="72" customWidth="1"/>
    <col min="12580" max="12581" width="18" style="72" customWidth="1"/>
    <col min="12582" max="12801" width="9.21875" style="72"/>
    <col min="12802" max="12802" width="5" style="72" customWidth="1"/>
    <col min="12803" max="12803" width="52.44140625" style="72" customWidth="1"/>
    <col min="12804" max="12804" width="21.44140625" style="72" customWidth="1"/>
    <col min="12805" max="12807" width="19.44140625" style="72" customWidth="1"/>
    <col min="12808" max="12808" width="12.44140625" style="72" customWidth="1"/>
    <col min="12809" max="12809" width="9.21875" style="72"/>
    <col min="12810" max="12810" width="6.44140625" style="72" customWidth="1"/>
    <col min="12811" max="12811" width="42.44140625" style="72" customWidth="1"/>
    <col min="12812" max="12812" width="16.44140625" style="72" customWidth="1"/>
    <col min="12813" max="12813" width="17.44140625" style="72" customWidth="1"/>
    <col min="12814" max="12814" width="20.44140625" style="72" customWidth="1"/>
    <col min="12815" max="12815" width="19.44140625" style="72" customWidth="1"/>
    <col min="12816" max="12817" width="8.44140625" style="72" customWidth="1"/>
    <col min="12818" max="12818" width="9.44140625" style="72" customWidth="1"/>
    <col min="12819" max="12820" width="8.44140625" style="72" customWidth="1"/>
    <col min="12821" max="12821" width="8" style="72" customWidth="1"/>
    <col min="12822" max="12823" width="6.44140625" style="72" customWidth="1"/>
    <col min="12824" max="12824" width="15.44140625" style="72" customWidth="1"/>
    <col min="12825" max="12825" width="11.21875" style="72" customWidth="1"/>
    <col min="12826" max="12827" width="7.21875" style="72" customWidth="1"/>
    <col min="12828" max="12830" width="8.44140625" style="72" customWidth="1"/>
    <col min="12831" max="12831" width="12" style="72" customWidth="1"/>
    <col min="12832" max="12833" width="10.77734375" style="72" customWidth="1"/>
    <col min="12834" max="12834" width="12" style="72" customWidth="1"/>
    <col min="12835" max="12835" width="13.44140625" style="72" customWidth="1"/>
    <col min="12836" max="12837" width="18" style="72" customWidth="1"/>
    <col min="12838" max="13057" width="9.21875" style="72"/>
    <col min="13058" max="13058" width="5" style="72" customWidth="1"/>
    <col min="13059" max="13059" width="52.44140625" style="72" customWidth="1"/>
    <col min="13060" max="13060" width="21.44140625" style="72" customWidth="1"/>
    <col min="13061" max="13063" width="19.44140625" style="72" customWidth="1"/>
    <col min="13064" max="13064" width="12.44140625" style="72" customWidth="1"/>
    <col min="13065" max="13065" width="9.21875" style="72"/>
    <col min="13066" max="13066" width="6.44140625" style="72" customWidth="1"/>
    <col min="13067" max="13067" width="42.44140625" style="72" customWidth="1"/>
    <col min="13068" max="13068" width="16.44140625" style="72" customWidth="1"/>
    <col min="13069" max="13069" width="17.44140625" style="72" customWidth="1"/>
    <col min="13070" max="13070" width="20.44140625" style="72" customWidth="1"/>
    <col min="13071" max="13071" width="19.44140625" style="72" customWidth="1"/>
    <col min="13072" max="13073" width="8.44140625" style="72" customWidth="1"/>
    <col min="13074" max="13074" width="9.44140625" style="72" customWidth="1"/>
    <col min="13075" max="13076" width="8.44140625" style="72" customWidth="1"/>
    <col min="13077" max="13077" width="8" style="72" customWidth="1"/>
    <col min="13078" max="13079" width="6.44140625" style="72" customWidth="1"/>
    <col min="13080" max="13080" width="15.44140625" style="72" customWidth="1"/>
    <col min="13081" max="13081" width="11.21875" style="72" customWidth="1"/>
    <col min="13082" max="13083" width="7.21875" style="72" customWidth="1"/>
    <col min="13084" max="13086" width="8.44140625" style="72" customWidth="1"/>
    <col min="13087" max="13087" width="12" style="72" customWidth="1"/>
    <col min="13088" max="13089" width="10.77734375" style="72" customWidth="1"/>
    <col min="13090" max="13090" width="12" style="72" customWidth="1"/>
    <col min="13091" max="13091" width="13.44140625" style="72" customWidth="1"/>
    <col min="13092" max="13093" width="18" style="72" customWidth="1"/>
    <col min="13094" max="13313" width="9.21875" style="72"/>
    <col min="13314" max="13314" width="5" style="72" customWidth="1"/>
    <col min="13315" max="13315" width="52.44140625" style="72" customWidth="1"/>
    <col min="13316" max="13316" width="21.44140625" style="72" customWidth="1"/>
    <col min="13317" max="13319" width="19.44140625" style="72" customWidth="1"/>
    <col min="13320" max="13320" width="12.44140625" style="72" customWidth="1"/>
    <col min="13321" max="13321" width="9.21875" style="72"/>
    <col min="13322" max="13322" width="6.44140625" style="72" customWidth="1"/>
    <col min="13323" max="13323" width="42.44140625" style="72" customWidth="1"/>
    <col min="13324" max="13324" width="16.44140625" style="72" customWidth="1"/>
    <col min="13325" max="13325" width="17.44140625" style="72" customWidth="1"/>
    <col min="13326" max="13326" width="20.44140625" style="72" customWidth="1"/>
    <col min="13327" max="13327" width="19.44140625" style="72" customWidth="1"/>
    <col min="13328" max="13329" width="8.44140625" style="72" customWidth="1"/>
    <col min="13330" max="13330" width="9.44140625" style="72" customWidth="1"/>
    <col min="13331" max="13332" width="8.44140625" style="72" customWidth="1"/>
    <col min="13333" max="13333" width="8" style="72" customWidth="1"/>
    <col min="13334" max="13335" width="6.44140625" style="72" customWidth="1"/>
    <col min="13336" max="13336" width="15.44140625" style="72" customWidth="1"/>
    <col min="13337" max="13337" width="11.21875" style="72" customWidth="1"/>
    <col min="13338" max="13339" width="7.21875" style="72" customWidth="1"/>
    <col min="13340" max="13342" width="8.44140625" style="72" customWidth="1"/>
    <col min="13343" max="13343" width="12" style="72" customWidth="1"/>
    <col min="13344" max="13345" width="10.77734375" style="72" customWidth="1"/>
    <col min="13346" max="13346" width="12" style="72" customWidth="1"/>
    <col min="13347" max="13347" width="13.44140625" style="72" customWidth="1"/>
    <col min="13348" max="13349" width="18" style="72" customWidth="1"/>
    <col min="13350" max="13569" width="9.21875" style="72"/>
    <col min="13570" max="13570" width="5" style="72" customWidth="1"/>
    <col min="13571" max="13571" width="52.44140625" style="72" customWidth="1"/>
    <col min="13572" max="13572" width="21.44140625" style="72" customWidth="1"/>
    <col min="13573" max="13575" width="19.44140625" style="72" customWidth="1"/>
    <col min="13576" max="13576" width="12.44140625" style="72" customWidth="1"/>
    <col min="13577" max="13577" width="9.21875" style="72"/>
    <col min="13578" max="13578" width="6.44140625" style="72" customWidth="1"/>
    <col min="13579" max="13579" width="42.44140625" style="72" customWidth="1"/>
    <col min="13580" max="13580" width="16.44140625" style="72" customWidth="1"/>
    <col min="13581" max="13581" width="17.44140625" style="72" customWidth="1"/>
    <col min="13582" max="13582" width="20.44140625" style="72" customWidth="1"/>
    <col min="13583" max="13583" width="19.44140625" style="72" customWidth="1"/>
    <col min="13584" max="13585" width="8.44140625" style="72" customWidth="1"/>
    <col min="13586" max="13586" width="9.44140625" style="72" customWidth="1"/>
    <col min="13587" max="13588" width="8.44140625" style="72" customWidth="1"/>
    <col min="13589" max="13589" width="8" style="72" customWidth="1"/>
    <col min="13590" max="13591" width="6.44140625" style="72" customWidth="1"/>
    <col min="13592" max="13592" width="15.44140625" style="72" customWidth="1"/>
    <col min="13593" max="13593" width="11.21875" style="72" customWidth="1"/>
    <col min="13594" max="13595" width="7.21875" style="72" customWidth="1"/>
    <col min="13596" max="13598" width="8.44140625" style="72" customWidth="1"/>
    <col min="13599" max="13599" width="12" style="72" customWidth="1"/>
    <col min="13600" max="13601" width="10.77734375" style="72" customWidth="1"/>
    <col min="13602" max="13602" width="12" style="72" customWidth="1"/>
    <col min="13603" max="13603" width="13.44140625" style="72" customWidth="1"/>
    <col min="13604" max="13605" width="18" style="72" customWidth="1"/>
    <col min="13606" max="13825" width="9.21875" style="72"/>
    <col min="13826" max="13826" width="5" style="72" customWidth="1"/>
    <col min="13827" max="13827" width="52.44140625" style="72" customWidth="1"/>
    <col min="13828" max="13828" width="21.44140625" style="72" customWidth="1"/>
    <col min="13829" max="13831" width="19.44140625" style="72" customWidth="1"/>
    <col min="13832" max="13832" width="12.44140625" style="72" customWidth="1"/>
    <col min="13833" max="13833" width="9.21875" style="72"/>
    <col min="13834" max="13834" width="6.44140625" style="72" customWidth="1"/>
    <col min="13835" max="13835" width="42.44140625" style="72" customWidth="1"/>
    <col min="13836" max="13836" width="16.44140625" style="72" customWidth="1"/>
    <col min="13837" max="13837" width="17.44140625" style="72" customWidth="1"/>
    <col min="13838" max="13838" width="20.44140625" style="72" customWidth="1"/>
    <col min="13839" max="13839" width="19.44140625" style="72" customWidth="1"/>
    <col min="13840" max="13841" width="8.44140625" style="72" customWidth="1"/>
    <col min="13842" max="13842" width="9.44140625" style="72" customWidth="1"/>
    <col min="13843" max="13844" width="8.44140625" style="72" customWidth="1"/>
    <col min="13845" max="13845" width="8" style="72" customWidth="1"/>
    <col min="13846" max="13847" width="6.44140625" style="72" customWidth="1"/>
    <col min="13848" max="13848" width="15.44140625" style="72" customWidth="1"/>
    <col min="13849" max="13849" width="11.21875" style="72" customWidth="1"/>
    <col min="13850" max="13851" width="7.21875" style="72" customWidth="1"/>
    <col min="13852" max="13854" width="8.44140625" style="72" customWidth="1"/>
    <col min="13855" max="13855" width="12" style="72" customWidth="1"/>
    <col min="13856" max="13857" width="10.77734375" style="72" customWidth="1"/>
    <col min="13858" max="13858" width="12" style="72" customWidth="1"/>
    <col min="13859" max="13859" width="13.44140625" style="72" customWidth="1"/>
    <col min="13860" max="13861" width="18" style="72" customWidth="1"/>
    <col min="13862" max="14081" width="9.21875" style="72"/>
    <col min="14082" max="14082" width="5" style="72" customWidth="1"/>
    <col min="14083" max="14083" width="52.44140625" style="72" customWidth="1"/>
    <col min="14084" max="14084" width="21.44140625" style="72" customWidth="1"/>
    <col min="14085" max="14087" width="19.44140625" style="72" customWidth="1"/>
    <col min="14088" max="14088" width="12.44140625" style="72" customWidth="1"/>
    <col min="14089" max="14089" width="9.21875" style="72"/>
    <col min="14090" max="14090" width="6.44140625" style="72" customWidth="1"/>
    <col min="14091" max="14091" width="42.44140625" style="72" customWidth="1"/>
    <col min="14092" max="14092" width="16.44140625" style="72" customWidth="1"/>
    <col min="14093" max="14093" width="17.44140625" style="72" customWidth="1"/>
    <col min="14094" max="14094" width="20.44140625" style="72" customWidth="1"/>
    <col min="14095" max="14095" width="19.44140625" style="72" customWidth="1"/>
    <col min="14096" max="14097" width="8.44140625" style="72" customWidth="1"/>
    <col min="14098" max="14098" width="9.44140625" style="72" customWidth="1"/>
    <col min="14099" max="14100" width="8.44140625" style="72" customWidth="1"/>
    <col min="14101" max="14101" width="8" style="72" customWidth="1"/>
    <col min="14102" max="14103" width="6.44140625" style="72" customWidth="1"/>
    <col min="14104" max="14104" width="15.44140625" style="72" customWidth="1"/>
    <col min="14105" max="14105" width="11.21875" style="72" customWidth="1"/>
    <col min="14106" max="14107" width="7.21875" style="72" customWidth="1"/>
    <col min="14108" max="14110" width="8.44140625" style="72" customWidth="1"/>
    <col min="14111" max="14111" width="12" style="72" customWidth="1"/>
    <col min="14112" max="14113" width="10.77734375" style="72" customWidth="1"/>
    <col min="14114" max="14114" width="12" style="72" customWidth="1"/>
    <col min="14115" max="14115" width="13.44140625" style="72" customWidth="1"/>
    <col min="14116" max="14117" width="18" style="72" customWidth="1"/>
    <col min="14118" max="14337" width="9.21875" style="72"/>
    <col min="14338" max="14338" width="5" style="72" customWidth="1"/>
    <col min="14339" max="14339" width="52.44140625" style="72" customWidth="1"/>
    <col min="14340" max="14340" width="21.44140625" style="72" customWidth="1"/>
    <col min="14341" max="14343" width="19.44140625" style="72" customWidth="1"/>
    <col min="14344" max="14344" width="12.44140625" style="72" customWidth="1"/>
    <col min="14345" max="14345" width="9.21875" style="72"/>
    <col min="14346" max="14346" width="6.44140625" style="72" customWidth="1"/>
    <col min="14347" max="14347" width="42.44140625" style="72" customWidth="1"/>
    <col min="14348" max="14348" width="16.44140625" style="72" customWidth="1"/>
    <col min="14349" max="14349" width="17.44140625" style="72" customWidth="1"/>
    <col min="14350" max="14350" width="20.44140625" style="72" customWidth="1"/>
    <col min="14351" max="14351" width="19.44140625" style="72" customWidth="1"/>
    <col min="14352" max="14353" width="8.44140625" style="72" customWidth="1"/>
    <col min="14354" max="14354" width="9.44140625" style="72" customWidth="1"/>
    <col min="14355" max="14356" width="8.44140625" style="72" customWidth="1"/>
    <col min="14357" max="14357" width="8" style="72" customWidth="1"/>
    <col min="14358" max="14359" width="6.44140625" style="72" customWidth="1"/>
    <col min="14360" max="14360" width="15.44140625" style="72" customWidth="1"/>
    <col min="14361" max="14361" width="11.21875" style="72" customWidth="1"/>
    <col min="14362" max="14363" width="7.21875" style="72" customWidth="1"/>
    <col min="14364" max="14366" width="8.44140625" style="72" customWidth="1"/>
    <col min="14367" max="14367" width="12" style="72" customWidth="1"/>
    <col min="14368" max="14369" width="10.77734375" style="72" customWidth="1"/>
    <col min="14370" max="14370" width="12" style="72" customWidth="1"/>
    <col min="14371" max="14371" width="13.44140625" style="72" customWidth="1"/>
    <col min="14372" max="14373" width="18" style="72" customWidth="1"/>
    <col min="14374" max="14593" width="9.21875" style="72"/>
    <col min="14594" max="14594" width="5" style="72" customWidth="1"/>
    <col min="14595" max="14595" width="52.44140625" style="72" customWidth="1"/>
    <col min="14596" max="14596" width="21.44140625" style="72" customWidth="1"/>
    <col min="14597" max="14599" width="19.44140625" style="72" customWidth="1"/>
    <col min="14600" max="14600" width="12.44140625" style="72" customWidth="1"/>
    <col min="14601" max="14601" width="9.21875" style="72"/>
    <col min="14602" max="14602" width="6.44140625" style="72" customWidth="1"/>
    <col min="14603" max="14603" width="42.44140625" style="72" customWidth="1"/>
    <col min="14604" max="14604" width="16.44140625" style="72" customWidth="1"/>
    <col min="14605" max="14605" width="17.44140625" style="72" customWidth="1"/>
    <col min="14606" max="14606" width="20.44140625" style="72" customWidth="1"/>
    <col min="14607" max="14607" width="19.44140625" style="72" customWidth="1"/>
    <col min="14608" max="14609" width="8.44140625" style="72" customWidth="1"/>
    <col min="14610" max="14610" width="9.44140625" style="72" customWidth="1"/>
    <col min="14611" max="14612" width="8.44140625" style="72" customWidth="1"/>
    <col min="14613" max="14613" width="8" style="72" customWidth="1"/>
    <col min="14614" max="14615" width="6.44140625" style="72" customWidth="1"/>
    <col min="14616" max="14616" width="15.44140625" style="72" customWidth="1"/>
    <col min="14617" max="14617" width="11.21875" style="72" customWidth="1"/>
    <col min="14618" max="14619" width="7.21875" style="72" customWidth="1"/>
    <col min="14620" max="14622" width="8.44140625" style="72" customWidth="1"/>
    <col min="14623" max="14623" width="12" style="72" customWidth="1"/>
    <col min="14624" max="14625" width="10.77734375" style="72" customWidth="1"/>
    <col min="14626" max="14626" width="12" style="72" customWidth="1"/>
    <col min="14627" max="14627" width="13.44140625" style="72" customWidth="1"/>
    <col min="14628" max="14629" width="18" style="72" customWidth="1"/>
    <col min="14630" max="14849" width="9.21875" style="72"/>
    <col min="14850" max="14850" width="5" style="72" customWidth="1"/>
    <col min="14851" max="14851" width="52.44140625" style="72" customWidth="1"/>
    <col min="14852" max="14852" width="21.44140625" style="72" customWidth="1"/>
    <col min="14853" max="14855" width="19.44140625" style="72" customWidth="1"/>
    <col min="14856" max="14856" width="12.44140625" style="72" customWidth="1"/>
    <col min="14857" max="14857" width="9.21875" style="72"/>
    <col min="14858" max="14858" width="6.44140625" style="72" customWidth="1"/>
    <col min="14859" max="14859" width="42.44140625" style="72" customWidth="1"/>
    <col min="14860" max="14860" width="16.44140625" style="72" customWidth="1"/>
    <col min="14861" max="14861" width="17.44140625" style="72" customWidth="1"/>
    <col min="14862" max="14862" width="20.44140625" style="72" customWidth="1"/>
    <col min="14863" max="14863" width="19.44140625" style="72" customWidth="1"/>
    <col min="14864" max="14865" width="8.44140625" style="72" customWidth="1"/>
    <col min="14866" max="14866" width="9.44140625" style="72" customWidth="1"/>
    <col min="14867" max="14868" width="8.44140625" style="72" customWidth="1"/>
    <col min="14869" max="14869" width="8" style="72" customWidth="1"/>
    <col min="14870" max="14871" width="6.44140625" style="72" customWidth="1"/>
    <col min="14872" max="14872" width="15.44140625" style="72" customWidth="1"/>
    <col min="14873" max="14873" width="11.21875" style="72" customWidth="1"/>
    <col min="14874" max="14875" width="7.21875" style="72" customWidth="1"/>
    <col min="14876" max="14878" width="8.44140625" style="72" customWidth="1"/>
    <col min="14879" max="14879" width="12" style="72" customWidth="1"/>
    <col min="14880" max="14881" width="10.77734375" style="72" customWidth="1"/>
    <col min="14882" max="14882" width="12" style="72" customWidth="1"/>
    <col min="14883" max="14883" width="13.44140625" style="72" customWidth="1"/>
    <col min="14884" max="14885" width="18" style="72" customWidth="1"/>
    <col min="14886" max="15105" width="9.21875" style="72"/>
    <col min="15106" max="15106" width="5" style="72" customWidth="1"/>
    <col min="15107" max="15107" width="52.44140625" style="72" customWidth="1"/>
    <col min="15108" max="15108" width="21.44140625" style="72" customWidth="1"/>
    <col min="15109" max="15111" width="19.44140625" style="72" customWidth="1"/>
    <col min="15112" max="15112" width="12.44140625" style="72" customWidth="1"/>
    <col min="15113" max="15113" width="9.21875" style="72"/>
    <col min="15114" max="15114" width="6.44140625" style="72" customWidth="1"/>
    <col min="15115" max="15115" width="42.44140625" style="72" customWidth="1"/>
    <col min="15116" max="15116" width="16.44140625" style="72" customWidth="1"/>
    <col min="15117" max="15117" width="17.44140625" style="72" customWidth="1"/>
    <col min="15118" max="15118" width="20.44140625" style="72" customWidth="1"/>
    <col min="15119" max="15119" width="19.44140625" style="72" customWidth="1"/>
    <col min="15120" max="15121" width="8.44140625" style="72" customWidth="1"/>
    <col min="15122" max="15122" width="9.44140625" style="72" customWidth="1"/>
    <col min="15123" max="15124" width="8.44140625" style="72" customWidth="1"/>
    <col min="15125" max="15125" width="8" style="72" customWidth="1"/>
    <col min="15126" max="15127" width="6.44140625" style="72" customWidth="1"/>
    <col min="15128" max="15128" width="15.44140625" style="72" customWidth="1"/>
    <col min="15129" max="15129" width="11.21875" style="72" customWidth="1"/>
    <col min="15130" max="15131" width="7.21875" style="72" customWidth="1"/>
    <col min="15132" max="15134" width="8.44140625" style="72" customWidth="1"/>
    <col min="15135" max="15135" width="12" style="72" customWidth="1"/>
    <col min="15136" max="15137" width="10.77734375" style="72" customWidth="1"/>
    <col min="15138" max="15138" width="12" style="72" customWidth="1"/>
    <col min="15139" max="15139" width="13.44140625" style="72" customWidth="1"/>
    <col min="15140" max="15141" width="18" style="72" customWidth="1"/>
    <col min="15142" max="15361" width="9.21875" style="72"/>
    <col min="15362" max="15362" width="5" style="72" customWidth="1"/>
    <col min="15363" max="15363" width="52.44140625" style="72" customWidth="1"/>
    <col min="15364" max="15364" width="21.44140625" style="72" customWidth="1"/>
    <col min="15365" max="15367" width="19.44140625" style="72" customWidth="1"/>
    <col min="15368" max="15368" width="12.44140625" style="72" customWidth="1"/>
    <col min="15369" max="15369" width="9.21875" style="72"/>
    <col min="15370" max="15370" width="6.44140625" style="72" customWidth="1"/>
    <col min="15371" max="15371" width="42.44140625" style="72" customWidth="1"/>
    <col min="15372" max="15372" width="16.44140625" style="72" customWidth="1"/>
    <col min="15373" max="15373" width="17.44140625" style="72" customWidth="1"/>
    <col min="15374" max="15374" width="20.44140625" style="72" customWidth="1"/>
    <col min="15375" max="15375" width="19.44140625" style="72" customWidth="1"/>
    <col min="15376" max="15377" width="8.44140625" style="72" customWidth="1"/>
    <col min="15378" max="15378" width="9.44140625" style="72" customWidth="1"/>
    <col min="15379" max="15380" width="8.44140625" style="72" customWidth="1"/>
    <col min="15381" max="15381" width="8" style="72" customWidth="1"/>
    <col min="15382" max="15383" width="6.44140625" style="72" customWidth="1"/>
    <col min="15384" max="15384" width="15.44140625" style="72" customWidth="1"/>
    <col min="15385" max="15385" width="11.21875" style="72" customWidth="1"/>
    <col min="15386" max="15387" width="7.21875" style="72" customWidth="1"/>
    <col min="15388" max="15390" width="8.44140625" style="72" customWidth="1"/>
    <col min="15391" max="15391" width="12" style="72" customWidth="1"/>
    <col min="15392" max="15393" width="10.77734375" style="72" customWidth="1"/>
    <col min="15394" max="15394" width="12" style="72" customWidth="1"/>
    <col min="15395" max="15395" width="13.44140625" style="72" customWidth="1"/>
    <col min="15396" max="15397" width="18" style="72" customWidth="1"/>
    <col min="15398" max="15617" width="9.21875" style="72"/>
    <col min="15618" max="15618" width="5" style="72" customWidth="1"/>
    <col min="15619" max="15619" width="52.44140625" style="72" customWidth="1"/>
    <col min="15620" max="15620" width="21.44140625" style="72" customWidth="1"/>
    <col min="15621" max="15623" width="19.44140625" style="72" customWidth="1"/>
    <col min="15624" max="15624" width="12.44140625" style="72" customWidth="1"/>
    <col min="15625" max="15625" width="9.21875" style="72"/>
    <col min="15626" max="15626" width="6.44140625" style="72" customWidth="1"/>
    <col min="15627" max="15627" width="42.44140625" style="72" customWidth="1"/>
    <col min="15628" max="15628" width="16.44140625" style="72" customWidth="1"/>
    <col min="15629" max="15629" width="17.44140625" style="72" customWidth="1"/>
    <col min="15630" max="15630" width="20.44140625" style="72" customWidth="1"/>
    <col min="15631" max="15631" width="19.44140625" style="72" customWidth="1"/>
    <col min="15632" max="15633" width="8.44140625" style="72" customWidth="1"/>
    <col min="15634" max="15634" width="9.44140625" style="72" customWidth="1"/>
    <col min="15635" max="15636" width="8.44140625" style="72" customWidth="1"/>
    <col min="15637" max="15637" width="8" style="72" customWidth="1"/>
    <col min="15638" max="15639" width="6.44140625" style="72" customWidth="1"/>
    <col min="15640" max="15640" width="15.44140625" style="72" customWidth="1"/>
    <col min="15641" max="15641" width="11.21875" style="72" customWidth="1"/>
    <col min="15642" max="15643" width="7.21875" style="72" customWidth="1"/>
    <col min="15644" max="15646" width="8.44140625" style="72" customWidth="1"/>
    <col min="15647" max="15647" width="12" style="72" customWidth="1"/>
    <col min="15648" max="15649" width="10.77734375" style="72" customWidth="1"/>
    <col min="15650" max="15650" width="12" style="72" customWidth="1"/>
    <col min="15651" max="15651" width="13.44140625" style="72" customWidth="1"/>
    <col min="15652" max="15653" width="18" style="72" customWidth="1"/>
    <col min="15654" max="15873" width="9.21875" style="72"/>
    <col min="15874" max="15874" width="5" style="72" customWidth="1"/>
    <col min="15875" max="15875" width="52.44140625" style="72" customWidth="1"/>
    <col min="15876" max="15876" width="21.44140625" style="72" customWidth="1"/>
    <col min="15877" max="15879" width="19.44140625" style="72" customWidth="1"/>
    <col min="15880" max="15880" width="12.44140625" style="72" customWidth="1"/>
    <col min="15881" max="15881" width="9.21875" style="72"/>
    <col min="15882" max="15882" width="6.44140625" style="72" customWidth="1"/>
    <col min="15883" max="15883" width="42.44140625" style="72" customWidth="1"/>
    <col min="15884" max="15884" width="16.44140625" style="72" customWidth="1"/>
    <col min="15885" max="15885" width="17.44140625" style="72" customWidth="1"/>
    <col min="15886" max="15886" width="20.44140625" style="72" customWidth="1"/>
    <col min="15887" max="15887" width="19.44140625" style="72" customWidth="1"/>
    <col min="15888" max="15889" width="8.44140625" style="72" customWidth="1"/>
    <col min="15890" max="15890" width="9.44140625" style="72" customWidth="1"/>
    <col min="15891" max="15892" width="8.44140625" style="72" customWidth="1"/>
    <col min="15893" max="15893" width="8" style="72" customWidth="1"/>
    <col min="15894" max="15895" width="6.44140625" style="72" customWidth="1"/>
    <col min="15896" max="15896" width="15.44140625" style="72" customWidth="1"/>
    <col min="15897" max="15897" width="11.21875" style="72" customWidth="1"/>
    <col min="15898" max="15899" width="7.21875" style="72" customWidth="1"/>
    <col min="15900" max="15902" width="8.44140625" style="72" customWidth="1"/>
    <col min="15903" max="15903" width="12" style="72" customWidth="1"/>
    <col min="15904" max="15905" width="10.77734375" style="72" customWidth="1"/>
    <col min="15906" max="15906" width="12" style="72" customWidth="1"/>
    <col min="15907" max="15907" width="13.44140625" style="72" customWidth="1"/>
    <col min="15908" max="15909" width="18" style="72" customWidth="1"/>
    <col min="15910" max="16129" width="9.21875" style="72"/>
    <col min="16130" max="16130" width="5" style="72" customWidth="1"/>
    <col min="16131" max="16131" width="52.44140625" style="72" customWidth="1"/>
    <col min="16132" max="16132" width="21.44140625" style="72" customWidth="1"/>
    <col min="16133" max="16135" width="19.44140625" style="72" customWidth="1"/>
    <col min="16136" max="16136" width="12.44140625" style="72" customWidth="1"/>
    <col min="16137" max="16137" width="9.21875" style="72"/>
    <col min="16138" max="16138" width="6.44140625" style="72" customWidth="1"/>
    <col min="16139" max="16139" width="42.44140625" style="72" customWidth="1"/>
    <col min="16140" max="16140" width="16.44140625" style="72" customWidth="1"/>
    <col min="16141" max="16141" width="17.44140625" style="72" customWidth="1"/>
    <col min="16142" max="16142" width="20.44140625" style="72" customWidth="1"/>
    <col min="16143" max="16143" width="19.44140625" style="72" customWidth="1"/>
    <col min="16144" max="16145" width="8.44140625" style="72" customWidth="1"/>
    <col min="16146" max="16146" width="9.44140625" style="72" customWidth="1"/>
    <col min="16147" max="16148" width="8.44140625" style="72" customWidth="1"/>
    <col min="16149" max="16149" width="8" style="72" customWidth="1"/>
    <col min="16150" max="16151" width="6.44140625" style="72" customWidth="1"/>
    <col min="16152" max="16152" width="15.44140625" style="72" customWidth="1"/>
    <col min="16153" max="16153" width="11.21875" style="72" customWidth="1"/>
    <col min="16154" max="16155" width="7.21875" style="72" customWidth="1"/>
    <col min="16156" max="16158" width="8.44140625" style="72" customWidth="1"/>
    <col min="16159" max="16159" width="12" style="72" customWidth="1"/>
    <col min="16160" max="16161" width="10.77734375" style="72" customWidth="1"/>
    <col min="16162" max="16162" width="12" style="72" customWidth="1"/>
    <col min="16163" max="16163" width="13.44140625" style="72" customWidth="1"/>
    <col min="16164" max="16165" width="18" style="72" customWidth="1"/>
    <col min="16166" max="16384" width="9.21875" style="72"/>
  </cols>
  <sheetData>
    <row r="1" spans="1:11" ht="17.399999999999999">
      <c r="A1" s="895" t="s">
        <v>1416</v>
      </c>
      <c r="B1" s="895"/>
      <c r="C1" s="895"/>
      <c r="D1" s="895"/>
      <c r="E1" s="895"/>
      <c r="F1" s="895"/>
      <c r="G1" s="895"/>
    </row>
    <row r="2" spans="1:11" ht="15.6" hidden="1">
      <c r="A2" s="896" t="s">
        <v>1410</v>
      </c>
      <c r="B2" s="896"/>
      <c r="C2" s="896"/>
      <c r="D2" s="896"/>
      <c r="E2" s="896"/>
      <c r="F2" s="896"/>
      <c r="G2" s="896"/>
    </row>
    <row r="3" spans="1:11" ht="21" customHeight="1">
      <c r="A3" s="899" t="s">
        <v>1414</v>
      </c>
      <c r="B3" s="899"/>
      <c r="C3" s="899"/>
      <c r="D3" s="899"/>
      <c r="E3" s="899"/>
      <c r="F3" s="899"/>
      <c r="G3" s="899"/>
    </row>
    <row r="4" spans="1:11" ht="16.8" customHeight="1">
      <c r="A4" s="900" t="s">
        <v>1421</v>
      </c>
      <c r="B4" s="900"/>
      <c r="C4" s="900"/>
      <c r="D4" s="900"/>
      <c r="E4" s="900"/>
      <c r="F4" s="900"/>
      <c r="G4" s="900"/>
      <c r="K4" s="691" t="e">
        <f>#REF!-G8</f>
        <v>#REF!</v>
      </c>
    </row>
    <row r="5" spans="1:11" s="861" customFormat="1" ht="13.5" customHeight="1">
      <c r="A5" s="860"/>
      <c r="B5" s="860"/>
      <c r="C5" s="860"/>
      <c r="D5" s="860"/>
      <c r="E5" s="860"/>
      <c r="F5" s="860"/>
      <c r="G5" s="860"/>
      <c r="K5" s="691"/>
    </row>
    <row r="6" spans="1:11" s="694" customFormat="1">
      <c r="A6" s="897" t="s">
        <v>4</v>
      </c>
      <c r="B6" s="897"/>
      <c r="C6" s="897"/>
      <c r="D6" s="897"/>
      <c r="E6" s="897"/>
      <c r="F6" s="897"/>
      <c r="G6" s="897"/>
      <c r="H6" s="693"/>
    </row>
    <row r="7" spans="1:11" s="694" customFormat="1" ht="39.6" customHeight="1">
      <c r="A7" s="692" t="s">
        <v>5</v>
      </c>
      <c r="B7" s="74" t="s">
        <v>6</v>
      </c>
      <c r="C7" s="74" t="s">
        <v>7</v>
      </c>
      <c r="D7" s="74" t="s">
        <v>8</v>
      </c>
      <c r="E7" s="74" t="s">
        <v>9</v>
      </c>
      <c r="F7" s="74" t="s">
        <v>10</v>
      </c>
      <c r="G7" s="74" t="s">
        <v>11</v>
      </c>
      <c r="H7" s="699" t="s">
        <v>20</v>
      </c>
    </row>
    <row r="8" spans="1:11" s="694" customFormat="1" ht="20.100000000000001" customHeight="1">
      <c r="A8" s="697" t="s">
        <v>12</v>
      </c>
      <c r="B8" s="698" t="s">
        <v>18</v>
      </c>
      <c r="C8" s="74" t="s">
        <v>19</v>
      </c>
      <c r="D8" s="429" t="s">
        <v>13</v>
      </c>
      <c r="E8" s="695">
        <f>SUM(E9:E10)</f>
        <v>1814814814.8148148</v>
      </c>
      <c r="F8" s="695">
        <f>SUM(F9:F10)</f>
        <v>145185185.18518519</v>
      </c>
      <c r="G8" s="695">
        <f>ROUND(SUM(G9:G10),-3)</f>
        <v>1960000000</v>
      </c>
      <c r="H8" s="699"/>
    </row>
    <row r="9" spans="1:11" s="854" customFormat="1" ht="20.100000000000001" customHeight="1">
      <c r="A9" s="847"/>
      <c r="B9" s="848" t="s">
        <v>1415</v>
      </c>
      <c r="C9" s="849" t="s">
        <v>21</v>
      </c>
      <c r="D9" s="850" t="s">
        <v>22</v>
      </c>
      <c r="E9" s="704">
        <f>G9/1.08</f>
        <v>1814814814.8148148</v>
      </c>
      <c r="F9" s="852">
        <f>0.08*E9</f>
        <v>145185185.18518519</v>
      </c>
      <c r="G9" s="852">
        <v>1960000000</v>
      </c>
      <c r="H9" s="853" t="s">
        <v>23</v>
      </c>
      <c r="I9" s="852">
        <v>1000000000</v>
      </c>
    </row>
    <row r="10" spans="1:11" s="694" customFormat="1" ht="20.100000000000001" hidden="1" customHeight="1">
      <c r="A10" s="855"/>
      <c r="B10" s="856"/>
      <c r="C10" s="857"/>
      <c r="D10" s="858"/>
      <c r="E10" s="851"/>
      <c r="F10" s="859"/>
      <c r="G10" s="859"/>
      <c r="H10" s="699" t="s">
        <v>27</v>
      </c>
    </row>
    <row r="11" spans="1:11" s="694" customFormat="1" ht="20.100000000000001" customHeight="1">
      <c r="A11" s="697" t="s">
        <v>17</v>
      </c>
      <c r="B11" s="698" t="s">
        <v>25</v>
      </c>
      <c r="C11" s="74" t="s">
        <v>26</v>
      </c>
      <c r="D11" s="429"/>
      <c r="E11" s="695">
        <f>E12</f>
        <v>54880000</v>
      </c>
      <c r="F11" s="695"/>
      <c r="G11" s="695">
        <f>ROUND(G12,-3)</f>
        <v>54880000</v>
      </c>
      <c r="H11" s="706" t="s">
        <v>19</v>
      </c>
      <c r="I11" s="694">
        <f>M59</f>
        <v>3.024</v>
      </c>
      <c r="J11" s="694">
        <v>0.8</v>
      </c>
    </row>
    <row r="12" spans="1:11" s="694" customFormat="1" ht="20.100000000000001" customHeight="1">
      <c r="A12" s="700"/>
      <c r="B12" s="701" t="s">
        <v>28</v>
      </c>
      <c r="C12" s="702" t="s">
        <v>29</v>
      </c>
      <c r="D12" s="703" t="str">
        <f>CONCATENATE($I$11,$H$13,$H$12,$H$11)</f>
        <v>3.024%*Gxd</v>
      </c>
      <c r="E12" s="705">
        <f>$I$11%*$E$8</f>
        <v>54880000</v>
      </c>
      <c r="F12" s="705"/>
      <c r="G12" s="705">
        <f>E12</f>
        <v>54880000</v>
      </c>
      <c r="H12" s="707" t="s">
        <v>34</v>
      </c>
    </row>
    <row r="13" spans="1:11" s="694" customFormat="1" ht="19.5" customHeight="1">
      <c r="A13" s="697" t="s">
        <v>24</v>
      </c>
      <c r="B13" s="698" t="s">
        <v>31</v>
      </c>
      <c r="C13" s="74" t="s">
        <v>32</v>
      </c>
      <c r="D13" s="429" t="s">
        <v>33</v>
      </c>
      <c r="E13" s="695">
        <f>SUM(E14:E21)</f>
        <v>223044370.37037036</v>
      </c>
      <c r="F13" s="695">
        <f>SUM(F14:F21)</f>
        <v>17547952.59259259</v>
      </c>
      <c r="G13" s="695">
        <f>ROUND(SUM(G14:G21),-3)</f>
        <v>240592000</v>
      </c>
      <c r="H13" s="707" t="s">
        <v>37</v>
      </c>
      <c r="J13" s="693">
        <f>+G14+G16+G17</f>
        <v>171178560</v>
      </c>
    </row>
    <row r="14" spans="1:11" s="694" customFormat="1" ht="19.5" customHeight="1">
      <c r="A14" s="708" t="s">
        <v>14</v>
      </c>
      <c r="B14" s="709" t="s">
        <v>35</v>
      </c>
      <c r="C14" s="710" t="s">
        <v>36</v>
      </c>
      <c r="D14" s="696" t="s">
        <v>22</v>
      </c>
      <c r="E14" s="704">
        <f>G14/1.08</f>
        <v>90740740.740740731</v>
      </c>
      <c r="F14" s="704">
        <f>E14*0.08</f>
        <v>7259259.2592592584</v>
      </c>
      <c r="G14" s="704">
        <f>+G8*0.05</f>
        <v>98000000</v>
      </c>
      <c r="H14" s="694">
        <v>0.03</v>
      </c>
    </row>
    <row r="15" spans="1:11" s="694" customFormat="1">
      <c r="A15" s="711" t="s">
        <v>16</v>
      </c>
      <c r="B15" s="712" t="s">
        <v>38</v>
      </c>
      <c r="C15" s="713" t="s">
        <v>39</v>
      </c>
      <c r="D15" s="714" t="str">
        <f>"Gks x "&amp;ROUND((100*H14),3)&amp;"%"&amp;""</f>
        <v>Gks x 3%</v>
      </c>
      <c r="E15" s="704">
        <f>E14*H14</f>
        <v>2722222.222222222</v>
      </c>
      <c r="F15" s="704">
        <f>E15*0.08</f>
        <v>217777.77777777775</v>
      </c>
      <c r="G15" s="715">
        <f t="shared" ref="G15:G20" si="0">E15+F15</f>
        <v>2940000</v>
      </c>
      <c r="H15" s="686" t="str">
        <f>IF(VALUE($M$62%*$E$8)&lt;5000000/1.1,"TT Theo QĐ79",CONCATENATE($M$62,$H$13,$H$12,$H$11))</f>
        <v>4.667%*Gxd</v>
      </c>
      <c r="I15" s="717">
        <f>M62</f>
        <v>4.6669999999999998</v>
      </c>
    </row>
    <row r="16" spans="1:11" s="694" customFormat="1" ht="27.6">
      <c r="A16" s="716" t="s">
        <v>40</v>
      </c>
      <c r="B16" s="568" t="s">
        <v>41</v>
      </c>
      <c r="C16" s="713" t="s">
        <v>42</v>
      </c>
      <c r="D16" s="710"/>
      <c r="E16" s="704">
        <f>$I$15%*$E$9*$J$11</f>
        <v>67757925.925925925</v>
      </c>
      <c r="F16" s="715">
        <f>E16*0.08</f>
        <v>5420634.0740740737</v>
      </c>
      <c r="G16" s="715">
        <f t="shared" si="0"/>
        <v>73178560</v>
      </c>
      <c r="H16" s="686"/>
    </row>
    <row r="17" spans="1:10" s="694" customFormat="1" ht="20.100000000000001" hidden="1" customHeight="1">
      <c r="A17" s="708"/>
      <c r="B17" s="568"/>
      <c r="C17" s="713"/>
      <c r="D17" s="710"/>
      <c r="E17" s="704"/>
      <c r="F17" s="715"/>
      <c r="G17" s="715"/>
      <c r="H17" s="699"/>
      <c r="I17" s="694">
        <v>3</v>
      </c>
    </row>
    <row r="18" spans="1:10" s="694" customFormat="1" ht="20.100000000000001" customHeight="1">
      <c r="A18" s="716" t="s">
        <v>43</v>
      </c>
      <c r="B18" s="568" t="s">
        <v>44</v>
      </c>
      <c r="C18" s="713" t="s">
        <v>45</v>
      </c>
      <c r="D18" s="552" t="str">
        <f>CONCATENATE($I$17,$H$13,$H$12,$H$18)</f>
        <v>3%*Gks</v>
      </c>
      <c r="E18" s="715">
        <f>$I$17%*$E$14*0</f>
        <v>0</v>
      </c>
      <c r="F18" s="715"/>
      <c r="G18" s="715">
        <f t="shared" si="0"/>
        <v>0</v>
      </c>
      <c r="H18" s="699" t="s">
        <v>49</v>
      </c>
      <c r="I18" s="694">
        <v>4.0720000000000001</v>
      </c>
    </row>
    <row r="19" spans="1:10" s="694" customFormat="1" ht="20.100000000000001" customHeight="1">
      <c r="A19" s="708" t="s">
        <v>46</v>
      </c>
      <c r="B19" s="568" t="s">
        <v>47</v>
      </c>
      <c r="C19" s="713" t="s">
        <v>48</v>
      </c>
      <c r="D19" s="552" t="str">
        <f>CONCATENATE($I$18,$H$13,$H$12,$H$18)</f>
        <v>4.072%*Gks</v>
      </c>
      <c r="E19" s="715">
        <f>$I$18%*$E$14</f>
        <v>3694962.9629629627</v>
      </c>
      <c r="F19" s="715"/>
      <c r="G19" s="715">
        <f t="shared" si="0"/>
        <v>3694962.9629629627</v>
      </c>
      <c r="H19" s="699"/>
      <c r="I19" s="694">
        <f>M72</f>
        <v>3.2029999999999998</v>
      </c>
      <c r="J19" s="694">
        <v>1.2</v>
      </c>
    </row>
    <row r="20" spans="1:10" s="694" customFormat="1" ht="20.100000000000001" customHeight="1">
      <c r="A20" s="716" t="s">
        <v>50</v>
      </c>
      <c r="B20" s="568" t="s">
        <v>51</v>
      </c>
      <c r="C20" s="713" t="s">
        <v>52</v>
      </c>
      <c r="D20" s="552" t="str">
        <f>CONCATENATE($I$19,$H$13,$H$12,$H$11)</f>
        <v>3.203%*Gxd</v>
      </c>
      <c r="E20" s="715">
        <f>$I$19%*$E$8</f>
        <v>58128518.518518507</v>
      </c>
      <c r="F20" s="715">
        <f>E20*0.08</f>
        <v>4650281.4814814804</v>
      </c>
      <c r="G20" s="715">
        <f t="shared" si="0"/>
        <v>62778799.999999985</v>
      </c>
      <c r="H20" s="699"/>
    </row>
    <row r="21" spans="1:10" s="694" customFormat="1" ht="20.100000000000001" customHeight="1">
      <c r="A21" s="708" t="s">
        <v>53</v>
      </c>
      <c r="B21" s="568" t="s">
        <v>54</v>
      </c>
      <c r="C21" s="713" t="s">
        <v>52</v>
      </c>
      <c r="D21" s="718" t="s">
        <v>55</v>
      </c>
      <c r="E21" s="715">
        <f>SUM(E22:E25)</f>
        <v>0</v>
      </c>
      <c r="F21" s="715">
        <f t="shared" ref="F21:G21" si="1">SUM(F22:F25)</f>
        <v>0</v>
      </c>
      <c r="G21" s="715">
        <f t="shared" si="1"/>
        <v>0</v>
      </c>
      <c r="H21" s="694" t="str">
        <f>IF(OR(VALUE($E$8*0.1%)&lt;1000000,VALUE($E$8*0.1%)&gt;50000000),"TT theo NĐ63","0,1%*Gxd")</f>
        <v>0,1%*Gxd</v>
      </c>
      <c r="I21" s="699">
        <v>0.45</v>
      </c>
      <c r="J21" s="724"/>
    </row>
    <row r="22" spans="1:10" s="694" customFormat="1" ht="20.100000000000001" customHeight="1">
      <c r="A22" s="719" t="s">
        <v>1417</v>
      </c>
      <c r="B22" s="720" t="s">
        <v>56</v>
      </c>
      <c r="C22" s="721" t="s">
        <v>57</v>
      </c>
      <c r="D22" s="722" t="str">
        <f>CONCATENATE($M$71,$H$13,$H$12,$H$11,$H$12,$I$21)</f>
        <v>0.346%*Gxd*0.45</v>
      </c>
      <c r="E22" s="723"/>
      <c r="F22" s="723">
        <f>0.08*E22</f>
        <v>0</v>
      </c>
      <c r="G22" s="723">
        <f>E22+F22</f>
        <v>0</v>
      </c>
      <c r="H22" s="694" t="str">
        <f>IF(OR(VALUE($E$8*0.1%)&lt;1000000,VALUE($E$8*0.1%)&gt;50000000),"TT theo NĐ63","0,1%*Gxd")</f>
        <v>0,1%*Gxd</v>
      </c>
      <c r="I22" s="699">
        <v>0.55000000000000004</v>
      </c>
    </row>
    <row r="23" spans="1:10" s="694" customFormat="1" ht="20.100000000000001" customHeight="1">
      <c r="A23" s="719" t="s">
        <v>1418</v>
      </c>
      <c r="B23" s="725" t="s">
        <v>58</v>
      </c>
      <c r="C23" s="721" t="s">
        <v>59</v>
      </c>
      <c r="D23" s="722" t="str">
        <f>CONCATENATE($M$71,$H$13,$H$12,$H$11,$H$12,$I$22)</f>
        <v>0.346%*Gxd*0.55</v>
      </c>
      <c r="E23" s="723"/>
      <c r="F23" s="723">
        <f>0.08*E23</f>
        <v>0</v>
      </c>
      <c r="G23" s="723">
        <f>E23+F23</f>
        <v>0</v>
      </c>
      <c r="H23" s="699"/>
    </row>
    <row r="24" spans="1:10" s="694" customFormat="1" ht="20.100000000000001" customHeight="1">
      <c r="A24" s="719" t="s">
        <v>1419</v>
      </c>
      <c r="B24" s="720" t="s">
        <v>60</v>
      </c>
      <c r="C24" s="721" t="s">
        <v>61</v>
      </c>
      <c r="D24" s="722" t="str">
        <f>IF(OR(VALUE($E$8*0.1%)&lt;1000000,VALUE($E$8*0.1%)&gt;50000000),"TT theo NĐ63","0,1%*Gxd")</f>
        <v>0,1%*Gxd</v>
      </c>
      <c r="E24" s="723"/>
      <c r="F24" s="723"/>
      <c r="G24" s="723">
        <f>E24</f>
        <v>0</v>
      </c>
      <c r="H24" s="699"/>
    </row>
    <row r="25" spans="1:10" s="694" customFormat="1" ht="20.100000000000001" customHeight="1">
      <c r="A25" s="719" t="s">
        <v>1420</v>
      </c>
      <c r="B25" s="725" t="s">
        <v>62</v>
      </c>
      <c r="C25" s="721" t="s">
        <v>63</v>
      </c>
      <c r="D25" s="722" t="str">
        <f>IF(OR(VALUE($E$8*0.1%)&lt;1000000,VALUE($E$8*0.1%)&gt;50000000),"TT theo NĐ63","0,1%*Gxd")</f>
        <v>0,1%*Gxd</v>
      </c>
      <c r="E25" s="723"/>
      <c r="F25" s="726"/>
      <c r="G25" s="723">
        <f>E25</f>
        <v>0</v>
      </c>
      <c r="H25" s="699"/>
    </row>
    <row r="26" spans="1:10" s="694" customFormat="1" ht="20.100000000000001" customHeight="1">
      <c r="A26" s="697" t="s">
        <v>30</v>
      </c>
      <c r="B26" s="698" t="s">
        <v>65</v>
      </c>
      <c r="C26" s="74" t="s">
        <v>66</v>
      </c>
      <c r="D26" s="429" t="s">
        <v>67</v>
      </c>
      <c r="E26" s="695">
        <f>SUM(E27:E34)</f>
        <v>23229808.593703702</v>
      </c>
      <c r="F26" s="695">
        <f>SUM(F27:F34)</f>
        <v>0</v>
      </c>
      <c r="G26" s="695">
        <f>ROUND((G27+G28+G32+G33+G34),-3)</f>
        <v>23230000</v>
      </c>
      <c r="H26" s="699">
        <v>0.5</v>
      </c>
      <c r="I26" s="694">
        <f>7000000000*0.019%</f>
        <v>1329999.9999999998</v>
      </c>
    </row>
    <row r="27" spans="1:10" s="694" customFormat="1" ht="14.25" customHeight="1">
      <c r="A27" s="708" t="s">
        <v>14</v>
      </c>
      <c r="B27" s="709" t="s">
        <v>68</v>
      </c>
      <c r="C27" s="710" t="s">
        <v>69</v>
      </c>
      <c r="D27" s="727" t="str">
        <f>CONCATENATE($M$74,$H$13,,$H$12,$H$10)</f>
        <v>0.019%*TMDT</v>
      </c>
      <c r="E27" s="715">
        <f>G36*$M$74%</f>
        <v>440292.88999999996</v>
      </c>
      <c r="F27" s="704"/>
      <c r="G27" s="704">
        <f>E27</f>
        <v>440292.88999999996</v>
      </c>
      <c r="H27" s="699">
        <v>0.56999999999999995</v>
      </c>
      <c r="I27" s="694">
        <f>7000000000*5%</f>
        <v>350000000</v>
      </c>
    </row>
    <row r="28" spans="1:10" s="694" customFormat="1" ht="33.450000000000003" customHeight="1">
      <c r="A28" s="716" t="s">
        <v>16</v>
      </c>
      <c r="B28" s="568" t="s">
        <v>70</v>
      </c>
      <c r="C28" s="713" t="s">
        <v>71</v>
      </c>
      <c r="D28" s="727" t="str">
        <f>CONCATENATE($E$47,$H$13,,$H$12,$H$7)</f>
        <v>%*(TMDT-Gdp)</v>
      </c>
      <c r="E28" s="715">
        <f>0.048%*(19091275000)</f>
        <v>9163812</v>
      </c>
      <c r="F28" s="715"/>
      <c r="G28" s="715">
        <f>E28</f>
        <v>9163812</v>
      </c>
      <c r="H28" s="699">
        <v>0.8</v>
      </c>
    </row>
    <row r="29" spans="1:10" s="694" customFormat="1" ht="15.75" customHeight="1">
      <c r="A29" s="708" t="s">
        <v>40</v>
      </c>
      <c r="B29" s="568" t="s">
        <v>72</v>
      </c>
      <c r="C29" s="713" t="s">
        <v>73</v>
      </c>
      <c r="D29" s="552" t="str">
        <f>CONCATENATE($M$67,$H$13,$H$12,$H$11,$H$12,$H$28)</f>
        <v>0.17%*Gxd*0.8</v>
      </c>
      <c r="E29" s="715">
        <f>$M$67%*$E$8*$H$28*0</f>
        <v>0</v>
      </c>
      <c r="F29" s="715"/>
      <c r="G29" s="715">
        <f>E29+F29</f>
        <v>0</v>
      </c>
      <c r="H29" s="699"/>
    </row>
    <row r="30" spans="1:10" s="694" customFormat="1" ht="29.4" customHeight="1">
      <c r="A30" s="716" t="s">
        <v>43</v>
      </c>
      <c r="B30" s="568" t="s">
        <v>74</v>
      </c>
      <c r="C30" s="713" t="s">
        <v>75</v>
      </c>
      <c r="D30" s="552" t="str">
        <f>CONCATENATE($M$69,$H$13,$H$12,$H$11,$H$12,$H$28)</f>
        <v>0.166%*Gxd*0.8</v>
      </c>
      <c r="E30" s="715">
        <f>$M$69%*$E$8*$H$28*0</f>
        <v>0</v>
      </c>
      <c r="F30" s="715"/>
      <c r="G30" s="715">
        <f>E30+F30</f>
        <v>0</v>
      </c>
      <c r="H30" s="699">
        <v>0.96</v>
      </c>
    </row>
    <row r="31" spans="1:10" s="694" customFormat="1" ht="20.100000000000001" customHeight="1">
      <c r="A31" s="708" t="s">
        <v>46</v>
      </c>
      <c r="B31" s="568" t="s">
        <v>76</v>
      </c>
      <c r="C31" s="713" t="s">
        <v>77</v>
      </c>
      <c r="D31" s="552" t="str">
        <f>CONCATENATE($E$48,$H$13,,$H$12,$H$7,$H$12,$H$26)</f>
        <v>%*(TMDT-Gdp)*0.5</v>
      </c>
      <c r="E31" s="715">
        <f>$E$48%*($G$36-$G$35)*$H$26*0</f>
        <v>0</v>
      </c>
      <c r="F31" s="715">
        <f>E31*0.08</f>
        <v>0</v>
      </c>
      <c r="G31" s="715">
        <f>E31+F31</f>
        <v>0</v>
      </c>
      <c r="H31" s="699">
        <v>0.1</v>
      </c>
    </row>
    <row r="32" spans="1:10" s="694" customFormat="1" ht="20.100000000000001" customHeight="1">
      <c r="A32" s="716" t="s">
        <v>50</v>
      </c>
      <c r="B32" s="568" t="s">
        <v>78</v>
      </c>
      <c r="C32" s="713" t="s">
        <v>79</v>
      </c>
      <c r="D32" s="552" t="s">
        <v>80</v>
      </c>
      <c r="E32" s="715">
        <f>E20*20%</f>
        <v>11625703.703703701</v>
      </c>
      <c r="F32" s="715"/>
      <c r="G32" s="715">
        <f>E32</f>
        <v>11625703.703703701</v>
      </c>
      <c r="H32" s="728"/>
    </row>
    <row r="33" spans="1:37" s="694" customFormat="1" ht="20.100000000000001" customHeight="1">
      <c r="A33" s="708" t="s">
        <v>53</v>
      </c>
      <c r="B33" s="568" t="s">
        <v>81</v>
      </c>
      <c r="C33" s="713" t="s">
        <v>73</v>
      </c>
      <c r="D33" s="552" t="s">
        <v>15</v>
      </c>
      <c r="E33" s="715"/>
      <c r="F33" s="715"/>
      <c r="G33" s="715"/>
      <c r="H33" s="687" t="e">
        <f>2.3%*(#REF!+G8+G11+G13+G26)</f>
        <v>#REF!</v>
      </c>
    </row>
    <row r="34" spans="1:37" s="733" customFormat="1" ht="20.100000000000001" customHeight="1">
      <c r="A34" s="708" t="s">
        <v>1321</v>
      </c>
      <c r="B34" s="568" t="s">
        <v>82</v>
      </c>
      <c r="C34" s="713" t="s">
        <v>75</v>
      </c>
      <c r="D34" s="552" t="s">
        <v>15</v>
      </c>
      <c r="E34" s="715">
        <v>2000000</v>
      </c>
      <c r="F34" s="715"/>
      <c r="G34" s="715">
        <f>E34+F34</f>
        <v>2000000</v>
      </c>
      <c r="H34" s="688">
        <f>G35/G36</f>
        <v>1.666960826916828E-2</v>
      </c>
      <c r="I34" s="730" t="s">
        <v>1411</v>
      </c>
      <c r="J34" s="731">
        <v>920271000</v>
      </c>
      <c r="K34" s="732">
        <f>J34-G35</f>
        <v>881642000</v>
      </c>
    </row>
    <row r="35" spans="1:37" s="694" customFormat="1" ht="20.100000000000001" customHeight="1">
      <c r="A35" s="697" t="s">
        <v>64</v>
      </c>
      <c r="B35" s="698" t="s">
        <v>83</v>
      </c>
      <c r="C35" s="74" t="s">
        <v>84</v>
      </c>
      <c r="D35" s="729" t="s">
        <v>15</v>
      </c>
      <c r="E35" s="695">
        <f>G35/1.08</f>
        <v>35767592.59259259</v>
      </c>
      <c r="F35" s="695">
        <f>E35*0.08</f>
        <v>2861407.4074074072</v>
      </c>
      <c r="G35" s="695">
        <f>+G36-(G26+G13+G11+G8)</f>
        <v>38629000</v>
      </c>
      <c r="H35" s="687">
        <f>G36-G35</f>
        <v>2278702000</v>
      </c>
    </row>
    <row r="36" spans="1:37" s="694" customFormat="1" ht="27" customHeight="1">
      <c r="A36" s="697"/>
      <c r="B36" s="74" t="s">
        <v>85</v>
      </c>
      <c r="C36" s="74"/>
      <c r="D36" s="429"/>
      <c r="E36" s="695"/>
      <c r="F36" s="695"/>
      <c r="G36" s="695">
        <f>+G37</f>
        <v>2317331000</v>
      </c>
      <c r="H36" s="687"/>
    </row>
    <row r="37" spans="1:37" ht="21" customHeight="1">
      <c r="A37" s="697"/>
      <c r="B37" s="868" t="s">
        <v>86</v>
      </c>
      <c r="C37" s="868"/>
      <c r="D37" s="869"/>
      <c r="E37" s="870"/>
      <c r="F37" s="870"/>
      <c r="G37" s="870">
        <f>+G38-E39</f>
        <v>2317331000</v>
      </c>
    </row>
    <row r="38" spans="1:37" ht="18">
      <c r="A38" s="734"/>
      <c r="B38" s="867"/>
      <c r="C38" s="898"/>
      <c r="D38" s="898"/>
      <c r="E38" s="862"/>
      <c r="F38" s="863"/>
      <c r="G38" s="864">
        <v>3500000000</v>
      </c>
      <c r="H38" s="691"/>
      <c r="K38" s="735"/>
      <c r="L38" s="735"/>
      <c r="M38" s="736"/>
    </row>
    <row r="39" spans="1:37" ht="18">
      <c r="A39" s="612"/>
      <c r="B39" s="612"/>
      <c r="C39" s="612"/>
      <c r="D39" s="612"/>
      <c r="E39" s="891">
        <f>+'[4]2. TMĐT'!$G$36</f>
        <v>1182669000</v>
      </c>
      <c r="F39" s="892"/>
      <c r="G39" s="892"/>
      <c r="H39" s="691"/>
      <c r="K39" s="735"/>
      <c r="L39" s="735"/>
      <c r="M39" s="736"/>
    </row>
    <row r="40" spans="1:37" ht="18">
      <c r="A40" s="612"/>
      <c r="B40" s="612"/>
      <c r="C40" s="612"/>
      <c r="D40" s="612"/>
      <c r="E40" s="865"/>
      <c r="F40" s="865"/>
      <c r="G40" s="866"/>
      <c r="H40" s="691"/>
      <c r="K40" s="735"/>
      <c r="L40" s="735"/>
      <c r="M40" s="736"/>
    </row>
    <row r="41" spans="1:37" ht="18">
      <c r="A41" s="612"/>
      <c r="B41" s="612"/>
      <c r="C41" s="612"/>
      <c r="D41" s="612"/>
      <c r="E41" s="612"/>
      <c r="F41" s="737"/>
      <c r="G41" s="737"/>
      <c r="H41" s="691"/>
      <c r="K41" s="735"/>
      <c r="L41" s="735"/>
      <c r="M41" s="736"/>
    </row>
    <row r="42" spans="1:37" ht="18">
      <c r="A42" s="612"/>
      <c r="B42" s="612"/>
      <c r="C42" s="612"/>
      <c r="D42" s="612"/>
      <c r="E42" s="612"/>
      <c r="F42" s="612"/>
      <c r="G42" s="612"/>
      <c r="H42" s="691"/>
      <c r="K42" s="735"/>
      <c r="L42" s="735"/>
      <c r="M42" s="736"/>
    </row>
    <row r="43" spans="1:37" ht="17.399999999999999">
      <c r="A43" s="612"/>
      <c r="B43" s="612"/>
      <c r="C43" s="612"/>
      <c r="D43" s="612"/>
      <c r="E43" s="612"/>
      <c r="F43" s="612"/>
      <c r="G43" s="612"/>
      <c r="H43" s="691"/>
      <c r="K43" s="739"/>
      <c r="L43" s="739"/>
      <c r="M43" s="736"/>
    </row>
    <row r="44" spans="1:37" ht="16.8">
      <c r="A44" s="612"/>
      <c r="B44" s="738"/>
      <c r="C44" s="893"/>
      <c r="D44" s="893"/>
      <c r="E44" s="738"/>
      <c r="F44" s="893"/>
      <c r="G44" s="893"/>
    </row>
    <row r="45" spans="1:37">
      <c r="B45" s="510"/>
      <c r="C45" s="740"/>
      <c r="D45" s="741"/>
      <c r="E45" s="741"/>
      <c r="F45" s="741"/>
      <c r="G45" s="741"/>
    </row>
    <row r="46" spans="1:37">
      <c r="E46" s="742"/>
    </row>
    <row r="47" spans="1:37" ht="15.6">
      <c r="D47" s="81"/>
      <c r="E47" s="742"/>
      <c r="AK47" s="743" t="str">
        <f>CONCATENATE(W80,"&lt; X &lt;",X80)</f>
        <v>&lt; X &lt;</v>
      </c>
    </row>
    <row r="48" spans="1:37">
      <c r="E48" s="742"/>
    </row>
    <row r="49" spans="2:18" ht="16.8">
      <c r="B49" s="734"/>
      <c r="C49" s="734"/>
      <c r="E49" s="29"/>
      <c r="F49" s="894"/>
      <c r="G49" s="894"/>
    </row>
    <row r="50" spans="2:18" ht="20.399999999999999">
      <c r="D50" s="744"/>
      <c r="E50" s="742"/>
      <c r="F50" s="745"/>
      <c r="G50" s="745"/>
      <c r="K50" s="890" t="s">
        <v>87</v>
      </c>
      <c r="L50" s="890"/>
      <c r="M50" s="890"/>
    </row>
    <row r="51" spans="2:18" ht="16.8">
      <c r="D51" s="744"/>
      <c r="E51" s="755"/>
      <c r="F51" s="745"/>
      <c r="G51" s="745"/>
      <c r="K51" s="746" t="s">
        <v>88</v>
      </c>
      <c r="L51" s="884" t="s">
        <v>89</v>
      </c>
      <c r="M51" s="884"/>
      <c r="R51" s="72" t="s">
        <v>90</v>
      </c>
    </row>
    <row r="52" spans="2:18">
      <c r="K52" s="746" t="s">
        <v>91</v>
      </c>
      <c r="L52" s="884" t="s">
        <v>92</v>
      </c>
      <c r="M52" s="884"/>
      <c r="R52" s="72">
        <f>VLOOKUP(L51,$O$55:$P$59,2,0)</f>
        <v>3</v>
      </c>
    </row>
    <row r="53" spans="2:18">
      <c r="K53" s="746" t="s">
        <v>93</v>
      </c>
      <c r="L53" s="884" t="s">
        <v>94</v>
      </c>
      <c r="M53" s="884"/>
      <c r="N53" s="72" t="str">
        <f>IF(R54=1,"CP t.kế=CP lập BCKTKT","")</f>
        <v>CP t.kế=CP lập BCKTKT</v>
      </c>
    </row>
    <row r="54" spans="2:18" ht="16.8">
      <c r="D54" s="744"/>
      <c r="E54" s="742"/>
      <c r="F54" s="745"/>
      <c r="G54" s="745"/>
      <c r="K54" s="746" t="s">
        <v>95</v>
      </c>
      <c r="L54" s="884" t="s">
        <v>96</v>
      </c>
      <c r="M54" s="884"/>
      <c r="O54" s="747" t="s">
        <v>97</v>
      </c>
      <c r="P54" s="747"/>
      <c r="R54" s="72">
        <f>VLOOKUP(L53,$O$67:$P$69,2,0)</f>
        <v>1</v>
      </c>
    </row>
    <row r="55" spans="2:18" ht="16.8">
      <c r="D55" s="744"/>
      <c r="E55" s="755"/>
      <c r="F55" s="745"/>
      <c r="G55" s="745"/>
      <c r="K55" s="746" t="s">
        <v>98</v>
      </c>
      <c r="L55" s="885" t="s">
        <v>99</v>
      </c>
      <c r="M55" s="886"/>
      <c r="O55" s="745" t="s">
        <v>100</v>
      </c>
      <c r="P55" s="745">
        <v>1</v>
      </c>
      <c r="R55" s="72">
        <f>VLOOKUP(L55,$O$76:$P$77,2,0)</f>
        <v>2</v>
      </c>
    </row>
    <row r="56" spans="2:18">
      <c r="K56" s="741" t="s">
        <v>101</v>
      </c>
      <c r="L56" s="689">
        <f>E8</f>
        <v>1814814814.8148148</v>
      </c>
      <c r="M56" s="72" t="s">
        <v>102</v>
      </c>
      <c r="O56" s="745" t="s">
        <v>103</v>
      </c>
      <c r="P56" s="745">
        <v>2</v>
      </c>
    </row>
    <row r="57" spans="2:18">
      <c r="K57" s="741" t="s">
        <v>104</v>
      </c>
      <c r="L57" s="689">
        <f>G36</f>
        <v>2317331000</v>
      </c>
      <c r="M57" s="72" t="s">
        <v>102</v>
      </c>
      <c r="O57" s="745" t="s">
        <v>89</v>
      </c>
      <c r="P57" s="745">
        <v>3</v>
      </c>
    </row>
    <row r="58" spans="2:18">
      <c r="J58" s="746" t="s">
        <v>105</v>
      </c>
      <c r="K58" s="745"/>
      <c r="L58" s="745"/>
      <c r="M58" s="745"/>
      <c r="O58" s="745" t="s">
        <v>106</v>
      </c>
      <c r="P58" s="745">
        <v>4</v>
      </c>
    </row>
    <row r="59" spans="2:18">
      <c r="J59" s="748">
        <v>1</v>
      </c>
      <c r="K59" s="745" t="s">
        <v>107</v>
      </c>
      <c r="L59" s="745"/>
      <c r="M59" s="745">
        <f>ROUND(VLOOKUP(L51,$K$87:$X$91,14,0),3)</f>
        <v>3.024</v>
      </c>
      <c r="O59" s="745" t="s">
        <v>108</v>
      </c>
      <c r="P59" s="745">
        <v>5</v>
      </c>
    </row>
    <row r="60" spans="2:18">
      <c r="J60" s="748">
        <v>2</v>
      </c>
      <c r="K60" s="745" t="s">
        <v>109</v>
      </c>
      <c r="L60" s="745"/>
      <c r="M60" s="749">
        <f>ROUND(IF(R54=3,VLOOKUP(L51,$K$98:$X$102,14,0),0),3)</f>
        <v>0</v>
      </c>
      <c r="O60" s="747" t="s">
        <v>110</v>
      </c>
      <c r="P60" s="747"/>
    </row>
    <row r="61" spans="2:18">
      <c r="J61" s="748">
        <v>3</v>
      </c>
      <c r="K61" s="745" t="s">
        <v>111</v>
      </c>
      <c r="L61" s="745"/>
      <c r="M61" s="745">
        <f>ROUND(IF(R54=2,VLOOKUP(L51,$K$109:$X$113,14,0),0),3)</f>
        <v>0</v>
      </c>
      <c r="O61" s="745" t="s">
        <v>112</v>
      </c>
      <c r="P61" s="745">
        <v>1</v>
      </c>
    </row>
    <row r="62" spans="2:18">
      <c r="J62" s="748">
        <v>4</v>
      </c>
      <c r="K62" s="745" t="str">
        <f>CHOOSE(VLOOKUP(L53,$O$67:$P$69,2,0),"Chi phí lập báo cáo KT-KT (1 bước)",CONCATENATE(L51," thiết kế 2 bước"),CONCATENATE(L51," thiết kế 3 bước"))</f>
        <v>Chi phí lập báo cáo KT-KT (1 bước)</v>
      </c>
      <c r="L62" s="745"/>
      <c r="M62" s="749">
        <f>ROUND(IF(R54=1,VLOOKUP(L51,$K$120:$X$124,14,0),0),3)</f>
        <v>4.6669999999999998</v>
      </c>
      <c r="O62" s="745" t="s">
        <v>113</v>
      </c>
      <c r="P62" s="745">
        <v>2</v>
      </c>
    </row>
    <row r="63" spans="2:18">
      <c r="J63" s="748">
        <v>5</v>
      </c>
      <c r="K63" s="745" t="s">
        <v>114</v>
      </c>
      <c r="L63" s="745"/>
      <c r="M63" s="749">
        <f>ROUND(IF(R54=3,CHOOSE(VLOOKUP(L51,$O$55:$P$59,2,0),VLOOKUP(L52,$K$132:$X$136,14,0),VLOOKUP(L52,$K$165:$X$169,14,0),VLOOKUP(L52,$K$196:$X$200,14,0),VLOOKUP(L52,$K$229:$X$233,14,0),VLOOKUP(L52,$K$251:$X$255,14,0),0),0),3)</f>
        <v>0</v>
      </c>
      <c r="O63" s="745" t="s">
        <v>115</v>
      </c>
      <c r="P63" s="745">
        <v>3</v>
      </c>
    </row>
    <row r="64" spans="2:18">
      <c r="J64" s="748">
        <v>6</v>
      </c>
      <c r="K64" s="745" t="s">
        <v>116</v>
      </c>
      <c r="L64" s="745"/>
      <c r="M64" s="745">
        <f>ROUND(IF(R54=2,CHOOSE(VLOOKUP(L51,$O$55:$P$59,2,0),VLOOKUP(L52,$K$148:$X$152,14,0),VLOOKUP(L52,$K$185:$X$189,14,0),VLOOKUP(L52,$K$207:$X$211,14,0),VLOOKUP(L52,$K$240:$X$244,14,0),VLOOKUP(L52,$K$270:$X$274,14,0),0),0),3)</f>
        <v>0</v>
      </c>
      <c r="O64" s="745" t="s">
        <v>117</v>
      </c>
      <c r="P64" s="745">
        <v>4</v>
      </c>
    </row>
    <row r="65" spans="10:36">
      <c r="J65" s="748">
        <v>7</v>
      </c>
      <c r="K65" s="745" t="s">
        <v>118</v>
      </c>
      <c r="L65" s="745"/>
      <c r="M65" s="749">
        <f>ROUND(IF(M60&gt;0,VLOOKUP(L51,$K$295:$X$299,14,0),0),3)</f>
        <v>0</v>
      </c>
      <c r="O65" s="745" t="s">
        <v>92</v>
      </c>
      <c r="P65" s="745">
        <v>5</v>
      </c>
    </row>
    <row r="66" spans="10:36">
      <c r="J66" s="748">
        <v>8</v>
      </c>
      <c r="K66" s="745" t="s">
        <v>119</v>
      </c>
      <c r="L66" s="745"/>
      <c r="M66" s="745">
        <f>ROUND(IF(M61&gt;0,VLOOKUP(L51,$K$306:$X$310,14,0),0),3)</f>
        <v>0</v>
      </c>
      <c r="O66" s="747" t="s">
        <v>120</v>
      </c>
      <c r="P66" s="747"/>
    </row>
    <row r="67" spans="10:36">
      <c r="J67" s="874">
        <v>9</v>
      </c>
      <c r="K67" s="876" t="s">
        <v>121</v>
      </c>
      <c r="L67" s="745" t="str">
        <f>IF($M$67&gt;0,"TV theo QĐ79",0)</f>
        <v>TV theo QĐ79</v>
      </c>
      <c r="M67" s="750">
        <f>ROUND(CHOOSE(VLOOKUP(L54,$O$71:$P$74,2,0),0,VLOOKUP(L51,$K$317:$X$321,14,0),VLOOKUP(L51,$K$317:$X$321,14,0),0),4)</f>
        <v>0.17</v>
      </c>
      <c r="O67" s="745" t="s">
        <v>94</v>
      </c>
      <c r="P67" s="745">
        <v>1</v>
      </c>
    </row>
    <row r="68" spans="10:36">
      <c r="J68" s="875"/>
      <c r="K68" s="877"/>
      <c r="L68" s="745">
        <f>IF($M$68&gt;0,"CĐT theo TT210/TT-BXD",0)</f>
        <v>0</v>
      </c>
      <c r="M68" s="750">
        <f>ROUND(CHOOSE(VLOOKUP(L54,$O$71:$P$74,2,0),VLOOKUP(L51,$K$379:$X$383,14,0),0,VLOOKUP(L51,$K$399:$X$403,14,0)),4)</f>
        <v>0</v>
      </c>
      <c r="O68" s="745" t="s">
        <v>122</v>
      </c>
      <c r="P68" s="745">
        <v>2</v>
      </c>
    </row>
    <row r="69" spans="10:36">
      <c r="J69" s="874">
        <v>10</v>
      </c>
      <c r="K69" s="876" t="s">
        <v>123</v>
      </c>
      <c r="L69" s="745" t="str">
        <f>IF($M$69&gt;0,"TV theo QĐ79",0)</f>
        <v>TV theo QĐ79</v>
      </c>
      <c r="M69" s="750">
        <f>ROUND(CHOOSE(VLOOKUP(L54,$O$71:$P$74,2,0),0,VLOOKUP(L51,$K$328:$X$332,14,0),VLOOKUP(L51,$K$328:$X$332,14,0),0),4)</f>
        <v>0.16600000000000001</v>
      </c>
      <c r="O69" s="745" t="s">
        <v>124</v>
      </c>
      <c r="P69" s="745">
        <v>3</v>
      </c>
    </row>
    <row r="70" spans="10:36">
      <c r="J70" s="875"/>
      <c r="K70" s="877"/>
      <c r="L70" s="745">
        <f>IF($M$70&gt;0,"CĐT theo TT210/TT-BXD",0)</f>
        <v>0</v>
      </c>
      <c r="M70" s="750">
        <f>ROUND(CHOOSE(VLOOKUP(L54,$O$71:$P$74,2,0),VLOOKUP(L51,$K$389:$X$393,14,0),0,VLOOKUP(L51,$K$408:$X$412,14,0)),4)</f>
        <v>0</v>
      </c>
      <c r="O70" s="747" t="s">
        <v>125</v>
      </c>
      <c r="P70" s="747"/>
    </row>
    <row r="71" spans="10:36" ht="27.6">
      <c r="J71" s="751">
        <v>11</v>
      </c>
      <c r="K71" s="752" t="s">
        <v>126</v>
      </c>
      <c r="L71" s="745"/>
      <c r="M71" s="753">
        <f>IF(R55=1,"Theo NĐ63 bỏ thuế",IF(R55=2,ROUND(VLOOKUP(L51,$K$343:$X$349,14,0),3)))</f>
        <v>0.34599999999999997</v>
      </c>
      <c r="O71" s="745" t="s">
        <v>127</v>
      </c>
      <c r="P71" s="745">
        <v>1</v>
      </c>
    </row>
    <row r="72" spans="10:36">
      <c r="J72" s="748">
        <v>12</v>
      </c>
      <c r="K72" s="745" t="s">
        <v>51</v>
      </c>
      <c r="L72" s="745"/>
      <c r="M72" s="745">
        <f>ROUND(VLOOKUP(L51,$K$367:$X$371,14,0),3)</f>
        <v>3.2029999999999998</v>
      </c>
      <c r="O72" s="745" t="s">
        <v>96</v>
      </c>
      <c r="P72" s="745">
        <v>2</v>
      </c>
    </row>
    <row r="73" spans="10:36">
      <c r="J73" s="746" t="s">
        <v>128</v>
      </c>
      <c r="K73" s="745"/>
      <c r="L73" s="745"/>
      <c r="M73" s="745"/>
      <c r="O73" s="745" t="s">
        <v>129</v>
      </c>
      <c r="P73" s="745">
        <v>3</v>
      </c>
    </row>
    <row r="74" spans="10:36">
      <c r="J74" s="748">
        <v>13</v>
      </c>
      <c r="K74" s="745" t="s">
        <v>130</v>
      </c>
      <c r="L74" s="745"/>
      <c r="M74" s="754">
        <f>ROUND($X$417,3)</f>
        <v>1.9E-2</v>
      </c>
      <c r="O74" s="745" t="s">
        <v>131</v>
      </c>
      <c r="P74" s="745">
        <v>4</v>
      </c>
    </row>
    <row r="75" spans="10:36">
      <c r="J75" s="746" t="s">
        <v>132</v>
      </c>
      <c r="K75" s="745"/>
      <c r="L75" s="745"/>
      <c r="M75" s="745"/>
      <c r="O75" s="887" t="s">
        <v>133</v>
      </c>
      <c r="P75" s="888"/>
    </row>
    <row r="76" spans="10:36">
      <c r="J76" s="748">
        <v>14</v>
      </c>
      <c r="K76" s="745" t="s">
        <v>134</v>
      </c>
      <c r="L76" s="745"/>
      <c r="M76" s="750">
        <f>ROUND($X$423,3)</f>
        <v>0.95</v>
      </c>
      <c r="O76" s="745" t="s">
        <v>135</v>
      </c>
      <c r="P76" s="745">
        <v>1</v>
      </c>
    </row>
    <row r="77" spans="10:36">
      <c r="J77" s="748">
        <v>15</v>
      </c>
      <c r="K77" s="745" t="s">
        <v>136</v>
      </c>
      <c r="L77" s="745"/>
      <c r="M77" s="750">
        <f>ROUND($X$424,3)</f>
        <v>1.6</v>
      </c>
      <c r="O77" s="745" t="s">
        <v>99</v>
      </c>
      <c r="P77" s="745">
        <v>2</v>
      </c>
    </row>
    <row r="78" spans="10:36">
      <c r="J78" s="748"/>
      <c r="K78" s="745"/>
      <c r="L78" s="745"/>
      <c r="M78" s="750"/>
    </row>
    <row r="79" spans="10:36">
      <c r="J79" s="889" t="s">
        <v>1412</v>
      </c>
      <c r="K79" s="889"/>
      <c r="L79" s="889"/>
      <c r="M79" s="889"/>
      <c r="N79" s="889"/>
      <c r="O79" s="889"/>
      <c r="P79" s="889"/>
      <c r="Q79" s="889"/>
      <c r="R79" s="889"/>
      <c r="S79" s="889"/>
      <c r="T79" s="889"/>
      <c r="U79" s="889"/>
      <c r="V79" s="889"/>
    </row>
    <row r="80" spans="10:36" ht="15.6">
      <c r="AA80" s="743" t="str">
        <f>CONCATENATE(M80,"&lt; X &lt;",N80)</f>
        <v>&lt; X &lt;</v>
      </c>
      <c r="AB80" s="743" t="str">
        <f>CONCATENATE(N80,"&lt; X &lt;",O80)</f>
        <v>&lt; X &lt;</v>
      </c>
      <c r="AC80" s="743" t="str">
        <f>CONCATENATE(O80,"&lt; X &lt;",P80)</f>
        <v>&lt; X &lt;</v>
      </c>
      <c r="AD80" s="743" t="str">
        <f>CONCATENATE(P80,"&lt; X &lt;",Q80)</f>
        <v>&lt; X &lt;</v>
      </c>
      <c r="AE80" s="743" t="str">
        <f t="shared" ref="AE80:AJ80" si="2">CONCATENATE(Q80,"&lt; X &lt;",R80)</f>
        <v>&lt; X &lt;</v>
      </c>
      <c r="AF80" s="743" t="str">
        <f t="shared" si="2"/>
        <v>&lt; X &lt;</v>
      </c>
      <c r="AG80" s="743" t="str">
        <f t="shared" si="2"/>
        <v>&lt; X &lt;</v>
      </c>
      <c r="AH80" s="743" t="str">
        <f t="shared" si="2"/>
        <v>&lt; X &lt;</v>
      </c>
      <c r="AI80" s="743" t="str">
        <f t="shared" si="2"/>
        <v>&lt; X &lt;</v>
      </c>
      <c r="AJ80" s="743" t="str">
        <f t="shared" si="2"/>
        <v>&lt; X &lt;</v>
      </c>
    </row>
    <row r="81" spans="10:36" ht="17.399999999999999">
      <c r="J81" s="1" t="s">
        <v>137</v>
      </c>
      <c r="K81" s="1"/>
      <c r="L81" s="1"/>
      <c r="M81" s="1"/>
      <c r="N81" s="1"/>
      <c r="X81" s="72" t="s">
        <v>138</v>
      </c>
      <c r="Y81" s="755">
        <f>L57/10^9</f>
        <v>2.3173309999999998</v>
      </c>
    </row>
    <row r="82" spans="10:36">
      <c r="X82" s="72" t="s">
        <v>139</v>
      </c>
      <c r="Y82" s="690">
        <f>L56/10^9</f>
        <v>1.8148148148148149</v>
      </c>
      <c r="Z82" s="689"/>
      <c r="AA82" s="72">
        <f>IF(AND($M$156&gt;10,$M$156&lt;20),P168+(Q168-P168)*($M$156-$P$167)/($Q$167-$P$167),0)</f>
        <v>13.709999999999976</v>
      </c>
    </row>
    <row r="83" spans="10:36" ht="15.6">
      <c r="J83" s="756" t="s">
        <v>140</v>
      </c>
    </row>
    <row r="84" spans="10:36" ht="15.6">
      <c r="W84" s="757" t="s">
        <v>141</v>
      </c>
      <c r="X84" s="757"/>
    </row>
    <row r="85" spans="10:36" ht="15.6">
      <c r="J85" s="491" t="s">
        <v>142</v>
      </c>
      <c r="K85" s="758" t="s">
        <v>143</v>
      </c>
      <c r="L85" s="878" t="s">
        <v>144</v>
      </c>
      <c r="M85" s="879"/>
      <c r="N85" s="879"/>
      <c r="O85" s="879"/>
      <c r="P85" s="879"/>
      <c r="Q85" s="879"/>
      <c r="R85" s="879"/>
      <c r="S85" s="879"/>
      <c r="T85" s="879"/>
      <c r="U85" s="879"/>
      <c r="V85" s="879"/>
      <c r="W85" s="880"/>
      <c r="X85" s="759"/>
      <c r="Y85" s="760"/>
      <c r="Z85" s="761"/>
      <c r="AA85" s="761"/>
      <c r="AB85" s="761"/>
      <c r="AC85" s="761"/>
      <c r="AD85" s="761"/>
      <c r="AE85" s="756"/>
      <c r="AF85" s="756"/>
      <c r="AG85" s="762"/>
      <c r="AH85" s="762"/>
      <c r="AI85" s="762"/>
      <c r="AJ85" s="762"/>
    </row>
    <row r="86" spans="10:36" ht="15.6">
      <c r="J86" s="763"/>
      <c r="K86" s="759"/>
      <c r="L86" s="764">
        <v>10</v>
      </c>
      <c r="M86" s="491">
        <v>20</v>
      </c>
      <c r="N86" s="491">
        <v>50</v>
      </c>
      <c r="O86" s="491">
        <v>100</v>
      </c>
      <c r="P86" s="491">
        <v>200</v>
      </c>
      <c r="Q86" s="491">
        <v>500</v>
      </c>
      <c r="R86" s="491">
        <v>1000</v>
      </c>
      <c r="S86" s="491">
        <v>2000</v>
      </c>
      <c r="T86" s="491">
        <v>5000</v>
      </c>
      <c r="U86" s="765">
        <v>10000</v>
      </c>
      <c r="V86" s="766">
        <v>20000</v>
      </c>
      <c r="W86" s="766">
        <v>30000</v>
      </c>
      <c r="X86" s="759" t="s">
        <v>145</v>
      </c>
      <c r="Y86" s="767">
        <v>10</v>
      </c>
      <c r="Z86" s="768" t="s">
        <v>146</v>
      </c>
      <c r="AA86" s="768" t="s">
        <v>147</v>
      </c>
      <c r="AB86" s="768" t="s">
        <v>148</v>
      </c>
      <c r="AC86" s="768" t="s">
        <v>149</v>
      </c>
      <c r="AD86" s="768" t="s">
        <v>150</v>
      </c>
      <c r="AE86" s="768" t="s">
        <v>151</v>
      </c>
      <c r="AF86" s="768" t="s">
        <v>152</v>
      </c>
      <c r="AG86" s="768" t="s">
        <v>153</v>
      </c>
      <c r="AH86" s="768" t="s">
        <v>154</v>
      </c>
      <c r="AI86" s="768" t="s">
        <v>155</v>
      </c>
      <c r="AJ86" s="768" t="s">
        <v>156</v>
      </c>
    </row>
    <row r="87" spans="10:36" ht="15.6">
      <c r="J87" s="763">
        <v>1</v>
      </c>
      <c r="K87" s="759" t="s">
        <v>100</v>
      </c>
      <c r="L87" s="769">
        <v>3.4460000000000002</v>
      </c>
      <c r="M87" s="769">
        <v>2.923</v>
      </c>
      <c r="N87" s="769">
        <v>2.61</v>
      </c>
      <c r="O87" s="769">
        <v>2.0169999999999999</v>
      </c>
      <c r="P87" s="769">
        <v>1.8859999999999999</v>
      </c>
      <c r="Q87" s="769">
        <v>1.514</v>
      </c>
      <c r="R87" s="769">
        <v>1.2390000000000001</v>
      </c>
      <c r="S87" s="769">
        <v>0.95799999999999996</v>
      </c>
      <c r="T87" s="769">
        <v>0.71099999999999997</v>
      </c>
      <c r="U87" s="769">
        <v>0.51</v>
      </c>
      <c r="V87" s="769">
        <v>0.38100000000000001</v>
      </c>
      <c r="W87" s="769">
        <v>0.30499999999999999</v>
      </c>
      <c r="X87" s="770">
        <f>SUM(Y87:AJ87)</f>
        <v>3.4460000000000002</v>
      </c>
      <c r="Y87" s="771">
        <f>IF($Y$82&lt;=$L$86,L87,0)</f>
        <v>3.4460000000000002</v>
      </c>
      <c r="Z87" s="772">
        <f>IF(AND($Y$82&gt;10,$Y$82&lt;20),L87+(M87-L87)*($Y$82-$L$86)/($M$86-$L$86),0)</f>
        <v>0</v>
      </c>
      <c r="AA87" s="772">
        <f>IF(AND($Y$82&gt;20,$Y$82&lt;50),M87+(N87-M87)*($Y$82-$M$86)/($N$86-$M$86),0)</f>
        <v>0</v>
      </c>
      <c r="AB87" s="772">
        <f>IF(AND($Y$82&gt;50,$Y$82&lt;100),N87+(O87-N87)*($Y$82-$N$86)/($O$86-$N$86),0)</f>
        <v>0</v>
      </c>
      <c r="AC87" s="772">
        <f>IF(AND($Y$82&gt;100,$Y$82&lt;200),O87+(P87-O87)*($Y$82-$O$86)/($P$86-$O$86),0)</f>
        <v>0</v>
      </c>
      <c r="AD87" s="772">
        <f>IF(AND($Y$82&gt;200,$Y$82&lt;500),P87+(Q87-P87)*($Y$82-$P$86)/($Q$86-$P$86),0)</f>
        <v>0</v>
      </c>
      <c r="AE87" s="772">
        <f>IF(AND($Y$82&gt;500,$Y$82&lt;1000),Q87+(R87-Q87)*($Y$82-$Q$86)/($R$86-$Q$86),0)</f>
        <v>0</v>
      </c>
      <c r="AF87" s="772">
        <f>IF(AND($Y$82&gt;1000,$Y$82&lt;2000),R87+(S87-R87)*($Y$82-$R$86)/($S$86-$R$86),0)</f>
        <v>0</v>
      </c>
      <c r="AG87" s="772">
        <f>IF(AND($Y$82&gt;2000,$Y$82&lt;5000),S87+(T87-S87)*($Y$82-$S$86)/($T$86-$S$86),0)</f>
        <v>0</v>
      </c>
      <c r="AH87" s="772">
        <f>IF(AND($Y$82&gt;5000,$Y$82&lt;10000),T87+(U87-T87)*($Y$82-$T$86)/($U$86-$T$86),0)</f>
        <v>0</v>
      </c>
      <c r="AI87" s="772">
        <f>IF(AND($Y$82&gt;10000,$Y$82&lt;20000),U87+(V87-U87)*($Y$82-$U$86)/($V$86-$U$86),0)</f>
        <v>0</v>
      </c>
      <c r="AJ87" s="772">
        <f>IF(AND($Y$82&gt;20000,$Y$82&lt;30000),V87+(W87-V87)*($Y$82-$V$86)/($W$86-$V$86),0)</f>
        <v>0</v>
      </c>
    </row>
    <row r="88" spans="10:36" ht="15.6">
      <c r="J88" s="763">
        <v>2</v>
      </c>
      <c r="K88" s="759" t="s">
        <v>103</v>
      </c>
      <c r="L88" s="769">
        <v>3.5569999999999999</v>
      </c>
      <c r="M88" s="769">
        <v>3.0179999999999998</v>
      </c>
      <c r="N88" s="769">
        <v>2.694</v>
      </c>
      <c r="O88" s="769">
        <v>2.0819999999999999</v>
      </c>
      <c r="P88" s="769">
        <v>1.9470000000000001</v>
      </c>
      <c r="Q88" s="769">
        <v>1.5640000000000001</v>
      </c>
      <c r="R88" s="769">
        <v>1.2789999999999999</v>
      </c>
      <c r="S88" s="769">
        <v>1.103</v>
      </c>
      <c r="T88" s="769">
        <v>0.73399999999999999</v>
      </c>
      <c r="U88" s="769">
        <v>0.52700000000000002</v>
      </c>
      <c r="V88" s="769">
        <v>0.39300000000000002</v>
      </c>
      <c r="W88" s="769">
        <v>0.314</v>
      </c>
      <c r="X88" s="770">
        <f>SUM(Y88:AJ88)</f>
        <v>3.5569999999999999</v>
      </c>
      <c r="Y88" s="771">
        <f>IF($Y$82&lt;=$L$86,L88,0)</f>
        <v>3.5569999999999999</v>
      </c>
      <c r="Z88" s="772">
        <f>IF(AND($Y$82&gt;10,$Y$82&lt;20),L88+(M88-L88)*($Y$82-$L$86)/($M$86-$L$86),0)</f>
        <v>0</v>
      </c>
      <c r="AA88" s="772">
        <f>IF(AND($Y$82&gt;20,$Y$82&lt;50),M88+(N88-M88)*($Y$82-$M$86)/($N$86-$M$86),0)</f>
        <v>0</v>
      </c>
      <c r="AB88" s="772">
        <f>IF(AND($Y$82&gt;50,$Y$82&lt;100),N88+(O88-N88)*($Y$82-$N$86)/($O$86-$N$86),0)</f>
        <v>0</v>
      </c>
      <c r="AC88" s="772">
        <f>IF(AND($Y$82&gt;100,$Y$82&lt;200),O88+(P88-O88)*($Y$82-$O$86)/($P$86-$O$86),0)</f>
        <v>0</v>
      </c>
      <c r="AD88" s="772">
        <f>IF(AND($Y$82&gt;200,$Y$82&lt;500),P88+(Q88-P88)*($Y$82-$P$86)/($Q$86-$P$86),0)</f>
        <v>0</v>
      </c>
      <c r="AE88" s="772">
        <f>IF(AND($Y$82&gt;500,$Y$82&lt;1000),Q88+(R88-Q88)*($Y$82-$Q$86)/($R$86-$Q$86),0)</f>
        <v>0</v>
      </c>
      <c r="AF88" s="772">
        <f>IF(AND($Y$82&gt;1000,$Y$82&lt;2000),R88+(S88-R88)*($Y$82-$R$86)/($S$86-$R$86),0)</f>
        <v>0</v>
      </c>
      <c r="AG88" s="772">
        <f>IF(AND($Y$82&gt;2000,$Y$82&lt;5000),S88+(T88-S88)*($Y$82-$S$86)/($T$86-$S$86),0)</f>
        <v>0</v>
      </c>
      <c r="AH88" s="772">
        <f>IF(AND($Y$82&gt;5000,$Y$82&lt;10000),T88+(U88-T88)*($Y$82-$T$86)/($U$86-$T$86),0)</f>
        <v>0</v>
      </c>
      <c r="AI88" s="772">
        <f>IF(AND($Y$82&gt;10000,$Y$82&lt;20000),U88+(V88-U88)*($Y$82-$U$86)/($V$86-$U$86),0)</f>
        <v>0</v>
      </c>
      <c r="AJ88" s="772">
        <f>IF(AND($Y$82&gt;20000,$Y$82&lt;30000),V88+(W88-V88)*($Y$82-$V$86)/($W$86-$V$86),0)</f>
        <v>0</v>
      </c>
    </row>
    <row r="89" spans="10:36" ht="15.6">
      <c r="J89" s="763">
        <v>3</v>
      </c>
      <c r="K89" s="759" t="s">
        <v>89</v>
      </c>
      <c r="L89" s="769">
        <v>3.024</v>
      </c>
      <c r="M89" s="769">
        <v>2.5659999999999998</v>
      </c>
      <c r="N89" s="769">
        <v>2.2919999999999998</v>
      </c>
      <c r="O89" s="769">
        <v>1.7709999999999999</v>
      </c>
      <c r="P89" s="769">
        <v>1.655</v>
      </c>
      <c r="Q89" s="769">
        <v>1.329</v>
      </c>
      <c r="R89" s="769">
        <v>1.0880000000000001</v>
      </c>
      <c r="S89" s="769">
        <v>0.93700000000000006</v>
      </c>
      <c r="T89" s="769">
        <v>0.624</v>
      </c>
      <c r="U89" s="769">
        <v>0.44800000000000001</v>
      </c>
      <c r="V89" s="769">
        <v>0.33500000000000002</v>
      </c>
      <c r="W89" s="769">
        <v>0.26800000000000002</v>
      </c>
      <c r="X89" s="770">
        <f>SUM(Y89:AJ89)</f>
        <v>3.024</v>
      </c>
      <c r="Y89" s="771">
        <f>IF($Y$82&lt;=$L$86,L89,0)</f>
        <v>3.024</v>
      </c>
      <c r="Z89" s="772">
        <f>IF(AND($Y$82&gt;10,$Y$82&lt;20),L89+(M89-L89)*($Y$82-$L$86)/($M$86-$L$86),0)</f>
        <v>0</v>
      </c>
      <c r="AA89" s="772">
        <f>IF(AND($Y$82&gt;20,$Y$82&lt;50),M89+(N89-M89)*($Y$82-$M$86)/($N$86-$M$86),0)</f>
        <v>0</v>
      </c>
      <c r="AB89" s="772">
        <f>IF(AND($Y$82&gt;50,$Y$82&lt;100),N89+(O89-N89)*($Y$82-$N$86)/($O$86-$N$86),0)</f>
        <v>0</v>
      </c>
      <c r="AC89" s="772">
        <f>IF(AND($Y$82&gt;100,$Y$82&lt;200),O89+(P89-O89)*($Y$82-$O$86)/($P$86-$O$86),0)</f>
        <v>0</v>
      </c>
      <c r="AD89" s="772">
        <f>IF(AND($Y$82&gt;200,$Y$82&lt;500),P89+(Q89-P89)*($Y$82-$P$86)/($Q$86-$P$86),0)</f>
        <v>0</v>
      </c>
      <c r="AE89" s="772">
        <f>IF(AND($Y$82&gt;500,$Y$82&lt;1000),Q89+(R89-Q89)*($Y$82-$Q$86)/($R$86-$Q$86),0)</f>
        <v>0</v>
      </c>
      <c r="AF89" s="772">
        <f>IF(AND($Y$82&gt;1000,$Y$82&lt;2000),R89+(S89-R89)*($Y$82-$R$86)/($S$86-$R$86),0)</f>
        <v>0</v>
      </c>
      <c r="AG89" s="772">
        <f>IF(AND($Y$82&gt;2000,$Y$82&lt;5000),S89+(T89-S89)*($Y$82-$S$86)/($T$86-$S$86),0)</f>
        <v>0</v>
      </c>
      <c r="AH89" s="772">
        <f>IF(AND($Y$82&gt;5000,$Y$82&lt;10000),T89+(U89-T89)*($Y$82-$T$86)/($U$86-$T$86),0)</f>
        <v>0</v>
      </c>
      <c r="AI89" s="772">
        <f>IF(AND($Y$82&gt;10000,$Y$82&lt;20000),U89+(V89-U89)*($Y$82-$U$86)/($V$86-$U$86),0)</f>
        <v>0</v>
      </c>
      <c r="AJ89" s="772">
        <f>IF(AND($Y$82&gt;20000,$Y$82&lt;30000),V89+(W89-V89)*($Y$82-$V$86)/($W$86-$V$86),0)</f>
        <v>0</v>
      </c>
    </row>
    <row r="90" spans="10:36" ht="15.6">
      <c r="J90" s="763">
        <v>4</v>
      </c>
      <c r="K90" s="759" t="s">
        <v>106</v>
      </c>
      <c r="L90" s="769">
        <v>3.2629999999999999</v>
      </c>
      <c r="M90" s="769">
        <v>2.7690000000000001</v>
      </c>
      <c r="N90" s="769">
        <v>2.4729999999999999</v>
      </c>
      <c r="O90" s="769">
        <v>1.91</v>
      </c>
      <c r="P90" s="769">
        <v>1.786</v>
      </c>
      <c r="Q90" s="769">
        <v>1.4339999999999999</v>
      </c>
      <c r="R90" s="769">
        <v>1.1739999999999999</v>
      </c>
      <c r="S90" s="769">
        <v>1.012</v>
      </c>
      <c r="T90" s="769">
        <v>0.67400000000000004</v>
      </c>
      <c r="U90" s="769">
        <v>0.48399999999999999</v>
      </c>
      <c r="V90" s="769">
        <v>0.36099999999999999</v>
      </c>
      <c r="W90" s="769">
        <v>0.28899999999999998</v>
      </c>
      <c r="X90" s="770">
        <f>SUM(Y90:AJ90)</f>
        <v>3.2629999999999999</v>
      </c>
      <c r="Y90" s="771">
        <f>IF($Y$82&lt;=$L$86,L90,0)</f>
        <v>3.2629999999999999</v>
      </c>
      <c r="Z90" s="772">
        <f>IF(AND($Y$82&gt;10,$Y$82&lt;20),L90+(M90-L90)*($Y$82-$L$86)/($M$86-$L$86),0)</f>
        <v>0</v>
      </c>
      <c r="AA90" s="772">
        <f>IF(AND($Y$82&gt;20,$Y$82&lt;50),M90+(N90-M90)*($Y$82-$M$86)/($N$86-$M$86),0)</f>
        <v>0</v>
      </c>
      <c r="AB90" s="772">
        <f>IF(AND($Y$82&gt;50,$Y$82&lt;100),N90+(O90-N90)*($Y$82-$N$86)/($O$86-$N$86),0)</f>
        <v>0</v>
      </c>
      <c r="AC90" s="772">
        <f>IF(AND($Y$82&gt;100,$Y$82&lt;200),O90+(P90-O90)*($Y$82-$O$86)/($P$86-$O$86),0)</f>
        <v>0</v>
      </c>
      <c r="AD90" s="772">
        <f>IF(AND($Y$82&gt;200,$Y$82&lt;500),P90+(Q90-P90)*($Y$82-$P$86)/($Q$86-$P$86),0)</f>
        <v>0</v>
      </c>
      <c r="AE90" s="772">
        <f>IF(AND($Y$82&gt;500,$Y$82&lt;1000),Q90+(R90-Q90)*($Y$82-$Q$86)/($R$86-$Q$86),0)</f>
        <v>0</v>
      </c>
      <c r="AF90" s="772">
        <f>IF(AND($Y$82&gt;1000,$Y$82&lt;2000),R90+(S90-R90)*($Y$82-$R$86)/($S$86-$R$86),0)</f>
        <v>0</v>
      </c>
      <c r="AG90" s="772">
        <f>IF(AND($Y$82&gt;2000,$Y$82&lt;5000),S90+(T90-S90)*($Y$82-$S$86)/($T$86-$S$86),0)</f>
        <v>0</v>
      </c>
      <c r="AH90" s="772">
        <f>IF(AND($Y$82&gt;5000,$Y$82&lt;10000),T90+(U90-T90)*($Y$82-$T$86)/($U$86-$T$86),0)</f>
        <v>0</v>
      </c>
      <c r="AI90" s="772">
        <f>IF(AND($Y$82&gt;10000,$Y$82&lt;20000),U90+(V90-U90)*($Y$82-$U$86)/($V$86-$U$86),0)</f>
        <v>0</v>
      </c>
      <c r="AJ90" s="772">
        <f>IF(AND($Y$82&gt;20000,$Y$82&lt;30000),V90+(W90-V90)*($Y$82-$V$86)/($W$86-$V$86),0)</f>
        <v>0</v>
      </c>
    </row>
    <row r="91" spans="10:36" ht="15.6">
      <c r="J91" s="763">
        <v>5</v>
      </c>
      <c r="K91" s="759" t="s">
        <v>108</v>
      </c>
      <c r="L91" s="769">
        <v>2.9009999999999998</v>
      </c>
      <c r="M91" s="769">
        <v>2.4609999999999999</v>
      </c>
      <c r="N91" s="769">
        <v>2.198</v>
      </c>
      <c r="O91" s="769">
        <v>1.593</v>
      </c>
      <c r="P91" s="769">
        <v>1.56</v>
      </c>
      <c r="Q91" s="769">
        <v>1.2749999999999999</v>
      </c>
      <c r="R91" s="769">
        <v>1.071</v>
      </c>
      <c r="S91" s="769">
        <v>0.89900000000000002</v>
      </c>
      <c r="T91" s="769">
        <v>0.59899999999999998</v>
      </c>
      <c r="U91" s="769">
        <v>0.42899999999999999</v>
      </c>
      <c r="V91" s="769">
        <v>0.32100000000000001</v>
      </c>
      <c r="W91" s="769">
        <v>0.25700000000000001</v>
      </c>
      <c r="X91" s="770">
        <f>SUM(Y91:AJ91)</f>
        <v>2.9009999999999998</v>
      </c>
      <c r="Y91" s="771">
        <f>IF($Y$82&lt;=$L$86,L91,0)</f>
        <v>2.9009999999999998</v>
      </c>
      <c r="Z91" s="772">
        <f>IF(AND($Y$82&gt;10,$Y$82&lt;20),L91+(M91-L91)*($Y$82-$L$86)/($M$86-$L$86),0)</f>
        <v>0</v>
      </c>
      <c r="AA91" s="772">
        <f>IF(AND($Y$82&gt;20,$Y$82&lt;50),M91+(N91-M91)*($Y$82-$M$86)/($N$86-$M$86),0)</f>
        <v>0</v>
      </c>
      <c r="AB91" s="772">
        <f>IF(AND($Y$82&gt;50,$Y$82&lt;100),N91+(O91-N91)*($Y$82-$N$86)/($O$86-$N$86),0)</f>
        <v>0</v>
      </c>
      <c r="AC91" s="772">
        <f>IF(AND($Y$82&gt;100,$Y$82&lt;200),O91+(P91-O91)*($Y$82-$O$86)/($P$86-$O$86),0)</f>
        <v>0</v>
      </c>
      <c r="AD91" s="772">
        <f>IF(AND($Y$82&gt;200,$Y$82&lt;500),P91+(Q91-P91)*($Y$82-$P$86)/($Q$86-$P$86),0)</f>
        <v>0</v>
      </c>
      <c r="AE91" s="772">
        <f>IF(AND($Y$82&gt;500,$Y$82&lt;1000),Q91+(R91-Q91)*($Y$82-$Q$86)/($R$86-$Q$86),0)</f>
        <v>0</v>
      </c>
      <c r="AF91" s="772">
        <f>IF(AND($Y$82&gt;1000,$Y$82&lt;2000),R91+(S91-R91)*($Y$82-$R$86)/($S$86-$R$86),0)</f>
        <v>0</v>
      </c>
      <c r="AG91" s="772">
        <f>IF(AND($Y$82&gt;2000,$Y$82&lt;5000),S91+(T91-S91)*($Y$82-$S$86)/($T$86-$S$86),0)</f>
        <v>0</v>
      </c>
      <c r="AH91" s="772">
        <f>IF(AND($Y$82&gt;5000,$Y$82&lt;10000),T91+(U91-T91)*($Y$82-$T$86)/($U$86-$T$86),0)</f>
        <v>0</v>
      </c>
      <c r="AI91" s="772">
        <f>IF(AND($Y$82&gt;10000,$Y$82&lt;20000),U91+(V91-U91)*($Y$82-$U$86)/($V$86-$U$86),0)</f>
        <v>0</v>
      </c>
      <c r="AJ91" s="772">
        <f>IF(AND($Y$82&gt;20000,$Y$82&lt;30000),V91+(W91-V91)*($Y$82-$V$86)/($W$86-$V$86),0)</f>
        <v>0</v>
      </c>
    </row>
    <row r="94" spans="10:36" ht="15.6">
      <c r="J94" s="773" t="s">
        <v>157</v>
      </c>
      <c r="K94" s="774"/>
      <c r="L94" s="774"/>
      <c r="M94" s="774"/>
      <c r="N94" s="774"/>
      <c r="O94" s="774"/>
      <c r="P94" s="774"/>
      <c r="Q94" s="774"/>
      <c r="R94" s="774"/>
      <c r="S94" s="774"/>
      <c r="T94" s="774"/>
      <c r="U94" s="774"/>
      <c r="V94" s="774"/>
      <c r="W94" s="774"/>
      <c r="X94" s="775"/>
    </row>
    <row r="95" spans="10:36" ht="15.6">
      <c r="J95" s="776"/>
      <c r="K95" s="774"/>
      <c r="L95" s="774"/>
      <c r="M95" s="774"/>
      <c r="N95" s="774"/>
      <c r="O95" s="774"/>
      <c r="P95" s="774"/>
      <c r="Q95" s="774"/>
      <c r="R95" s="774"/>
      <c r="S95" s="774"/>
      <c r="T95" s="774"/>
      <c r="U95" s="774"/>
      <c r="V95" s="774"/>
      <c r="W95" s="757" t="s">
        <v>141</v>
      </c>
      <c r="X95" s="757"/>
    </row>
    <row r="96" spans="10:36" ht="15.6">
      <c r="J96" s="777" t="s">
        <v>142</v>
      </c>
      <c r="K96" s="777" t="s">
        <v>143</v>
      </c>
      <c r="L96" s="778" t="s">
        <v>158</v>
      </c>
      <c r="M96" s="779"/>
      <c r="N96" s="779"/>
      <c r="O96" s="779"/>
      <c r="P96" s="779"/>
      <c r="Q96" s="779"/>
      <c r="R96" s="779"/>
      <c r="S96" s="779"/>
      <c r="T96" s="779"/>
      <c r="U96" s="779"/>
      <c r="V96" s="779"/>
      <c r="W96" s="780"/>
      <c r="X96" s="759"/>
      <c r="Y96" s="760"/>
      <c r="Z96" s="761"/>
      <c r="AA96" s="761"/>
      <c r="AB96" s="761"/>
      <c r="AC96" s="761"/>
      <c r="AD96" s="761"/>
      <c r="AE96" s="756"/>
      <c r="AF96" s="756"/>
      <c r="AG96" s="762"/>
      <c r="AH96" s="762"/>
      <c r="AI96" s="762"/>
      <c r="AJ96" s="762"/>
    </row>
    <row r="97" spans="10:36" ht="15.6">
      <c r="J97" s="781"/>
      <c r="K97" s="782"/>
      <c r="L97" s="783">
        <v>15</v>
      </c>
      <c r="M97" s="784">
        <v>20</v>
      </c>
      <c r="N97" s="784">
        <v>50</v>
      </c>
      <c r="O97" s="784">
        <v>100</v>
      </c>
      <c r="P97" s="784">
        <v>200</v>
      </c>
      <c r="Q97" s="784">
        <v>500</v>
      </c>
      <c r="R97" s="784">
        <v>1000</v>
      </c>
      <c r="S97" s="784">
        <v>2000</v>
      </c>
      <c r="T97" s="784">
        <v>5000</v>
      </c>
      <c r="U97" s="784">
        <v>10000</v>
      </c>
      <c r="V97" s="784">
        <v>20000</v>
      </c>
      <c r="W97" s="784">
        <v>30000</v>
      </c>
      <c r="X97" s="759" t="s">
        <v>145</v>
      </c>
      <c r="Y97" s="767">
        <v>10</v>
      </c>
      <c r="Z97" s="768" t="s">
        <v>159</v>
      </c>
      <c r="AA97" s="768" t="s">
        <v>147</v>
      </c>
      <c r="AB97" s="768" t="s">
        <v>148</v>
      </c>
      <c r="AC97" s="768" t="s">
        <v>149</v>
      </c>
      <c r="AD97" s="768" t="s">
        <v>150</v>
      </c>
      <c r="AE97" s="768" t="s">
        <v>151</v>
      </c>
      <c r="AF97" s="768" t="s">
        <v>152</v>
      </c>
      <c r="AG97" s="768" t="s">
        <v>153</v>
      </c>
      <c r="AH97" s="768" t="s">
        <v>154</v>
      </c>
      <c r="AI97" s="768" t="s">
        <v>155</v>
      </c>
      <c r="AJ97" s="768" t="s">
        <v>156</v>
      </c>
    </row>
    <row r="98" spans="10:36" ht="15.6">
      <c r="J98" s="785">
        <v>1</v>
      </c>
      <c r="K98" s="786" t="s">
        <v>100</v>
      </c>
      <c r="L98" s="784">
        <v>0.66800000000000004</v>
      </c>
      <c r="M98" s="784">
        <v>0.503</v>
      </c>
      <c r="N98" s="784">
        <v>0.376</v>
      </c>
      <c r="O98" s="784">
        <v>0.24</v>
      </c>
      <c r="P98" s="784">
        <v>0.161</v>
      </c>
      <c r="Q98" s="784">
        <v>0.1</v>
      </c>
      <c r="R98" s="784">
        <v>8.5999999999999993E-2</v>
      </c>
      <c r="S98" s="784">
        <v>7.2999999999999995E-2</v>
      </c>
      <c r="T98" s="784">
        <v>0.05</v>
      </c>
      <c r="U98" s="784">
        <v>0.04</v>
      </c>
      <c r="V98" s="784">
        <v>2.5999999999999999E-2</v>
      </c>
      <c r="W98" s="784">
        <v>2.1999999999999999E-2</v>
      </c>
      <c r="X98" s="770">
        <f>SUM(Y98:AJ98)</f>
        <v>0.66800000000000004</v>
      </c>
      <c r="Y98" s="771">
        <f>IF($Y$82&lt;=$L$97,L98,0)</f>
        <v>0.66800000000000004</v>
      </c>
      <c r="Z98" s="772">
        <f>IF(AND($Y$82&gt;15,$Y$82&lt;20),L98+(M98-L98)*($Y$82-$L$97)/($M$97-$L$97),0)</f>
        <v>0</v>
      </c>
      <c r="AA98" s="772">
        <f>IF(AND($Y$82&gt;20,$Y$82&lt;50),M98+(N98-M98)*($Y$82-$M$97)/($N$97-$M$97),0)</f>
        <v>0</v>
      </c>
      <c r="AB98" s="772">
        <f>IF(AND($Y$82&gt;50,$Y$82&lt;100),N98+(O98-N98)*($Y$82-$N$97)/($O$97-$N$97),0)</f>
        <v>0</v>
      </c>
      <c r="AC98" s="772">
        <f>IF(AND($Y$82&gt;100,$Y$82&lt;200),O98+(P98-O98)*($Y$82-$O$97)/($P$97-$O$97),0)</f>
        <v>0</v>
      </c>
      <c r="AD98" s="772">
        <f>IF(AND($Y$82&gt;200,$Y$82&lt;500),P98+(Q98-P98)*($Y$82-$P$97)/($Q$97-$P$97),0)</f>
        <v>0</v>
      </c>
      <c r="AE98" s="772">
        <f>IF(AND($Y$82&gt;500,$Y$82&lt;1000),Q98+(R98-Q98)*($Y$82-$Q$97)/($R$97-$Q$97),0)</f>
        <v>0</v>
      </c>
      <c r="AF98" s="772">
        <f>IF(AND($Y$82&gt;1000,$Y$82&lt;2000),R98+(S98-R98)*($Y$82-$R$97)/($S$97-$R$97),0)</f>
        <v>0</v>
      </c>
      <c r="AG98" s="772">
        <f>IF(AND($Y$82&gt;2000,$Y$82&lt;5000),S98+(T98-S98)*($Y$82-$S$97)/($T$97-$S$97),0)</f>
        <v>0</v>
      </c>
      <c r="AH98" s="772">
        <f>IF(AND($Y$82&gt;5000,$Y$82&lt;10000),T98+(U98-T98)*($Y$82-$T$97)/($U$97-$T$97),0)</f>
        <v>0</v>
      </c>
      <c r="AI98" s="772">
        <f>IF(AND($Y$82&gt;10000,$Y$82&lt;20000),U98+(V98-U98)*($Y$82-$U$97)/($V$97-$U$97),0)</f>
        <v>0</v>
      </c>
      <c r="AJ98" s="772">
        <f>IF(AND($Y$82&gt;20000,$Y$82&lt;30000),V98+(W98-V98)*($Y$82-$V$97)/($W$97-$V$97),0)</f>
        <v>0</v>
      </c>
    </row>
    <row r="99" spans="10:36" ht="15.6">
      <c r="J99" s="785">
        <v>2</v>
      </c>
      <c r="K99" s="786" t="s">
        <v>103</v>
      </c>
      <c r="L99" s="784">
        <v>0.75700000000000001</v>
      </c>
      <c r="M99" s="784">
        <v>0.61199999999999999</v>
      </c>
      <c r="N99" s="784">
        <v>0.441</v>
      </c>
      <c r="O99" s="784">
        <v>0.29399999999999998</v>
      </c>
      <c r="P99" s="784">
        <v>0.20599999999999999</v>
      </c>
      <c r="Q99" s="784">
        <v>0.16300000000000001</v>
      </c>
      <c r="R99" s="784">
        <v>0.14099999999999999</v>
      </c>
      <c r="S99" s="784">
        <v>0.11</v>
      </c>
      <c r="T99" s="784">
        <v>7.3999999999999996E-2</v>
      </c>
      <c r="U99" s="784">
        <v>5.7000000000000002E-2</v>
      </c>
      <c r="V99" s="784">
        <v>3.4000000000000002E-2</v>
      </c>
      <c r="W99" s="784">
        <v>2.7E-2</v>
      </c>
      <c r="X99" s="770">
        <f>SUM(Y99:AJ99)</f>
        <v>0.75700000000000001</v>
      </c>
      <c r="Y99" s="771">
        <f>IF($Y$82&lt;=$L$97,L99,0)</f>
        <v>0.75700000000000001</v>
      </c>
      <c r="Z99" s="772">
        <f>IF(AND($Y$82&gt;15,$Y$82&lt;20),L99+(M99-L99)*($Y$82-$L$97)/($M$97-$L$97),0)</f>
        <v>0</v>
      </c>
      <c r="AA99" s="772">
        <f>IF(AND($Y$82&gt;20,$Y$82&lt;50),M99+(N99-M99)*($Y$82-$M$97)/($N$97-$M$97),0)</f>
        <v>0</v>
      </c>
      <c r="AB99" s="772">
        <f>IF(AND($Y$82&gt;50,$Y$82&lt;100),N99+(O99-N99)*($Y$82-$N$97)/($O$97-$N$97),0)</f>
        <v>0</v>
      </c>
      <c r="AC99" s="772">
        <f>IF(AND($Y$82&gt;100,$Y$82&lt;200),O99+(P99-O99)*($Y$82-$O$97)/($P$97-$O$97),0)</f>
        <v>0</v>
      </c>
      <c r="AD99" s="772">
        <f>IF(AND($Y$82&gt;200,$Y$82&lt;500),P99+(Q99-P99)*($Y$82-$P$97)/($Q$97-$P$97),0)</f>
        <v>0</v>
      </c>
      <c r="AE99" s="772">
        <f>IF(AND($Y$82&gt;500,$Y$82&lt;1000),Q99+(R99-Q99)*($Y$82-$Q$97)/($R$97-$Q$97),0)</f>
        <v>0</v>
      </c>
      <c r="AF99" s="772">
        <f>IF(AND($Y$82&gt;1000,$Y$82&lt;2000),R99+(S99-R99)*($Y$82-$R$97)/($S$97-$R$97),0)</f>
        <v>0</v>
      </c>
      <c r="AG99" s="772">
        <f>IF(AND($Y$82&gt;2000,$Y$82&lt;5000),S99+(T99-S99)*($Y$82-$S$97)/($T$97-$S$97),0)</f>
        <v>0</v>
      </c>
      <c r="AH99" s="772">
        <f>IF(AND($Y$82&gt;5000,$Y$82&lt;10000),T99+(U99-T99)*($Y$82-$T$97)/($U$97-$T$97),0)</f>
        <v>0</v>
      </c>
      <c r="AI99" s="772">
        <f>IF(AND($Y$82&gt;10000,$Y$82&lt;20000),U99+(V99-U99)*($Y$82-$U$97)/($V$97-$U$97),0)</f>
        <v>0</v>
      </c>
      <c r="AJ99" s="772">
        <f>IF(AND($Y$82&gt;20000,$Y$82&lt;30000),V99+(W99-V99)*($Y$82-$V$97)/($W$97-$V$97),0)</f>
        <v>0</v>
      </c>
    </row>
    <row r="100" spans="10:36" ht="15.6">
      <c r="J100" s="785">
        <v>3</v>
      </c>
      <c r="K100" s="786" t="s">
        <v>89</v>
      </c>
      <c r="L100" s="784">
        <v>0.41299999999999998</v>
      </c>
      <c r="M100" s="784">
        <v>0.34499999999999997</v>
      </c>
      <c r="N100" s="784">
        <v>0.251</v>
      </c>
      <c r="O100" s="784">
        <v>0.17699999999999999</v>
      </c>
      <c r="P100" s="784">
        <v>0.108</v>
      </c>
      <c r="Q100" s="784">
        <v>7.0999999999999994E-2</v>
      </c>
      <c r="R100" s="784">
        <v>6.2E-2</v>
      </c>
      <c r="S100" s="784">
        <v>5.2999999999999999E-2</v>
      </c>
      <c r="T100" s="784">
        <v>3.5999999999999997E-2</v>
      </c>
      <c r="U100" s="784">
        <v>2.9000000000000001E-2</v>
      </c>
      <c r="V100" s="784">
        <v>1.9E-2</v>
      </c>
      <c r="W100" s="784">
        <v>1.6E-2</v>
      </c>
      <c r="X100" s="770">
        <f>SUM(Y100:AJ100)</f>
        <v>0.41299999999999998</v>
      </c>
      <c r="Y100" s="771">
        <f>IF($Y$82&lt;=$L$97,L100,0)</f>
        <v>0.41299999999999998</v>
      </c>
      <c r="Z100" s="772">
        <f>IF(AND($Y$82&gt;15,$Y$82&lt;20),L100+(M100-L100)*($Y$82-$L$97)/($M$97-$L$97),0)</f>
        <v>0</v>
      </c>
      <c r="AA100" s="772">
        <f>IF(AND($Y$82&gt;20,$Y$82&lt;50),M100+(N100-M100)*($Y$82-$M$97)/($N$97-$M$97),0)</f>
        <v>0</v>
      </c>
      <c r="AB100" s="772">
        <f>IF(AND($Y$82&gt;50,$Y$82&lt;100),N100+(O100-N100)*($Y$82-$N$97)/($O$97-$N$97),0)</f>
        <v>0</v>
      </c>
      <c r="AC100" s="772">
        <f>IF(AND($Y$82&gt;100,$Y$82&lt;200),O100+(P100-O100)*($Y$82-$O$97)/($P$97-$O$97),0)</f>
        <v>0</v>
      </c>
      <c r="AD100" s="772">
        <f>IF(AND($Y$82&gt;200,$Y$82&lt;500),P100+(Q100-P100)*($Y$82-$P$97)/($Q$97-$P$97),0)</f>
        <v>0</v>
      </c>
      <c r="AE100" s="772">
        <f>IF(AND($Y$82&gt;500,$Y$82&lt;1000),Q100+(R100-Q100)*($Y$82-$Q$97)/($R$97-$Q$97),0)</f>
        <v>0</v>
      </c>
      <c r="AF100" s="772">
        <f>IF(AND($Y$82&gt;1000,$Y$82&lt;2000),R100+(S100-R100)*($Y$82-$R$97)/($S$97-$R$97),0)</f>
        <v>0</v>
      </c>
      <c r="AG100" s="772">
        <f>IF(AND($Y$82&gt;2000,$Y$82&lt;5000),S100+(T100-S100)*($Y$82-$S$97)/($T$97-$S$97),0)</f>
        <v>0</v>
      </c>
      <c r="AH100" s="772">
        <f>IF(AND($Y$82&gt;5000,$Y$82&lt;10000),T100+(U100-T100)*($Y$82-$T$97)/($U$97-$T$97),0)</f>
        <v>0</v>
      </c>
      <c r="AI100" s="772">
        <f>IF(AND($Y$82&gt;10000,$Y$82&lt;20000),U100+(V100-U100)*($Y$82-$U$97)/($V$97-$U$97),0)</f>
        <v>0</v>
      </c>
      <c r="AJ100" s="772">
        <f>IF(AND($Y$82&gt;20000,$Y$82&lt;30000),V100+(W100-V100)*($Y$82-$V$97)/($W$97-$V$97),0)</f>
        <v>0</v>
      </c>
    </row>
    <row r="101" spans="10:36" ht="15.6">
      <c r="J101" s="785">
        <v>4</v>
      </c>
      <c r="K101" s="786" t="s">
        <v>106</v>
      </c>
      <c r="L101" s="784">
        <v>0.56599999999999995</v>
      </c>
      <c r="M101" s="784">
        <v>0.47199999999999998</v>
      </c>
      <c r="N101" s="784">
        <v>0.34300000000000003</v>
      </c>
      <c r="O101" s="784">
        <v>0.216</v>
      </c>
      <c r="P101" s="784">
        <v>0.14399999999999999</v>
      </c>
      <c r="Q101" s="784">
        <v>9.6000000000000002E-2</v>
      </c>
      <c r="R101" s="784">
        <v>8.2000000000000003E-2</v>
      </c>
      <c r="S101" s="784">
        <v>7.0000000000000007E-2</v>
      </c>
      <c r="T101" s="784">
        <v>4.8000000000000001E-2</v>
      </c>
      <c r="U101" s="784">
        <v>3.9E-2</v>
      </c>
      <c r="V101" s="784">
        <v>2.5000000000000001E-2</v>
      </c>
      <c r="W101" s="784">
        <v>2.1000000000000001E-2</v>
      </c>
      <c r="X101" s="770">
        <f>SUM(Y101:AJ101)</f>
        <v>0.56599999999999995</v>
      </c>
      <c r="Y101" s="771">
        <f>IF($Y$82&lt;=$L$97,L101,0)</f>
        <v>0.56599999999999995</v>
      </c>
      <c r="Z101" s="772">
        <f>IF(AND($Y$82&gt;15,$Y$82&lt;20),L101+(M101-L101)*($Y$82-$L$97)/($M$97-$L$97),0)</f>
        <v>0</v>
      </c>
      <c r="AA101" s="772">
        <f>IF(AND($Y$82&gt;20,$Y$82&lt;50),M101+(N101-M101)*($Y$82-$M$97)/($N$97-$M$97),0)</f>
        <v>0</v>
      </c>
      <c r="AB101" s="772">
        <f>IF(AND($Y$82&gt;50,$Y$82&lt;100),N101+(O101-N101)*($Y$82-$N$97)/($O$97-$N$97),0)</f>
        <v>0</v>
      </c>
      <c r="AC101" s="772">
        <f>IF(AND($Y$82&gt;100,$Y$82&lt;200),O101+(P101-O101)*($Y$82-$O$97)/($P$97-$O$97),0)</f>
        <v>0</v>
      </c>
      <c r="AD101" s="772">
        <f>IF(AND($Y$82&gt;200,$Y$82&lt;500),P101+(Q101-P101)*($Y$82-$P$97)/($Q$97-$P$97),0)</f>
        <v>0</v>
      </c>
      <c r="AE101" s="772">
        <f>IF(AND($Y$82&gt;500,$Y$82&lt;1000),Q101+(R101-Q101)*($Y$82-$Q$97)/($R$97-$Q$97),0)</f>
        <v>0</v>
      </c>
      <c r="AF101" s="772">
        <f>IF(AND($Y$82&gt;1000,$Y$82&lt;2000),R101+(S101-R101)*($Y$82-$R$97)/($S$97-$R$97),0)</f>
        <v>0</v>
      </c>
      <c r="AG101" s="772">
        <f>IF(AND($Y$82&gt;2000,$Y$82&lt;5000),S101+(T101-S101)*($Y$82-$S$97)/($T$97-$S$97),0)</f>
        <v>0</v>
      </c>
      <c r="AH101" s="772">
        <f>IF(AND($Y$82&gt;5000,$Y$82&lt;10000),T101+(U101-T101)*($Y$82-$T$97)/($U$97-$T$97),0)</f>
        <v>0</v>
      </c>
      <c r="AI101" s="772">
        <f>IF(AND($Y$82&gt;10000,$Y$82&lt;20000),U101+(V101-U101)*($Y$82-$U$97)/($V$97-$U$97),0)</f>
        <v>0</v>
      </c>
      <c r="AJ101" s="772">
        <f>IF(AND($Y$82&gt;20000,$Y$82&lt;30000),V101+(W101-V101)*($Y$82-$V$97)/($W$97-$V$97),0)</f>
        <v>0</v>
      </c>
    </row>
    <row r="102" spans="10:36" ht="15.6">
      <c r="J102" s="785">
        <v>5</v>
      </c>
      <c r="K102" s="786" t="s">
        <v>108</v>
      </c>
      <c r="L102" s="784">
        <v>0.43099999999999999</v>
      </c>
      <c r="M102" s="784">
        <v>0.36</v>
      </c>
      <c r="N102" s="784">
        <v>0.26200000000000001</v>
      </c>
      <c r="O102" s="784">
        <v>0.183</v>
      </c>
      <c r="P102" s="784">
        <v>0.112</v>
      </c>
      <c r="Q102" s="784">
        <v>7.3999999999999996E-2</v>
      </c>
      <c r="R102" s="784">
        <v>6.5000000000000002E-2</v>
      </c>
      <c r="S102" s="784">
        <v>5.5E-2</v>
      </c>
      <c r="T102" s="784">
        <v>3.7999999999999999E-2</v>
      </c>
      <c r="U102" s="784">
        <v>0.03</v>
      </c>
      <c r="V102" s="784">
        <v>0.02</v>
      </c>
      <c r="W102" s="787">
        <v>1.7000000000001299E-2</v>
      </c>
      <c r="X102" s="770">
        <f>SUM(Y102:AJ102)</f>
        <v>0.43099999999999999</v>
      </c>
      <c r="Y102" s="771">
        <f>IF($Y$82&lt;=$L$97,L102,0)</f>
        <v>0.43099999999999999</v>
      </c>
      <c r="Z102" s="772">
        <f>IF(AND($Y$82&gt;15,$Y$82&lt;20),L102+(M102-L102)*($Y$82-$L$97)/($M$97-$L$97),0)</f>
        <v>0</v>
      </c>
      <c r="AA102" s="772">
        <f>IF(AND($Y$82&gt;20,$Y$82&lt;50),M102+(N102-M102)*($Y$82-$M$97)/($N$97-$M$97),0)</f>
        <v>0</v>
      </c>
      <c r="AB102" s="772">
        <f>IF(AND($Y$82&gt;50,$Y$82&lt;100),N102+(O102-N102)*($Y$82-$N$97)/($O$97-$N$97),0)</f>
        <v>0</v>
      </c>
      <c r="AC102" s="772">
        <f>IF(AND($Y$82&gt;100,$Y$82&lt;200),O102+(P102-O102)*($Y$82-$O$97)/($P$97-$O$97),0)</f>
        <v>0</v>
      </c>
      <c r="AD102" s="772">
        <f>IF(AND($Y$82&gt;200,$Y$82&lt;500),P102+(Q102-P102)*($Y$82-$P$97)/($Q$97-$P$97),0)</f>
        <v>0</v>
      </c>
      <c r="AE102" s="772">
        <f>IF(AND($Y$82&gt;500,$Y$82&lt;1000),Q102+(R102-Q102)*($Y$82-$Q$97)/($R$97-$Q$97),0)</f>
        <v>0</v>
      </c>
      <c r="AF102" s="772">
        <f>IF(AND($Y$82&gt;1000,$Y$82&lt;2000),R102+(S102-R102)*($Y$82-$R$97)/($S$97-$R$97),0)</f>
        <v>0</v>
      </c>
      <c r="AG102" s="772">
        <f>IF(AND($Y$82&gt;2000,$Y$82&lt;5000),S102+(T102-S102)*($Y$82-$S$97)/($T$97-$S$97),0)</f>
        <v>0</v>
      </c>
      <c r="AH102" s="772">
        <f>IF(AND($Y$82&gt;5000,$Y$82&lt;10000),T102+(U102-T102)*($Y$82-$T$97)/($U$97-$T$97),0)</f>
        <v>0</v>
      </c>
      <c r="AI102" s="772">
        <f>IF(AND($Y$82&gt;10000,$Y$82&lt;20000),U102+(V102-U102)*($Y$82-$U$97)/($V$97-$U$97),0)</f>
        <v>0</v>
      </c>
      <c r="AJ102" s="772">
        <f>IF(AND($Y$82&gt;20000,$Y$82&lt;30000),V102+(W102-V102)*($Y$82-$V$97)/($W$97-$V$97),0)</f>
        <v>0</v>
      </c>
    </row>
    <row r="105" spans="10:36" ht="15.6">
      <c r="J105" s="773" t="s">
        <v>160</v>
      </c>
      <c r="K105" s="774"/>
      <c r="L105" s="774"/>
      <c r="M105" s="774"/>
      <c r="N105" s="774"/>
      <c r="O105" s="774"/>
      <c r="P105" s="774"/>
      <c r="Q105" s="774"/>
      <c r="R105" s="774"/>
      <c r="S105" s="774"/>
      <c r="T105" s="774"/>
      <c r="U105" s="774"/>
      <c r="V105" s="774"/>
      <c r="W105" s="774"/>
      <c r="X105" s="775"/>
    </row>
    <row r="106" spans="10:36" ht="15.6">
      <c r="J106" s="776"/>
      <c r="K106" s="774"/>
      <c r="L106" s="774"/>
      <c r="M106" s="774"/>
      <c r="N106" s="774"/>
      <c r="O106" s="774"/>
      <c r="P106" s="774"/>
      <c r="Q106" s="774"/>
      <c r="R106" s="774"/>
      <c r="S106" s="774"/>
      <c r="T106" s="774"/>
      <c r="U106" s="774"/>
      <c r="V106" s="774"/>
      <c r="W106" s="757" t="s">
        <v>141</v>
      </c>
      <c r="X106" s="757"/>
    </row>
    <row r="107" spans="10:36" ht="15.6">
      <c r="J107" s="777" t="s">
        <v>142</v>
      </c>
      <c r="K107" s="777" t="s">
        <v>143</v>
      </c>
      <c r="L107" s="778" t="s">
        <v>161</v>
      </c>
      <c r="M107" s="779"/>
      <c r="N107" s="779"/>
      <c r="O107" s="779"/>
      <c r="P107" s="779"/>
      <c r="Q107" s="779"/>
      <c r="R107" s="779"/>
      <c r="S107" s="779"/>
      <c r="T107" s="779"/>
      <c r="U107" s="779"/>
      <c r="V107" s="779"/>
      <c r="W107" s="780"/>
      <c r="X107" s="759"/>
      <c r="Y107" s="760"/>
      <c r="Z107" s="761"/>
      <c r="AA107" s="761"/>
      <c r="AB107" s="761"/>
      <c r="AC107" s="761"/>
      <c r="AD107" s="761"/>
      <c r="AE107" s="756"/>
      <c r="AF107" s="756"/>
      <c r="AG107" s="762"/>
      <c r="AH107" s="762"/>
      <c r="AI107" s="762"/>
      <c r="AJ107" s="762"/>
    </row>
    <row r="108" spans="10:36" ht="15.6">
      <c r="J108" s="781"/>
      <c r="K108" s="782"/>
      <c r="L108" s="783">
        <v>15</v>
      </c>
      <c r="M108" s="784">
        <v>20</v>
      </c>
      <c r="N108" s="784">
        <v>50</v>
      </c>
      <c r="O108" s="784">
        <v>100</v>
      </c>
      <c r="P108" s="784">
        <v>200</v>
      </c>
      <c r="Q108" s="784">
        <v>500</v>
      </c>
      <c r="R108" s="784">
        <v>1000</v>
      </c>
      <c r="S108" s="784">
        <v>2000</v>
      </c>
      <c r="T108" s="784">
        <v>5000</v>
      </c>
      <c r="U108" s="784">
        <v>10000</v>
      </c>
      <c r="V108" s="784">
        <v>20000</v>
      </c>
      <c r="W108" s="784">
        <v>30000</v>
      </c>
      <c r="X108" s="759" t="s">
        <v>145</v>
      </c>
      <c r="Y108" s="767">
        <v>10</v>
      </c>
      <c r="Z108" s="768" t="s">
        <v>159</v>
      </c>
      <c r="AA108" s="768" t="s">
        <v>147</v>
      </c>
      <c r="AB108" s="768" t="s">
        <v>148</v>
      </c>
      <c r="AC108" s="768" t="s">
        <v>149</v>
      </c>
      <c r="AD108" s="768" t="s">
        <v>150</v>
      </c>
      <c r="AE108" s="768" t="s">
        <v>151</v>
      </c>
      <c r="AF108" s="768" t="s">
        <v>152</v>
      </c>
      <c r="AG108" s="768" t="s">
        <v>153</v>
      </c>
      <c r="AH108" s="768" t="s">
        <v>154</v>
      </c>
      <c r="AI108" s="768" t="s">
        <v>155</v>
      </c>
      <c r="AJ108" s="768" t="s">
        <v>156</v>
      </c>
    </row>
    <row r="109" spans="10:36" ht="15.6">
      <c r="J109" s="784">
        <v>1</v>
      </c>
      <c r="K109" s="788" t="s">
        <v>100</v>
      </c>
      <c r="L109" s="787">
        <v>1.1140000000000001</v>
      </c>
      <c r="M109" s="787">
        <v>0.91400000000000003</v>
      </c>
      <c r="N109" s="787">
        <v>0.751</v>
      </c>
      <c r="O109" s="787">
        <v>0.53400000000000003</v>
      </c>
      <c r="P109" s="787">
        <v>0.40200000000000002</v>
      </c>
      <c r="Q109" s="787">
        <v>0.28699999999999998</v>
      </c>
      <c r="R109" s="787">
        <v>0.246</v>
      </c>
      <c r="S109" s="787">
        <v>0.20899999999999999</v>
      </c>
      <c r="T109" s="787">
        <v>0.16700000000000001</v>
      </c>
      <c r="U109" s="787">
        <v>0.13400000000000001</v>
      </c>
      <c r="V109" s="787">
        <v>0.10199999999999999</v>
      </c>
      <c r="W109" s="787">
        <v>8.5999999999999993E-2</v>
      </c>
      <c r="X109" s="770">
        <f>SUM(Y109:AJ109)</f>
        <v>1.1140000000000001</v>
      </c>
      <c r="Y109" s="771">
        <f>IF($Y$82&lt;=$L$108,L109,0)</f>
        <v>1.1140000000000001</v>
      </c>
      <c r="Z109" s="772">
        <f>IF(AND($Y$82&gt;15,$Y$82&lt;20),L109+(M109-L109)*($Y$82-$L$108)/($M$108-$L$108),0)</f>
        <v>0</v>
      </c>
      <c r="AA109" s="772">
        <f>IF(AND($Y$82&gt;20,$Y$82&lt;50),M109+(N109-M109)*($Y$82-$M$108)/($N$108-$M$108),0)</f>
        <v>0</v>
      </c>
      <c r="AB109" s="772">
        <f>IF(AND($Y$82&gt;50,$Y$82&lt;100),N109+(O109-N109)*($Y$82-$N$108)/($O$108-$N$108),0)</f>
        <v>0</v>
      </c>
      <c r="AC109" s="772">
        <f>IF(AND($Y$82&gt;100,$Y$82&lt;200),O109+(P109-O109)*($Y$82-$O$108)/($P$108-$O$108),0)</f>
        <v>0</v>
      </c>
      <c r="AD109" s="772">
        <f>IF(AND($Y$82&gt;200,$Y$82&lt;500),P109+(Q109-P109)*($Y$82-$P$108)/($Q$108-$P$108),0)</f>
        <v>0</v>
      </c>
      <c r="AE109" s="772">
        <f>IF(AND($Y$82&gt;500,$Y$82&lt;1000),Q109+(R109-Q109)*($Y$82-$Q$108)/($R$108-$Q$108),0)</f>
        <v>0</v>
      </c>
      <c r="AF109" s="772">
        <f>IF(AND($Y$82&gt;1000,$Y$82&lt;2000),R109+(S109-R109)*($Y$82-$R$108)/($S$108-$R$108),0)</f>
        <v>0</v>
      </c>
      <c r="AG109" s="772">
        <f>IF(AND($Y$82&gt;2000,$Y$82&lt;5000),S109+(T109-S109)*($Y$82-$S$108)/($T$108-$S$108),0)</f>
        <v>0</v>
      </c>
      <c r="AH109" s="772">
        <f>IF(AND($Y$82&gt;5000,$Y$82&lt;10000),T109+(U109-T109)*($Y$82-$T$108)/($U$108-$T$108),0)</f>
        <v>0</v>
      </c>
      <c r="AI109" s="772">
        <f>IF(AND($Y$82&gt;10000,$Y$82&lt;20000),U109+(V109-U109)*($Y$82-$U$108)/($V$108-$U$108),0)</f>
        <v>0</v>
      </c>
      <c r="AJ109" s="772">
        <f>IF(AND($Y$82&gt;20000,$Y$82&lt;30000),V109+(W109-V109)*($Y$82-$V$108)/($W$108-$V$108),0)</f>
        <v>0</v>
      </c>
    </row>
    <row r="110" spans="10:36" ht="15.6">
      <c r="J110" s="784">
        <v>2</v>
      </c>
      <c r="K110" s="788" t="s">
        <v>103</v>
      </c>
      <c r="L110" s="787">
        <v>1.2609999999999999</v>
      </c>
      <c r="M110" s="787">
        <v>1.1120000000000001</v>
      </c>
      <c r="N110" s="787">
        <v>0.88200000000000001</v>
      </c>
      <c r="O110" s="787">
        <v>0.65400000000000003</v>
      </c>
      <c r="P110" s="787">
        <v>0.51500000000000001</v>
      </c>
      <c r="Q110" s="787">
        <v>0.46600000000000003</v>
      </c>
      <c r="R110" s="787">
        <v>0.40400000000000003</v>
      </c>
      <c r="S110" s="787">
        <v>0.315</v>
      </c>
      <c r="T110" s="787">
        <v>0.248</v>
      </c>
      <c r="U110" s="787">
        <v>0.189</v>
      </c>
      <c r="V110" s="787">
        <v>0.13500000000000001</v>
      </c>
      <c r="W110" s="787">
        <v>0.107</v>
      </c>
      <c r="X110" s="770">
        <f>SUM(Y110:AJ110)</f>
        <v>1.2609999999999999</v>
      </c>
      <c r="Y110" s="771">
        <f>IF($Y$82&lt;=$L$108,L110,0)</f>
        <v>1.2609999999999999</v>
      </c>
      <c r="Z110" s="772">
        <f>IF(AND($Y$82&gt;15,$Y$82&lt;20),L110+(M110-L110)*($Y$82-$L$108)/($M$108-$L$108),0)</f>
        <v>0</v>
      </c>
      <c r="AA110" s="772">
        <f>IF(AND($Y$82&gt;20,$Y$82&lt;50),M110+(N110-M110)*($Y$82-$M$108)/($N$108-$M$108),0)</f>
        <v>0</v>
      </c>
      <c r="AB110" s="772">
        <f>IF(AND($Y$82&gt;50,$Y$82&lt;100),N110+(O110-N110)*($Y$82-$N$108)/($O$108-$N$108),0)</f>
        <v>0</v>
      </c>
      <c r="AC110" s="772">
        <f>IF(AND($Y$82&gt;100,$Y$82&lt;200),O110+(P110-O110)*($Y$82-$O$108)/($P$108-$O$108),0)</f>
        <v>0</v>
      </c>
      <c r="AD110" s="772">
        <f>IF(AND($Y$82&gt;200,$Y$82&lt;500),P110+(Q110-P110)*($Y$82-$P$108)/($Q$108-$P$108),0)</f>
        <v>0</v>
      </c>
      <c r="AE110" s="772">
        <f>IF(AND($Y$82&gt;500,$Y$82&lt;1000),Q110+(R110-Q110)*($Y$82-$Q$108)/($R$108-$Q$108),0)</f>
        <v>0</v>
      </c>
      <c r="AF110" s="772">
        <f>IF(AND($Y$82&gt;1000,$Y$82&lt;2000),R110+(S110-R110)*($Y$82-$R$108)/($S$108-$R$108),0)</f>
        <v>0</v>
      </c>
      <c r="AG110" s="772">
        <f>IF(AND($Y$82&gt;2000,$Y$82&lt;5000),S110+(T110-S110)*($Y$82-$S$108)/($T$108-$S$108),0)</f>
        <v>0</v>
      </c>
      <c r="AH110" s="772">
        <f>IF(AND($Y$82&gt;5000,$Y$82&lt;10000),T110+(U110-T110)*($Y$82-$T$108)/($U$108-$T$108),0)</f>
        <v>0</v>
      </c>
      <c r="AI110" s="772">
        <f>IF(AND($Y$82&gt;10000,$Y$82&lt;20000),U110+(V110-U110)*($Y$82-$U$108)/($V$108-$U$108),0)</f>
        <v>0</v>
      </c>
      <c r="AJ110" s="772">
        <f>IF(AND($Y$82&gt;20000,$Y$82&lt;30000),V110+(W110-V110)*($Y$82-$V$108)/($W$108-$V$108),0)</f>
        <v>0</v>
      </c>
    </row>
    <row r="111" spans="10:36" ht="15.6">
      <c r="J111" s="784">
        <v>3</v>
      </c>
      <c r="K111" s="788" t="s">
        <v>89</v>
      </c>
      <c r="L111" s="787">
        <v>0.68899999999999995</v>
      </c>
      <c r="M111" s="787">
        <v>0.628</v>
      </c>
      <c r="N111" s="787">
        <v>0.501</v>
      </c>
      <c r="O111" s="787">
        <v>0.39300000000000002</v>
      </c>
      <c r="P111" s="787">
        <v>0.27100000000000002</v>
      </c>
      <c r="Q111" s="787">
        <v>0.20300000000000001</v>
      </c>
      <c r="R111" s="787">
        <v>0.17699999999999999</v>
      </c>
      <c r="S111" s="787">
        <v>0.151</v>
      </c>
      <c r="T111" s="787">
        <v>0.12</v>
      </c>
      <c r="U111" s="787">
        <v>9.7000000000000003E-2</v>
      </c>
      <c r="V111" s="787">
        <v>7.4999999999999997E-2</v>
      </c>
      <c r="W111" s="787">
        <v>6.3E-2</v>
      </c>
      <c r="X111" s="770">
        <f>SUM(Y111:AJ111)</f>
        <v>0.68899999999999995</v>
      </c>
      <c r="Y111" s="771">
        <f>IF($Y$82&lt;=$L$108,L111,0)</f>
        <v>0.68899999999999995</v>
      </c>
      <c r="Z111" s="772">
        <f>IF(AND($Y$82&gt;15,$Y$82&lt;20),L111+(M111-L111)*($Y$82-$L$108)/($M$108-$L$108),0)</f>
        <v>0</v>
      </c>
      <c r="AA111" s="772">
        <f>IF(AND($Y$82&gt;20,$Y$82&lt;50),M111+(N111-M111)*($Y$82-$M$108)/($N$108-$M$108),0)</f>
        <v>0</v>
      </c>
      <c r="AB111" s="772">
        <f>IF(AND($Y$82&gt;50,$Y$82&lt;100),N111+(O111-N111)*($Y$82-$N$108)/($O$108-$N$108),0)</f>
        <v>0</v>
      </c>
      <c r="AC111" s="772">
        <f>IF(AND($Y$82&gt;100,$Y$82&lt;200),O111+(P111-O111)*($Y$82-$O$108)/($P$108-$O$108),0)</f>
        <v>0</v>
      </c>
      <c r="AD111" s="772">
        <f>IF(AND($Y$82&gt;200,$Y$82&lt;500),P111+(Q111-P111)*($Y$82-$P$108)/($Q$108-$P$108),0)</f>
        <v>0</v>
      </c>
      <c r="AE111" s="772">
        <f>IF(AND($Y$82&gt;500,$Y$82&lt;1000),Q111+(R111-Q111)*($Y$82-$Q$108)/($R$108-$Q$108),0)</f>
        <v>0</v>
      </c>
      <c r="AF111" s="772">
        <f>IF(AND($Y$82&gt;1000,$Y$82&lt;2000),R111+(S111-R111)*($Y$82-$R$108)/($S$108-$R$108),0)</f>
        <v>0</v>
      </c>
      <c r="AG111" s="772">
        <f>IF(AND($Y$82&gt;2000,$Y$82&lt;5000),S111+(T111-S111)*($Y$82-$S$108)/($T$108-$S$108),0)</f>
        <v>0</v>
      </c>
      <c r="AH111" s="772">
        <f>IF(AND($Y$82&gt;5000,$Y$82&lt;10000),T111+(U111-T111)*($Y$82-$T$108)/($U$108-$T$108),0)</f>
        <v>0</v>
      </c>
      <c r="AI111" s="772">
        <f>IF(AND($Y$82&gt;10000,$Y$82&lt;20000),U111+(V111-U111)*($Y$82-$U$108)/($V$108-$U$108),0)</f>
        <v>0</v>
      </c>
      <c r="AJ111" s="772">
        <f>IF(AND($Y$82&gt;20000,$Y$82&lt;30000),V111+(W111-V111)*($Y$82-$V$108)/($W$108-$V$108),0)</f>
        <v>0</v>
      </c>
    </row>
    <row r="112" spans="10:36" ht="15.6">
      <c r="J112" s="784">
        <v>4</v>
      </c>
      <c r="K112" s="788" t="s">
        <v>106</v>
      </c>
      <c r="L112" s="787">
        <v>0.94299999999999995</v>
      </c>
      <c r="M112" s="787">
        <v>0.85799999999999998</v>
      </c>
      <c r="N112" s="787">
        <v>0.68500000000000005</v>
      </c>
      <c r="O112" s="787">
        <v>0.48</v>
      </c>
      <c r="P112" s="787">
        <v>0.36099999999999999</v>
      </c>
      <c r="Q112" s="787">
        <v>0.27300000000000002</v>
      </c>
      <c r="R112" s="787">
        <v>0.23400000000000001</v>
      </c>
      <c r="S112" s="787">
        <v>0.20100000000000001</v>
      </c>
      <c r="T112" s="787">
        <v>0.161</v>
      </c>
      <c r="U112" s="787">
        <v>0.129</v>
      </c>
      <c r="V112" s="787">
        <v>0.1</v>
      </c>
      <c r="W112" s="787">
        <v>8.4000000000000005E-2</v>
      </c>
      <c r="X112" s="770">
        <f>SUM(Y112:AJ112)</f>
        <v>0.94299999999999995</v>
      </c>
      <c r="Y112" s="771">
        <f>IF($Y$82&lt;=$L$108,L112,0)</f>
        <v>0.94299999999999995</v>
      </c>
      <c r="Z112" s="772">
        <f>IF(AND($Y$82&gt;15,$Y$82&lt;20),L112+(M112-L112)*($Y$82-$L$108)/($M$108-$L$108),0)</f>
        <v>0</v>
      </c>
      <c r="AA112" s="772">
        <f>IF(AND($Y$82&gt;20,$Y$82&lt;50),M112+(N112-M112)*($Y$82-$M$108)/($N$108-$M$108),0)</f>
        <v>0</v>
      </c>
      <c r="AB112" s="772">
        <f>IF(AND($Y$82&gt;50,$Y$82&lt;100),N112+(O112-N112)*($Y$82-$N$108)/($O$108-$N$108),0)</f>
        <v>0</v>
      </c>
      <c r="AC112" s="772">
        <f>IF(AND($Y$82&gt;100,$Y$82&lt;200),O112+(P112-O112)*($Y$82-$O$108)/($P$108-$O$108),0)</f>
        <v>0</v>
      </c>
      <c r="AD112" s="772">
        <f>IF(AND($Y$82&gt;200,$Y$82&lt;500),P112+(Q112-P112)*($Y$82-$P$108)/($Q$108-$P$108),0)</f>
        <v>0</v>
      </c>
      <c r="AE112" s="772">
        <f>IF(AND($Y$82&gt;500,$Y$82&lt;1000),Q112+(R112-Q112)*($Y$82-$Q$108)/($R$108-$Q$108),0)</f>
        <v>0</v>
      </c>
      <c r="AF112" s="772">
        <f>IF(AND($Y$82&gt;1000,$Y$82&lt;2000),R112+(S112-R112)*($Y$82-$R$108)/($S$108-$R$108),0)</f>
        <v>0</v>
      </c>
      <c r="AG112" s="772">
        <f>IF(AND($Y$82&gt;2000,$Y$82&lt;5000),S112+(T112-S112)*($Y$82-$S$108)/($T$108-$S$108),0)</f>
        <v>0</v>
      </c>
      <c r="AH112" s="772">
        <f>IF(AND($Y$82&gt;5000,$Y$82&lt;10000),T112+(U112-T112)*($Y$82-$T$108)/($U$108-$T$108),0)</f>
        <v>0</v>
      </c>
      <c r="AI112" s="772">
        <f>IF(AND($Y$82&gt;10000,$Y$82&lt;20000),U112+(V112-U112)*($Y$82-$U$108)/($V$108-$U$108),0)</f>
        <v>0</v>
      </c>
      <c r="AJ112" s="772">
        <f>IF(AND($Y$82&gt;20000,$Y$82&lt;30000),V112+(W112-V112)*($Y$82-$V$108)/($W$108-$V$108),0)</f>
        <v>0</v>
      </c>
    </row>
    <row r="113" spans="10:36" ht="15.6">
      <c r="J113" s="784">
        <v>5</v>
      </c>
      <c r="K113" s="788" t="s">
        <v>108</v>
      </c>
      <c r="L113" s="787">
        <v>0.71899999999999997</v>
      </c>
      <c r="M113" s="787">
        <v>0.65400000000000003</v>
      </c>
      <c r="N113" s="787">
        <v>0.52400000000000002</v>
      </c>
      <c r="O113" s="787">
        <v>0.40699999999999997</v>
      </c>
      <c r="P113" s="787">
        <v>0.28000000000000003</v>
      </c>
      <c r="Q113" s="787">
        <v>0.21099999999999999</v>
      </c>
      <c r="R113" s="787">
        <v>0.185</v>
      </c>
      <c r="S113" s="787">
        <v>0.158</v>
      </c>
      <c r="T113" s="787">
        <v>0.127</v>
      </c>
      <c r="U113" s="787">
        <v>0.10100000000000001</v>
      </c>
      <c r="V113" s="787">
        <v>7.8E-2</v>
      </c>
      <c r="W113" s="787">
        <v>6.5000000000001307E-2</v>
      </c>
      <c r="X113" s="770">
        <f>SUM(Y113:AJ113)</f>
        <v>0.71899999999999997</v>
      </c>
      <c r="Y113" s="771">
        <f>IF($Y$82&lt;=$L$108,L113,0)</f>
        <v>0.71899999999999997</v>
      </c>
      <c r="Z113" s="772">
        <f>IF(AND($Y$82&gt;15,$Y$82&lt;20),L113+(M113-L113)*($Y$82-$L$108)/($M$108-$L$108),0)</f>
        <v>0</v>
      </c>
      <c r="AA113" s="772">
        <f>IF(AND($Y$82&gt;20,$Y$82&lt;50),M113+(N113-M113)*($Y$82-$M$108)/($N$108-$M$108),0)</f>
        <v>0</v>
      </c>
      <c r="AB113" s="772">
        <f>IF(AND($Y$82&gt;50,$Y$82&lt;100),N113+(O113-N113)*($Y$82-$N$108)/($O$108-$N$108),0)</f>
        <v>0</v>
      </c>
      <c r="AC113" s="772">
        <f>IF(AND($Y$82&gt;100,$Y$82&lt;200),O113+(P113-O113)*($Y$82-$O$108)/($P$108-$O$108),0)</f>
        <v>0</v>
      </c>
      <c r="AD113" s="772">
        <f>IF(AND($Y$82&gt;200,$Y$82&lt;500),P113+(Q113-P113)*($Y$82-$P$108)/($Q$108-$P$108),0)</f>
        <v>0</v>
      </c>
      <c r="AE113" s="772">
        <f>IF(AND($Y$82&gt;500,$Y$82&lt;1000),Q113+(R113-Q113)*($Y$82-$Q$108)/($R$108-$Q$108),0)</f>
        <v>0</v>
      </c>
      <c r="AF113" s="772">
        <f>IF(AND($Y$82&gt;1000,$Y$82&lt;2000),R113+(S113-R113)*($Y$82-$R$108)/($S$108-$R$108),0)</f>
        <v>0</v>
      </c>
      <c r="AG113" s="772">
        <f>IF(AND($Y$82&gt;2000,$Y$82&lt;5000),S113+(T113-S113)*($Y$82-$S$108)/($T$108-$S$108),0)</f>
        <v>0</v>
      </c>
      <c r="AH113" s="772">
        <f>IF(AND($Y$82&gt;5000,$Y$82&lt;10000),T113+(U113-T113)*($Y$82-$T$108)/($U$108-$T$108),0)</f>
        <v>0</v>
      </c>
      <c r="AI113" s="772">
        <f>IF(AND($Y$82&gt;10000,$Y$82&lt;20000),U113+(V113-U113)*($Y$82-$U$108)/($V$108-$U$108),0)</f>
        <v>0</v>
      </c>
      <c r="AJ113" s="772">
        <f>IF(AND($Y$82&gt;20000,$Y$82&lt;30000),V113+(W113-V113)*($Y$82-$V$108)/($W$108-$V$108),0)</f>
        <v>0</v>
      </c>
    </row>
    <row r="116" spans="10:36" ht="15.6">
      <c r="J116" s="789" t="s">
        <v>162</v>
      </c>
      <c r="K116" s="774"/>
      <c r="L116" s="774"/>
      <c r="M116" s="774"/>
      <c r="N116" s="774"/>
      <c r="O116" s="774"/>
      <c r="P116" s="774"/>
      <c r="Q116" s="774"/>
      <c r="R116" s="774"/>
      <c r="S116" s="774"/>
      <c r="T116" s="774"/>
      <c r="U116" s="774"/>
      <c r="V116" s="774"/>
    </row>
    <row r="117" spans="10:36" ht="15.6">
      <c r="J117" s="774"/>
      <c r="K117" s="774"/>
      <c r="L117" s="774"/>
      <c r="M117" s="774"/>
      <c r="N117" s="774"/>
      <c r="O117" s="774" t="s">
        <v>141</v>
      </c>
      <c r="P117" s="774"/>
      <c r="Q117" s="774"/>
      <c r="R117" s="774"/>
      <c r="S117" s="774"/>
      <c r="T117" s="774"/>
      <c r="U117" s="774"/>
      <c r="V117" s="774"/>
    </row>
    <row r="118" spans="10:36" ht="15.6">
      <c r="J118" s="784" t="s">
        <v>142</v>
      </c>
      <c r="K118" s="788" t="s">
        <v>143</v>
      </c>
      <c r="L118" s="788" t="s">
        <v>161</v>
      </c>
      <c r="M118" s="788"/>
      <c r="N118" s="788"/>
      <c r="O118" s="788"/>
      <c r="P118" s="774"/>
      <c r="Q118" s="774"/>
      <c r="R118" s="774"/>
      <c r="S118" s="774"/>
      <c r="T118" s="774"/>
      <c r="U118" s="774"/>
    </row>
    <row r="119" spans="10:36" ht="15.6">
      <c r="J119" s="784"/>
      <c r="K119" s="788"/>
      <c r="L119" s="783">
        <v>1</v>
      </c>
      <c r="M119" s="788">
        <v>3</v>
      </c>
      <c r="N119" s="788">
        <v>7</v>
      </c>
      <c r="O119" s="790">
        <f>Y82</f>
        <v>1.8148148148148149</v>
      </c>
      <c r="P119" s="788"/>
      <c r="Q119" s="788"/>
      <c r="R119" s="788"/>
      <c r="S119" s="788"/>
      <c r="T119" s="788"/>
      <c r="U119" s="788"/>
      <c r="V119" s="745"/>
      <c r="W119" s="745"/>
      <c r="X119" s="759" t="s">
        <v>145</v>
      </c>
      <c r="Y119" s="767">
        <v>1</v>
      </c>
      <c r="Z119" s="768" t="s">
        <v>163</v>
      </c>
      <c r="AA119" s="768" t="s">
        <v>164</v>
      </c>
      <c r="AB119" s="768" t="s">
        <v>165</v>
      </c>
    </row>
    <row r="120" spans="10:36" ht="15.6">
      <c r="J120" s="784">
        <v>1</v>
      </c>
      <c r="K120" s="788" t="s">
        <v>100</v>
      </c>
      <c r="L120" s="788">
        <v>6.5</v>
      </c>
      <c r="M120" s="788">
        <v>4.7</v>
      </c>
      <c r="N120" s="788">
        <v>4.2</v>
      </c>
      <c r="O120" s="788">
        <v>3.6</v>
      </c>
      <c r="P120" s="788"/>
      <c r="Q120" s="788"/>
      <c r="R120" s="788"/>
      <c r="S120" s="788"/>
      <c r="T120" s="788"/>
      <c r="U120" s="788"/>
      <c r="V120" s="745"/>
      <c r="W120" s="745"/>
      <c r="X120" s="770">
        <f>SUM(Y120:AB120)</f>
        <v>5.7666666666666666</v>
      </c>
      <c r="Y120" s="771">
        <f>IF($Y$82&lt;=$L$119,L120,0)</f>
        <v>0</v>
      </c>
      <c r="Z120" s="772">
        <f>IF(AND($Y$82&gt;1,$Y$82&lt;=3),L120+(M120-L120)*($Y$82-$L$119)/($M$119-$L$119),0)</f>
        <v>5.7666666666666666</v>
      </c>
      <c r="AA120" s="772">
        <f>IF(AND($Y$82&gt;3,$Y$82&lt;=7),M120+(N120-M120)*($Y$82-$M$119)/($N$119-$M$119),0)</f>
        <v>0</v>
      </c>
      <c r="AB120" s="772">
        <f>IF(AND($Y$82&gt;7,$Y$82&lt;=O119),N120+(O120-N120)*($Y$82-$N$119)/($O$119-$N$119),0)</f>
        <v>0</v>
      </c>
    </row>
    <row r="121" spans="10:36" ht="15.6">
      <c r="J121" s="784">
        <v>2</v>
      </c>
      <c r="K121" s="788" t="s">
        <v>103</v>
      </c>
      <c r="L121" s="788">
        <v>6.7</v>
      </c>
      <c r="M121" s="788">
        <v>4.8</v>
      </c>
      <c r="N121" s="788">
        <v>4.3</v>
      </c>
      <c r="O121" s="788">
        <v>3.8</v>
      </c>
      <c r="P121" s="788"/>
      <c r="Q121" s="788"/>
      <c r="R121" s="788"/>
      <c r="S121" s="788"/>
      <c r="T121" s="788"/>
      <c r="U121" s="788"/>
      <c r="V121" s="745"/>
      <c r="W121" s="745"/>
      <c r="X121" s="770">
        <f>SUM(Y121:AB121)</f>
        <v>5.9259259259259256</v>
      </c>
      <c r="Y121" s="771">
        <f>IF($Y$82&lt;=$L$119,L121,0)</f>
        <v>0</v>
      </c>
      <c r="Z121" s="772">
        <f>IF(AND($Y$82&gt;1,$Y$82&lt;=3),L121+(M121-L121)*($Y$82-$L$119)/($M$119-$L$119),0)</f>
        <v>5.9259259259259256</v>
      </c>
      <c r="AA121" s="772">
        <f>IF(AND($Y$82&gt;3,$Y$82&lt;=7),M121+(N121-M121)*($Y$82-$M$119)/($N$119-$M$119),0)</f>
        <v>0</v>
      </c>
      <c r="AB121" s="772">
        <f>IF(AND($Y$82&gt;7,$Y$82&lt;=O119),N121+(O121-N121)*($Y$82-$N$119)/($O$119-$N$119),0)</f>
        <v>0</v>
      </c>
    </row>
    <row r="122" spans="10:36" ht="15.6">
      <c r="J122" s="784">
        <v>3</v>
      </c>
      <c r="K122" s="788" t="s">
        <v>89</v>
      </c>
      <c r="L122" s="788">
        <v>5.4</v>
      </c>
      <c r="M122" s="788">
        <v>3.6</v>
      </c>
      <c r="N122" s="788">
        <v>2.7</v>
      </c>
      <c r="O122" s="788">
        <v>2.5</v>
      </c>
      <c r="P122" s="788"/>
      <c r="Q122" s="788"/>
      <c r="R122" s="788"/>
      <c r="S122" s="788"/>
      <c r="T122" s="788"/>
      <c r="U122" s="788"/>
      <c r="V122" s="745"/>
      <c r="W122" s="745"/>
      <c r="X122" s="770">
        <f>SUM(Y122:AB122)</f>
        <v>4.666666666666667</v>
      </c>
      <c r="Y122" s="771">
        <f>IF($Y$82&lt;=$L$119,L122,0)</f>
        <v>0</v>
      </c>
      <c r="Z122" s="772">
        <f>IF(AND($Y$82&gt;1,$Y$82&lt;=3),L122+(M122-L122)*($Y$82-$L$119)/($M$119-$L$119),0)</f>
        <v>4.666666666666667</v>
      </c>
      <c r="AA122" s="772">
        <f>IF(AND($Y$82&gt;3,$Y$82&lt;=7),M122+(N122-M122)*($Y$82-$M$119)/($N$119-$M$119),0)</f>
        <v>0</v>
      </c>
      <c r="AB122" s="772">
        <f>IF(AND($Y$82&gt;7,$Y$82&lt;=O119),N122+(O122-N122)*($Y$82-$N$119)/($O$119-$N$119),0)</f>
        <v>0</v>
      </c>
    </row>
    <row r="123" spans="10:36" ht="15.6">
      <c r="J123" s="784">
        <v>4</v>
      </c>
      <c r="K123" s="788" t="s">
        <v>106</v>
      </c>
      <c r="L123" s="788">
        <v>6.2</v>
      </c>
      <c r="M123" s="788">
        <v>4.4000000000000004</v>
      </c>
      <c r="N123" s="788">
        <v>3.9</v>
      </c>
      <c r="O123" s="788">
        <v>3.6</v>
      </c>
      <c r="P123" s="788"/>
      <c r="Q123" s="788"/>
      <c r="R123" s="788"/>
      <c r="S123" s="788"/>
      <c r="T123" s="788"/>
      <c r="U123" s="788"/>
      <c r="V123" s="745"/>
      <c r="W123" s="745"/>
      <c r="X123" s="770">
        <f>SUM(Y123:AB123)</f>
        <v>5.4666666666666668</v>
      </c>
      <c r="Y123" s="771">
        <f>IF($Y$82&lt;=$L$119,L123,0)</f>
        <v>0</v>
      </c>
      <c r="Z123" s="772">
        <f>IF(AND($Y$82&gt;1,$Y$82&lt;=3),L123+(M123-L123)*($Y$82-$L$119)/($M$119-$L$119),0)</f>
        <v>5.4666666666666668</v>
      </c>
      <c r="AA123" s="772">
        <f>IF(AND($Y$82&gt;3,$Y$82&lt;=7),M123+(N123-M123)*($Y$82-$M$119)/($N$119-$M$119),0)</f>
        <v>0</v>
      </c>
      <c r="AB123" s="772">
        <f>IF(AND($Y$82&gt;7,$Y$82&lt;=19),N123+(O123-N123)*($Y$82-$N$119)/($O$119-$N$119),0)</f>
        <v>0</v>
      </c>
    </row>
    <row r="124" spans="10:36" ht="15.6">
      <c r="J124" s="784">
        <v>5</v>
      </c>
      <c r="K124" s="788" t="s">
        <v>108</v>
      </c>
      <c r="L124" s="788">
        <v>5.8</v>
      </c>
      <c r="M124" s="788">
        <v>4.2</v>
      </c>
      <c r="N124" s="788">
        <v>3.4</v>
      </c>
      <c r="O124" s="788">
        <v>3</v>
      </c>
      <c r="P124" s="788"/>
      <c r="Q124" s="788"/>
      <c r="R124" s="788"/>
      <c r="S124" s="788"/>
      <c r="T124" s="788"/>
      <c r="U124" s="788"/>
      <c r="V124" s="745"/>
      <c r="W124" s="745"/>
      <c r="X124" s="770">
        <f>SUM(Y124:AB124)</f>
        <v>5.1481481481481479</v>
      </c>
      <c r="Y124" s="771">
        <f>IF($Y$82&lt;=$L$119,L124,0)</f>
        <v>0</v>
      </c>
      <c r="Z124" s="772">
        <f>IF(AND($Y$82&gt;1,$Y$82&lt;=3),L124+(M124-L124)*($Y$82-$L$119)/($M$119-$L$119),0)</f>
        <v>5.1481481481481479</v>
      </c>
      <c r="AA124" s="772">
        <f>IF(AND($Y$82&gt;3,$Y$82&lt;=7),M124+(N124-M124)*($Y$82-$M$119)/($N$119-$M$119),0)</f>
        <v>0</v>
      </c>
      <c r="AB124" s="772">
        <f>IF(AND($Y$82&gt;7,$Y$82&lt;=19),N124+(O124-N124)*($Y$82-$N$119)/($O$119-$N$119),0)</f>
        <v>0</v>
      </c>
    </row>
    <row r="125" spans="10:36" ht="15.6">
      <c r="J125" s="774" t="s">
        <v>166</v>
      </c>
      <c r="K125" s="774"/>
      <c r="L125" s="774"/>
      <c r="M125" s="774"/>
      <c r="N125" s="774"/>
      <c r="O125" s="774"/>
      <c r="P125" s="774"/>
      <c r="Q125" s="774"/>
      <c r="R125" s="774"/>
      <c r="S125" s="774"/>
      <c r="T125" s="774"/>
      <c r="U125" s="774"/>
      <c r="V125" s="774"/>
    </row>
    <row r="128" spans="10:36" ht="15.6">
      <c r="J128" s="773" t="s">
        <v>167</v>
      </c>
      <c r="K128" s="774"/>
      <c r="L128" s="774"/>
      <c r="M128" s="774"/>
      <c r="N128" s="774"/>
      <c r="O128" s="774"/>
      <c r="P128" s="774"/>
      <c r="Q128" s="774"/>
      <c r="R128" s="774"/>
      <c r="S128" s="774"/>
      <c r="T128" s="774"/>
      <c r="U128" s="774"/>
      <c r="V128" s="774"/>
      <c r="W128" s="791"/>
    </row>
    <row r="129" spans="10:35" ht="15.6">
      <c r="J129" s="776"/>
      <c r="K129" s="774"/>
      <c r="L129" s="774"/>
      <c r="M129" s="774"/>
      <c r="N129" s="774"/>
      <c r="O129" s="774"/>
      <c r="P129" s="774"/>
      <c r="Q129" s="774"/>
      <c r="R129" s="774"/>
      <c r="S129" s="774"/>
      <c r="T129" s="774"/>
      <c r="U129" s="774"/>
      <c r="V129" s="774"/>
      <c r="W129" s="774"/>
    </row>
    <row r="130" spans="10:35" ht="15.6">
      <c r="J130" s="792" t="s">
        <v>142</v>
      </c>
      <c r="K130" s="793" t="s">
        <v>110</v>
      </c>
      <c r="L130" s="794" t="s">
        <v>168</v>
      </c>
      <c r="M130" s="784"/>
      <c r="N130" s="784"/>
      <c r="O130" s="784"/>
      <c r="P130" s="784"/>
      <c r="Q130" s="784"/>
      <c r="R130" s="784"/>
      <c r="S130" s="784"/>
      <c r="T130" s="784"/>
      <c r="U130" s="784"/>
      <c r="V130" s="784"/>
      <c r="W130" s="745"/>
      <c r="X130" s="759"/>
      <c r="Y130" s="760"/>
      <c r="Z130" s="761"/>
      <c r="AA130" s="761"/>
      <c r="AB130" s="761"/>
      <c r="AC130" s="761"/>
      <c r="AD130" s="761"/>
      <c r="AE130" s="756"/>
      <c r="AF130" s="756"/>
      <c r="AG130" s="762"/>
      <c r="AH130" s="762"/>
      <c r="AI130" s="762"/>
    </row>
    <row r="131" spans="10:35" ht="15.6">
      <c r="J131" s="782"/>
      <c r="K131" s="795"/>
      <c r="L131" s="783">
        <v>10</v>
      </c>
      <c r="M131" s="784">
        <v>20</v>
      </c>
      <c r="N131" s="784">
        <v>50</v>
      </c>
      <c r="O131" s="784">
        <v>100</v>
      </c>
      <c r="P131" s="784">
        <v>200</v>
      </c>
      <c r="Q131" s="784">
        <v>500</v>
      </c>
      <c r="R131" s="784">
        <v>1000</v>
      </c>
      <c r="S131" s="784">
        <v>2000</v>
      </c>
      <c r="T131" s="784">
        <v>5000</v>
      </c>
      <c r="U131" s="784">
        <v>8000</v>
      </c>
      <c r="V131" s="784">
        <v>10000</v>
      </c>
      <c r="W131" s="745"/>
      <c r="X131" s="759" t="s">
        <v>145</v>
      </c>
      <c r="Y131" s="767">
        <v>10</v>
      </c>
      <c r="Z131" s="768" t="s">
        <v>146</v>
      </c>
      <c r="AA131" s="768" t="s">
        <v>147</v>
      </c>
      <c r="AB131" s="768" t="s">
        <v>148</v>
      </c>
      <c r="AC131" s="768" t="s">
        <v>149</v>
      </c>
      <c r="AD131" s="768" t="s">
        <v>150</v>
      </c>
      <c r="AE131" s="768" t="s">
        <v>151</v>
      </c>
      <c r="AF131" s="768" t="s">
        <v>152</v>
      </c>
      <c r="AG131" s="768" t="s">
        <v>153</v>
      </c>
      <c r="AH131" s="768" t="s">
        <v>169</v>
      </c>
      <c r="AI131" s="768" t="s">
        <v>170</v>
      </c>
    </row>
    <row r="132" spans="10:35" ht="15.6">
      <c r="J132" s="788">
        <v>1</v>
      </c>
      <c r="K132" s="786" t="s">
        <v>112</v>
      </c>
      <c r="L132" s="787">
        <v>3.22</v>
      </c>
      <c r="M132" s="787">
        <v>2.81</v>
      </c>
      <c r="N132" s="787">
        <v>2.36</v>
      </c>
      <c r="O132" s="787">
        <v>2.15</v>
      </c>
      <c r="P132" s="787">
        <v>1.96</v>
      </c>
      <c r="Q132" s="787">
        <v>1.65</v>
      </c>
      <c r="R132" s="787">
        <v>1.36</v>
      </c>
      <c r="S132" s="787">
        <v>1.1599999999999999</v>
      </c>
      <c r="T132" s="787">
        <v>0.89</v>
      </c>
      <c r="U132" s="787">
        <v>0.68</v>
      </c>
      <c r="V132" s="787">
        <v>0.61000000000001298</v>
      </c>
      <c r="W132" s="745"/>
      <c r="X132" s="770">
        <f>SUM(Y132:AI132)</f>
        <v>3.22</v>
      </c>
      <c r="Y132" s="771">
        <f>IF($Y$82&lt;=$L$131,L132,0)</f>
        <v>3.22</v>
      </c>
      <c r="Z132" s="772">
        <f>IF(AND($Y$82&gt;10,$Y$82&lt;20),L132+(M132-L132)*($Y$82-$L$131)/($M$131-$L$131),0)</f>
        <v>0</v>
      </c>
      <c r="AA132" s="772">
        <f>IF(AND($Y$82&gt;20,$Y$82&lt;50),M132+(N132-M132)*($Y$82-$M$131)/($N$131-$M$131),0)</f>
        <v>0</v>
      </c>
      <c r="AB132" s="772">
        <f>IF(AND($Y$82&gt;50,$Y$82&lt;100),N132+(O132-N132)*($Y$82-$N$131)/($O$131-$N$131),0)</f>
        <v>0</v>
      </c>
      <c r="AC132" s="772">
        <f>IF(AND($Y$82&gt;100,$Y$82&lt;200),O132+(P132-O132)*($Y$82-$O$131)/($P$131-$O$131),0)</f>
        <v>0</v>
      </c>
      <c r="AD132" s="772">
        <f>IF(AND($Y$82&gt;200,$Y$82&lt;500),P132+(Q132-P132)*($Y$82-$P$131)/($Q$131-$P$131),0)</f>
        <v>0</v>
      </c>
      <c r="AE132" s="772">
        <f>IF(AND($Y$82&gt;500,$Y$82&lt;1000),Q132+(R132-Q132)*($Y$82-$Q$131)/($R$131-$Q$131),0)</f>
        <v>0</v>
      </c>
      <c r="AF132" s="772">
        <f>IF(AND($Y$82&gt;1000,$Y$82&lt;2000),R132+(S132-R132)*($Y$82-$R$131)/($S$131-$R$131),0)</f>
        <v>0</v>
      </c>
      <c r="AG132" s="772">
        <f>IF(AND($Y$82&gt;2000,$Y$82&lt;5000),S132+(T132-S132)*($Y$82-$S$131)/($T$131-$S$131),0)</f>
        <v>0</v>
      </c>
      <c r="AH132" s="772">
        <f>IF(AND($Y$82&gt;5000,$Y$82&lt;8000),T132+(U132-T132)*($Y$82-$T$131)/($U$131-$T$131),0)</f>
        <v>0</v>
      </c>
      <c r="AI132" s="772">
        <f>IF(AND($Y$82&gt;8000,$Y$82&lt;10000),U132+(V132-U132)*($Y$82-$U$131)/($V$131-$U$131),0)</f>
        <v>0</v>
      </c>
    </row>
    <row r="133" spans="10:35" ht="15.6">
      <c r="J133" s="788">
        <v>2</v>
      </c>
      <c r="K133" s="786" t="s">
        <v>113</v>
      </c>
      <c r="L133" s="787">
        <v>2.93</v>
      </c>
      <c r="M133" s="787">
        <v>2.5499999999999998</v>
      </c>
      <c r="N133" s="787">
        <v>2.14</v>
      </c>
      <c r="O133" s="787">
        <v>1.94</v>
      </c>
      <c r="P133" s="787">
        <v>1.78</v>
      </c>
      <c r="Q133" s="787">
        <v>1.5</v>
      </c>
      <c r="R133" s="787">
        <v>1.22</v>
      </c>
      <c r="S133" s="787">
        <v>1.05</v>
      </c>
      <c r="T133" s="787">
        <v>0.8</v>
      </c>
      <c r="U133" s="787">
        <v>0.61</v>
      </c>
      <c r="V133" s="787">
        <v>0.55000000000000004</v>
      </c>
      <c r="W133" s="745"/>
      <c r="X133" s="770">
        <f>SUM(Y133:AI133)</f>
        <v>2.93</v>
      </c>
      <c r="Y133" s="771">
        <f>IF($Y$82&lt;=$L$131,L133,0)</f>
        <v>2.93</v>
      </c>
      <c r="Z133" s="772">
        <f>IF(AND($Y$82&gt;10,$Y$82&lt;20),L133+(M133-L133)*($Y$82-$L$131)/($M$131-$L$131),0)</f>
        <v>0</v>
      </c>
      <c r="AA133" s="772">
        <f>IF(AND($Y$82&gt;20,$Y$82&lt;50),M133+(N133-M133)*($Y$82-$M$131)/($N$131-$M$131),0)</f>
        <v>0</v>
      </c>
      <c r="AB133" s="772">
        <f>IF(AND($Y$82&gt;50,$Y$82&lt;100),N133+(O133-N133)*($Y$82-$N$131)/($O$131-$N$131),0)</f>
        <v>0</v>
      </c>
      <c r="AC133" s="772">
        <f>IF(AND($Y$82&gt;100,$Y$82&lt;200),O133+(P133-O133)*($Y$82-$O$131)/($P$131-$O$131),0)</f>
        <v>0</v>
      </c>
      <c r="AD133" s="772">
        <f>IF(AND($Y$82&gt;200,$Y$82&lt;500),P133+(Q133-P133)*($Y$82-$P$131)/($Q$131-$P$131),0)</f>
        <v>0</v>
      </c>
      <c r="AE133" s="772">
        <f>IF(AND($Y$82&gt;500,$Y$82&lt;1000),Q133+(R133-Q133)*($Y$82-$Q$131)/($R$131-$Q$131),0)</f>
        <v>0</v>
      </c>
      <c r="AF133" s="772">
        <f>IF(AND($Y$82&gt;1000,$Y$82&lt;2000),R133+(S133-R133)*($Y$82-$R$131)/($S$131-$R$131),0)</f>
        <v>0</v>
      </c>
      <c r="AG133" s="772">
        <f>IF(AND($Y$82&gt;2000,$Y$82&lt;5000),S133+(T133-S133)*($Y$82-$S$131)/($T$131-$S$131),0)</f>
        <v>0</v>
      </c>
      <c r="AH133" s="772">
        <f>IF(AND($Y$82&gt;5000,$Y$82&lt;10000),T133+(U133-T133)*($Y$82-$T$131)/($U$131-$T$131),0)</f>
        <v>0</v>
      </c>
      <c r="AI133" s="772">
        <f>IF(AND($Y$82&gt;8000,$Y$82&lt;10000),U133+(V133-U133)*($Y$82-$U$131)/($V$131-$U$131),0)</f>
        <v>0</v>
      </c>
    </row>
    <row r="134" spans="10:35" ht="15.6">
      <c r="J134" s="788">
        <v>3</v>
      </c>
      <c r="K134" s="786" t="s">
        <v>115</v>
      </c>
      <c r="L134" s="787">
        <v>2.67</v>
      </c>
      <c r="M134" s="787">
        <v>2.33</v>
      </c>
      <c r="N134" s="787">
        <v>1.96</v>
      </c>
      <c r="O134" s="787">
        <v>1.77</v>
      </c>
      <c r="P134" s="787">
        <v>1.62</v>
      </c>
      <c r="Q134" s="787">
        <v>1.37</v>
      </c>
      <c r="R134" s="787">
        <v>1.1100000000000001</v>
      </c>
      <c r="S134" s="787">
        <v>0.94</v>
      </c>
      <c r="T134" s="787">
        <v>0.73</v>
      </c>
      <c r="U134" s="787">
        <v>0.55000000000000004</v>
      </c>
      <c r="V134" s="787">
        <v>0.5</v>
      </c>
      <c r="W134" s="745"/>
      <c r="X134" s="770">
        <f>SUM(Y134:AI134)</f>
        <v>2.67</v>
      </c>
      <c r="Y134" s="771">
        <f>IF($Y$82&lt;=$L$131,L134,0)</f>
        <v>2.67</v>
      </c>
      <c r="Z134" s="772">
        <f>IF(AND($Y$82&gt;10,$Y$82&lt;20),L134+(M134-L134)*($Y$82-$L$131)/($M$131-$L$131),0)</f>
        <v>0</v>
      </c>
      <c r="AA134" s="772">
        <f>IF(AND($Y$82&gt;20,$Y$82&lt;50),M134+(N134-M134)*($Y$82-$M$131)/($N$131-$M$131),0)</f>
        <v>0</v>
      </c>
      <c r="AB134" s="772">
        <f>IF(AND($Y$82&gt;50,$Y$82&lt;100),N134+(O134-N134)*($Y$82-$N$131)/($O$131-$N$131),0)</f>
        <v>0</v>
      </c>
      <c r="AC134" s="772">
        <f>IF(AND($Y$82&gt;100,$Y$82&lt;200),O134+(P134-O134)*($Y$82-$O$131)/($P$131-$O$131),0)</f>
        <v>0</v>
      </c>
      <c r="AD134" s="772">
        <f>IF(AND($Y$82&gt;200,$Y$82&lt;500),P134+(Q134-P134)*($Y$82-$P$131)/($Q$131-$P$131),0)</f>
        <v>0</v>
      </c>
      <c r="AE134" s="772">
        <f>IF(AND($Y$82&gt;500,$Y$82&lt;1000),Q134+(R134-Q134)*($Y$82-$Q$131)/($R$131-$Q$131),0)</f>
        <v>0</v>
      </c>
      <c r="AF134" s="772">
        <f>IF(AND($Y$82&gt;1000,$Y$82&lt;2000),R134+(S134-R134)*($Y$82-$R$131)/($S$131-$R$131),0)</f>
        <v>0</v>
      </c>
      <c r="AG134" s="772">
        <f>IF(AND($Y$82&gt;2000,$Y$82&lt;5000),S134+(T134-S134)*($Y$82-$S$131)/($T$131-$S$131),0)</f>
        <v>0</v>
      </c>
      <c r="AH134" s="772">
        <f>IF(AND($Y$82&gt;5000,$Y$82&lt;10000),T134+(U134-T134)*($Y$82-$T$131)/($U$131-$T$131),0)</f>
        <v>0</v>
      </c>
      <c r="AI134" s="772">
        <f>IF(AND($Y$82&gt;8000,$Y$82&lt;10000),U134+(V134-U134)*($Y$82-$U$131)/($V$131-$U$131),0)</f>
        <v>0</v>
      </c>
    </row>
    <row r="135" spans="10:35" ht="15.6">
      <c r="J135" s="788">
        <v>4</v>
      </c>
      <c r="K135" s="786" t="s">
        <v>117</v>
      </c>
      <c r="L135" s="787">
        <v>2.36</v>
      </c>
      <c r="M135" s="787">
        <v>2.0699999999999998</v>
      </c>
      <c r="N135" s="787">
        <v>1.74</v>
      </c>
      <c r="O135" s="787">
        <v>1.57</v>
      </c>
      <c r="P135" s="787">
        <v>1.43</v>
      </c>
      <c r="Q135" s="787">
        <v>1.21</v>
      </c>
      <c r="R135" s="787">
        <v>0.98</v>
      </c>
      <c r="S135" s="787">
        <v>0.83</v>
      </c>
      <c r="T135" s="787">
        <v>0.64</v>
      </c>
      <c r="U135" s="787">
        <v>0.48</v>
      </c>
      <c r="V135" s="787">
        <v>0.44</v>
      </c>
      <c r="W135" s="745"/>
      <c r="X135" s="770">
        <f>SUM(Y135:AI135)</f>
        <v>2.36</v>
      </c>
      <c r="Y135" s="771">
        <f>IF($Y$82&lt;=$L$131,L135,0)</f>
        <v>2.36</v>
      </c>
      <c r="Z135" s="772">
        <f>IF(AND($Y$82&gt;10,$Y$82&lt;20),L135+(M135-L135)*($Y$82-$L$131)/($M$131-$L$131),0)</f>
        <v>0</v>
      </c>
      <c r="AA135" s="772">
        <f>IF(AND($Y$82&gt;20,$Y$82&lt;50),M135+(N135-M135)*($Y$82-$M$131)/($N$131-$M$131),0)</f>
        <v>0</v>
      </c>
      <c r="AB135" s="772">
        <f>IF(AND($Y$82&gt;50,$Y$82&lt;100),N135+(O135-N135)*($Y$82-$N$131)/($O$131-$N$131),0)</f>
        <v>0</v>
      </c>
      <c r="AC135" s="772">
        <f>IF(AND($Y$82&gt;100,$Y$82&lt;200),O135+(P135-O135)*($Y$82-$O$131)/($P$131-$O$131),0)</f>
        <v>0</v>
      </c>
      <c r="AD135" s="772">
        <f>IF(AND($Y$82&gt;200,$Y$82&lt;500),P135+(Q135-P135)*($Y$82-$P$131)/($Q$131-$P$131),0)</f>
        <v>0</v>
      </c>
      <c r="AE135" s="772">
        <f>IF(AND($Y$82&gt;500,$Y$82&lt;1000),Q135+(R135-Q135)*($Y$82-$Q$131)/($R$131-$Q$131),0)</f>
        <v>0</v>
      </c>
      <c r="AF135" s="772">
        <f>IF(AND($Y$82&gt;1000,$Y$82&lt;2000),R135+(S135-R135)*($Y$82-$R$131)/($S$131-$R$131),0)</f>
        <v>0</v>
      </c>
      <c r="AG135" s="772">
        <f>IF(AND($Y$82&gt;2000,$Y$82&lt;5000),S135+(T135-S135)*($Y$82-$S$131)/($T$131-$S$131),0)</f>
        <v>0</v>
      </c>
      <c r="AH135" s="772">
        <f>IF(AND($Y$82&gt;5000,$Y$82&lt;10000),T135+(U135-T135)*($Y$82-$T$131)/($U$131-$T$131),0)</f>
        <v>0</v>
      </c>
      <c r="AI135" s="772">
        <f>IF(AND($Y$82&gt;8000,$Y$82&lt;10000),U135+(V135-U135)*($Y$82-$U$131)/($V$131-$U$131),0)</f>
        <v>0</v>
      </c>
    </row>
    <row r="136" spans="10:35" ht="15.6">
      <c r="J136" s="788">
        <v>5</v>
      </c>
      <c r="K136" s="786" t="s">
        <v>92</v>
      </c>
      <c r="L136" s="787">
        <v>2.0699999999999998</v>
      </c>
      <c r="M136" s="787">
        <v>1.81</v>
      </c>
      <c r="N136" s="787">
        <v>1.48</v>
      </c>
      <c r="O136" s="787">
        <v>1.3</v>
      </c>
      <c r="P136" s="787">
        <v>1.06</v>
      </c>
      <c r="Q136" s="787">
        <v>0.89</v>
      </c>
      <c r="R136" s="787"/>
      <c r="S136" s="787"/>
      <c r="T136" s="787"/>
      <c r="U136" s="787"/>
      <c r="V136" s="787"/>
      <c r="W136" s="745"/>
      <c r="X136" s="770">
        <f>SUM(Y136:AI136)</f>
        <v>2.0699999999999998</v>
      </c>
      <c r="Y136" s="771">
        <f>IF($Y$82&lt;=$L$131,L136,0)</f>
        <v>2.0699999999999998</v>
      </c>
      <c r="Z136" s="772">
        <f>IF(AND($Y$82&gt;10,$Y$82&lt;20),L136+(M136-L136)*($Y$82-$L$131)/($M$131-$L$131),0)</f>
        <v>0</v>
      </c>
      <c r="AA136" s="772">
        <f>IF(AND($Y$82&gt;20,$Y$82&lt;50),M136+(N136-M136)*($Y$82-$M$131)/($N$131-$M$131),0)</f>
        <v>0</v>
      </c>
      <c r="AB136" s="772">
        <f>IF(AND($Y$82&gt;50,$Y$82&lt;100),N136+(O136-N136)*($Y$82-$N$131)/($O$131-$N$131),0)</f>
        <v>0</v>
      </c>
      <c r="AC136" s="772">
        <f>IF(AND($Y$82&gt;100,$Y$82&lt;200),O136+(P136-O136)*($Y$82-$O$131)/($P$131-$O$131),0)</f>
        <v>0</v>
      </c>
      <c r="AD136" s="772">
        <f>IF(AND($Y$82&gt;200,$Y$82&lt;500),P136+(Q136-P136)*($Y$82-$P$131)/($Q$131-$P$131),0)</f>
        <v>0</v>
      </c>
      <c r="AE136" s="772">
        <f>IF(AND($Y$82&gt;500,$Y$82&lt;1000),Q136+(R136-Q136)*($Y$82-$Q$131)/($R$131-$Q$131),0)</f>
        <v>0</v>
      </c>
      <c r="AF136" s="772">
        <f>IF(AND($Y$82&gt;1000,$Y$82&lt;2000),R136+(S136-R136)*($Y$82-$R$131)/($S$131-$R$131),0)</f>
        <v>0</v>
      </c>
      <c r="AG136" s="772">
        <f>IF(AND($Y$82&gt;2000,$Y$82&lt;5000),S136+(T136-S136)*($Y$82-$S$131)/($T$131-$S$131),0)</f>
        <v>0</v>
      </c>
      <c r="AH136" s="772">
        <f>IF(AND($Y$82&gt;5000,$Y$82&lt;10000),T136+(U136-T136)*($Y$82-$T$131)/($U$131-$T$131),0)</f>
        <v>0</v>
      </c>
      <c r="AI136" s="772">
        <f>IF(AND($Y$82&gt;8000,$Y$82&lt;10000),U136+(V136-U136)*($Y$82-$U$131)/($V$131-$U$131),0)</f>
        <v>0</v>
      </c>
    </row>
    <row r="139" spans="10:35" ht="15.6">
      <c r="K139" s="774" t="s">
        <v>171</v>
      </c>
      <c r="L139" s="774"/>
      <c r="M139" s="774"/>
      <c r="N139" s="774"/>
      <c r="O139" s="774"/>
      <c r="P139" s="774"/>
      <c r="Q139" s="774"/>
      <c r="R139" s="774"/>
      <c r="S139" s="774"/>
      <c r="T139" s="774"/>
      <c r="U139" s="774"/>
    </row>
    <row r="140" spans="10:35" ht="15.6">
      <c r="K140" s="796" t="s">
        <v>172</v>
      </c>
      <c r="L140" s="783">
        <v>5</v>
      </c>
      <c r="M140" s="796">
        <v>15</v>
      </c>
      <c r="N140" s="796">
        <v>25</v>
      </c>
      <c r="O140" s="796">
        <v>50</v>
      </c>
      <c r="P140" s="796">
        <v>100</v>
      </c>
      <c r="Q140" s="796">
        <v>200</v>
      </c>
      <c r="R140" s="796">
        <v>500</v>
      </c>
      <c r="S140" s="796">
        <v>1000</v>
      </c>
      <c r="T140" s="796">
        <v>3000</v>
      </c>
    </row>
    <row r="141" spans="10:35" ht="15.6">
      <c r="K141" s="797" t="s">
        <v>173</v>
      </c>
      <c r="L141" s="796">
        <v>0.6</v>
      </c>
      <c r="M141" s="796">
        <v>0.5</v>
      </c>
      <c r="N141" s="796">
        <v>0.45</v>
      </c>
      <c r="O141" s="796">
        <v>0.4</v>
      </c>
      <c r="P141" s="796">
        <v>0.36</v>
      </c>
      <c r="Q141" s="796">
        <v>0.33</v>
      </c>
      <c r="R141" s="796">
        <v>0.28000000000000003</v>
      </c>
      <c r="S141" s="796">
        <v>0.22</v>
      </c>
      <c r="T141" s="796">
        <v>0.16</v>
      </c>
    </row>
    <row r="142" spans="10:35" ht="15.6">
      <c r="J142" s="798"/>
      <c r="K142" s="799"/>
      <c r="L142" s="799"/>
      <c r="M142" s="799"/>
      <c r="N142" s="799"/>
      <c r="O142" s="799"/>
      <c r="P142" s="799"/>
      <c r="Q142" s="799"/>
      <c r="R142" s="799"/>
      <c r="S142" s="799"/>
      <c r="T142" s="799"/>
    </row>
    <row r="143" spans="10:35" ht="15.6">
      <c r="J143" s="798"/>
      <c r="K143" s="799"/>
      <c r="L143" s="799"/>
      <c r="M143" s="799"/>
      <c r="N143" s="799"/>
      <c r="O143" s="799"/>
      <c r="P143" s="799"/>
      <c r="Q143" s="799"/>
      <c r="R143" s="799"/>
      <c r="S143" s="799"/>
      <c r="T143" s="799"/>
    </row>
    <row r="144" spans="10:35" ht="15.6">
      <c r="J144" s="773" t="s">
        <v>174</v>
      </c>
      <c r="K144" s="774"/>
      <c r="L144" s="774"/>
      <c r="M144" s="774"/>
      <c r="N144" s="774"/>
      <c r="O144" s="774"/>
      <c r="P144" s="774"/>
      <c r="Q144" s="774"/>
      <c r="R144" s="774"/>
      <c r="S144" s="774"/>
      <c r="T144" s="774"/>
      <c r="U144" s="774"/>
      <c r="V144" s="774"/>
      <c r="W144" s="774"/>
    </row>
    <row r="145" spans="10:35" ht="15.6">
      <c r="J145" s="776"/>
      <c r="K145" s="774"/>
      <c r="L145" s="774"/>
      <c r="M145" s="774"/>
      <c r="N145" s="774"/>
      <c r="O145" s="774"/>
      <c r="P145" s="774"/>
      <c r="Q145" s="774"/>
      <c r="R145" s="774"/>
      <c r="S145" s="774"/>
      <c r="T145" s="774"/>
      <c r="U145" s="774"/>
      <c r="V145" s="774"/>
      <c r="W145" s="774"/>
    </row>
    <row r="146" spans="10:35" ht="15.6">
      <c r="J146" s="792" t="s">
        <v>142</v>
      </c>
      <c r="K146" s="793" t="s">
        <v>110</v>
      </c>
      <c r="L146" s="794" t="s">
        <v>168</v>
      </c>
      <c r="M146" s="784"/>
      <c r="N146" s="784"/>
      <c r="O146" s="784"/>
      <c r="P146" s="784"/>
      <c r="Q146" s="784"/>
      <c r="R146" s="784"/>
      <c r="S146" s="784"/>
      <c r="T146" s="784"/>
      <c r="U146" s="784"/>
      <c r="V146" s="784"/>
      <c r="W146" s="745"/>
      <c r="X146" s="759"/>
      <c r="Y146" s="760"/>
      <c r="Z146" s="761"/>
      <c r="AA146" s="761"/>
      <c r="AB146" s="761"/>
      <c r="AC146" s="761"/>
      <c r="AD146" s="761"/>
      <c r="AE146" s="756"/>
      <c r="AF146" s="756"/>
      <c r="AG146" s="762"/>
      <c r="AH146" s="762"/>
      <c r="AI146" s="762"/>
    </row>
    <row r="147" spans="10:35" ht="15.6">
      <c r="J147" s="782"/>
      <c r="K147" s="795"/>
      <c r="L147" s="783">
        <v>10</v>
      </c>
      <c r="M147" s="784">
        <v>20</v>
      </c>
      <c r="N147" s="784">
        <v>50</v>
      </c>
      <c r="O147" s="784">
        <v>100</v>
      </c>
      <c r="P147" s="784">
        <v>200</v>
      </c>
      <c r="Q147" s="784">
        <v>500</v>
      </c>
      <c r="R147" s="784">
        <v>1000</v>
      </c>
      <c r="S147" s="784">
        <v>2000</v>
      </c>
      <c r="T147" s="784">
        <v>5000</v>
      </c>
      <c r="U147" s="784">
        <v>8000</v>
      </c>
      <c r="V147" s="784">
        <v>10000</v>
      </c>
      <c r="W147" s="745"/>
      <c r="X147" s="759" t="s">
        <v>145</v>
      </c>
      <c r="Y147" s="767">
        <v>10</v>
      </c>
      <c r="Z147" s="768" t="s">
        <v>146</v>
      </c>
      <c r="AA147" s="768" t="s">
        <v>147</v>
      </c>
      <c r="AB147" s="768" t="s">
        <v>148</v>
      </c>
      <c r="AC147" s="768" t="s">
        <v>149</v>
      </c>
      <c r="AD147" s="768" t="s">
        <v>150</v>
      </c>
      <c r="AE147" s="768" t="s">
        <v>151</v>
      </c>
      <c r="AF147" s="768" t="s">
        <v>152</v>
      </c>
      <c r="AG147" s="768" t="s">
        <v>153</v>
      </c>
      <c r="AH147" s="768" t="s">
        <v>169</v>
      </c>
      <c r="AI147" s="768" t="s">
        <v>170</v>
      </c>
    </row>
    <row r="148" spans="10:35" ht="15.6">
      <c r="J148" s="788">
        <v>1</v>
      </c>
      <c r="K148" s="786" t="s">
        <v>112</v>
      </c>
      <c r="L148" s="787">
        <v>4.66</v>
      </c>
      <c r="M148" s="787">
        <v>4.05</v>
      </c>
      <c r="N148" s="787">
        <v>3.41</v>
      </c>
      <c r="O148" s="787">
        <v>3.1</v>
      </c>
      <c r="P148" s="787">
        <v>2.83</v>
      </c>
      <c r="Q148" s="787">
        <v>2.39</v>
      </c>
      <c r="R148" s="787">
        <v>1.93</v>
      </c>
      <c r="S148" s="787">
        <v>1.65</v>
      </c>
      <c r="T148" s="787">
        <v>1.28</v>
      </c>
      <c r="U148" s="787">
        <v>0.99</v>
      </c>
      <c r="V148" s="787">
        <v>0.91</v>
      </c>
      <c r="W148" s="745"/>
      <c r="X148" s="770">
        <f>SUM(Y148:AI148)</f>
        <v>4.66</v>
      </c>
      <c r="Y148" s="771">
        <f>IF($Y$82&lt;=$L$147,L148,0)</f>
        <v>4.66</v>
      </c>
      <c r="Z148" s="772">
        <f>IF(AND($Y$82&gt;10,$Y$82&lt;20),L148+(M148-L148)*($Y$82-$L$147)/($M$147-$L$147),0)</f>
        <v>0</v>
      </c>
      <c r="AA148" s="772">
        <f>IF(AND($Y$82&gt;20,$Y$82&lt;50),M148+(N148-M148)*($Y$82-$M$147)/($N$147-$M$147),0)</f>
        <v>0</v>
      </c>
      <c r="AB148" s="772">
        <f>IF(AND($Y$82&gt;50,$Y$82&lt;100),N148+(O148-N148)*($Y$82-$N$147)/($O$147-$N$147),0)</f>
        <v>0</v>
      </c>
      <c r="AC148" s="772">
        <f>IF(AND($Y$82&gt;100,$Y$82&lt;200),O148+(P148-O148)*($Y$82-$O$147)/($P$147-$O$147),0)</f>
        <v>0</v>
      </c>
      <c r="AD148" s="772">
        <f>IF(AND($Y$82&gt;200,$Y$82&lt;500),P148+(Q148-P148)*($Y$82-$P$147)/($Q$147-$P$147),0)</f>
        <v>0</v>
      </c>
      <c r="AE148" s="772">
        <f>IF(AND($Y$82&gt;500,$Y$82&lt;1000),Q148+(R148-Q148)*($Y$82-$Q$147)/($R$147-$Q$147),0)</f>
        <v>0</v>
      </c>
      <c r="AF148" s="772">
        <f>IF(AND($Y$82&gt;1000,$Y$82&lt;2000),R148+(S148-R148)*($Y$82-$R$147)/($S$147-$R$147),0)</f>
        <v>0</v>
      </c>
      <c r="AG148" s="772">
        <f>IF(AND($Y$82&gt;2000,$Y$82&lt;5000),S148+(T148-S148)*($Y$82-$S$147)/($T$147-$S$147),0)</f>
        <v>0</v>
      </c>
      <c r="AH148" s="772">
        <f>IF(AND($Y$82&gt;5000,$Y$82&lt;8000),T148+(U148-T148)*($Y$82-$T$147)/($U$147-$T$147),0)</f>
        <v>0</v>
      </c>
      <c r="AI148" s="772">
        <f>IF(AND($Y$82&gt;8000,$Y$82&lt;10000),U148+(V148-U148)*($Y$82-$U$147)/($V$147-$U$147),0)</f>
        <v>0</v>
      </c>
    </row>
    <row r="149" spans="10:35" ht="15.6">
      <c r="J149" s="788">
        <v>2</v>
      </c>
      <c r="K149" s="786" t="s">
        <v>113</v>
      </c>
      <c r="L149" s="787">
        <v>4.22</v>
      </c>
      <c r="M149" s="787">
        <v>3.66</v>
      </c>
      <c r="N149" s="787">
        <v>3.1</v>
      </c>
      <c r="O149" s="787">
        <v>2.82</v>
      </c>
      <c r="P149" s="787">
        <v>2.57</v>
      </c>
      <c r="Q149" s="787">
        <v>2.17</v>
      </c>
      <c r="R149" s="787">
        <v>1.76</v>
      </c>
      <c r="S149" s="787">
        <v>1.51</v>
      </c>
      <c r="T149" s="787">
        <v>1.1599999999999999</v>
      </c>
      <c r="U149" s="787">
        <v>0.9</v>
      </c>
      <c r="V149" s="787">
        <v>0.8</v>
      </c>
      <c r="W149" s="745"/>
      <c r="X149" s="770">
        <f>SUM(Y149:AI149)</f>
        <v>4.22</v>
      </c>
      <c r="Y149" s="771">
        <f>IF($Y$82&lt;=$L$147,L149,0)</f>
        <v>4.22</v>
      </c>
      <c r="Z149" s="772">
        <f>IF(AND($Y$82&gt;10,$Y$82&lt;20),L149+(M149-L149)*($Y$82-$L$147)/($M$147-$L$147),0)</f>
        <v>0</v>
      </c>
      <c r="AA149" s="772">
        <f>IF(AND($Y$82&gt;20,$Y$82&lt;50),M149+(N149-M149)*($Y$82-$M$147)/($N$147-$M$147),0)</f>
        <v>0</v>
      </c>
      <c r="AB149" s="772">
        <f>IF(AND($Y$82&gt;15,$Y$82&lt;20),N149+(O149-N149)*($Y$82-$N$147)/($O$147-$N$147),0)</f>
        <v>0</v>
      </c>
      <c r="AC149" s="772">
        <f>IF(AND($Y$82&gt;100,$Y$82&lt;200),O149+(P149-O149)*($Y$82-$O$147)/($P$147-$O$147),0)</f>
        <v>0</v>
      </c>
      <c r="AD149" s="772">
        <f>IF(AND($Y$82&gt;200,$Y$82&lt;500),P149+(Q149-P149)*($Y$82-$P$147)/($Q$147-$P$147),0)</f>
        <v>0</v>
      </c>
      <c r="AE149" s="772">
        <f>IF(AND($Y$82&gt;500,$Y$82&lt;1000),Q149+(R149-Q149)*($Y$82-$Q$147)/($R$147-$Q$147),0)</f>
        <v>0</v>
      </c>
      <c r="AF149" s="772">
        <f>IF(AND($Y$82&gt;1000,$Y$82&lt;2000),R149+(S149-R149)*($Y$82-$R$147)/($S$147-$R$147),0)</f>
        <v>0</v>
      </c>
      <c r="AG149" s="772">
        <f>IF(AND($Y$82&gt;2000,$Y$82&lt;5000),S149+(T149-S149)*($Y$82-$S$147)/($T$147-$S$147),0)</f>
        <v>0</v>
      </c>
      <c r="AH149" s="772">
        <f>IF(AND($Y$82&gt;5000,$Y$82&lt;8000),T149+(U149-T149)*($Y$82-$T$147)/($U$147-$T$147),0)</f>
        <v>0</v>
      </c>
      <c r="AI149" s="772">
        <f>IF(AND($Y$82&gt;8000,$Y$82&lt;10000),U149+(V149-U149)*($Y$82-$U$147)/($V$147-$U$147),0)</f>
        <v>0</v>
      </c>
    </row>
    <row r="150" spans="10:35" ht="15.6">
      <c r="J150" s="788">
        <v>3</v>
      </c>
      <c r="K150" s="786" t="s">
        <v>115</v>
      </c>
      <c r="L150" s="787">
        <v>3.85</v>
      </c>
      <c r="M150" s="787">
        <v>3.33</v>
      </c>
      <c r="N150" s="787">
        <v>2.8</v>
      </c>
      <c r="O150" s="787">
        <v>2.54</v>
      </c>
      <c r="P150" s="787">
        <v>2.3400000000000101</v>
      </c>
      <c r="Q150" s="787">
        <v>1.98</v>
      </c>
      <c r="R150" s="787">
        <v>1.61</v>
      </c>
      <c r="S150" s="787">
        <v>1.36</v>
      </c>
      <c r="T150" s="787">
        <v>1.06</v>
      </c>
      <c r="U150" s="787">
        <v>0.82</v>
      </c>
      <c r="V150" s="787">
        <v>0.72</v>
      </c>
      <c r="W150" s="745"/>
      <c r="X150" s="770">
        <f>SUM(Y150:AI150)</f>
        <v>3.85</v>
      </c>
      <c r="Y150" s="771">
        <f>IF($Y$82&lt;=$L$147,L150,0)</f>
        <v>3.85</v>
      </c>
      <c r="Z150" s="772">
        <f>IF(AND($Y$82&gt;10,$Y$82&lt;20),L150+(M150-L150)*($Y$82-$L$147)/($M$147-$L$147),0)</f>
        <v>0</v>
      </c>
      <c r="AA150" s="772">
        <f>IF(AND($Y$82&gt;20,$Y$82&lt;50),M150+(N150-M150)*($Y$82-$M$147)/($N$147-$M$147),0)</f>
        <v>0</v>
      </c>
      <c r="AB150" s="772">
        <f>IF(AND($Y$82&gt;15,$Y$82&lt;20),N150+(O150-N150)*($Y$82-$N$147)/($O$147-$N$147),0)</f>
        <v>0</v>
      </c>
      <c r="AC150" s="772">
        <f>IF(AND($Y$82&gt;100,$Y$82&lt;200),O150+(P150-O150)*($Y$82-$O$147)/($P$147-$O$147),0)</f>
        <v>0</v>
      </c>
      <c r="AD150" s="772">
        <f>IF(AND($Y$82&gt;200,$Y$82&lt;500),P150+(Q150-P150)*($Y$82-$P$147)/($Q$147-$P$147),0)</f>
        <v>0</v>
      </c>
      <c r="AE150" s="772">
        <f>IF(AND($Y$82&gt;500,$Y$82&lt;1000),Q150+(R150-Q150)*($Y$82-$Q$147)/($R$147-$Q$147),0)</f>
        <v>0</v>
      </c>
      <c r="AF150" s="772">
        <f>IF(AND($Y$82&gt;1000,$Y$82&lt;2000),R150+(S150-R150)*($Y$82-$R$147)/($S$147-$R$147),0)</f>
        <v>0</v>
      </c>
      <c r="AG150" s="772">
        <f>IF(AND($Y$82&gt;2000,$Y$82&lt;5000),S150+(T150-S150)*($Y$82-$S$147)/($T$147-$S$147),0)</f>
        <v>0</v>
      </c>
      <c r="AH150" s="772">
        <f>IF(AND($Y$82&gt;5000,$Y$82&lt;8000),T150+(U150-T150)*($Y$82-$T$147)/($U$147-$T$147),0)</f>
        <v>0</v>
      </c>
      <c r="AI150" s="772">
        <f>IF(AND($Y$82&gt;8000,$Y$82&lt;10000),U150+(V150-U150)*($Y$82-$U$147)/($V$147-$U$147),0)</f>
        <v>0</v>
      </c>
    </row>
    <row r="151" spans="10:35" ht="15.6">
      <c r="J151" s="788">
        <v>4</v>
      </c>
      <c r="K151" s="786" t="s">
        <v>117</v>
      </c>
      <c r="L151" s="787">
        <v>3.41</v>
      </c>
      <c r="M151" s="787">
        <v>2.95</v>
      </c>
      <c r="N151" s="787">
        <v>2.48</v>
      </c>
      <c r="O151" s="787">
        <v>2.25</v>
      </c>
      <c r="P151" s="787">
        <v>2.0699999999999998</v>
      </c>
      <c r="Q151" s="787">
        <v>1.75</v>
      </c>
      <c r="R151" s="787">
        <v>1.43</v>
      </c>
      <c r="S151" s="787">
        <v>1.2</v>
      </c>
      <c r="T151" s="787">
        <v>0.94</v>
      </c>
      <c r="U151" s="787">
        <v>0.72</v>
      </c>
      <c r="V151" s="787">
        <v>0.63</v>
      </c>
      <c r="W151" s="745"/>
      <c r="X151" s="770">
        <f>SUM(Y151:AI151)</f>
        <v>3.41</v>
      </c>
      <c r="Y151" s="771">
        <f>IF($Y$82&lt;=$L$147,L151,0)</f>
        <v>3.41</v>
      </c>
      <c r="Z151" s="772">
        <f>IF(AND($Y$82&gt;10,$Y$82&lt;20),L151+(M151-L151)*($Y$82-$L$147)/($M$147-$L$147),0)</f>
        <v>0</v>
      </c>
      <c r="AA151" s="772">
        <f>IF(AND($Y$82&gt;20,$Y$82&lt;50),M151+(N151-M151)*($Y$82-$M$147)/($N$147-$M$147),0)</f>
        <v>0</v>
      </c>
      <c r="AB151" s="772">
        <f>IF(AND($Y$82&gt;15,$Y$82&lt;20),N151+(O151-N151)*($Y$82-$N$147)/($O$147-$N$147),0)</f>
        <v>0</v>
      </c>
      <c r="AC151" s="772">
        <f>IF(AND($Y$82&gt;100,$Y$82&lt;200),O151+(P151-O151)*($Y$82-$O$147)/($P$147-$O$147),0)</f>
        <v>0</v>
      </c>
      <c r="AD151" s="772">
        <f>IF(AND($Y$82&gt;200,$Y$82&lt;500),P151+(Q151-P151)*($Y$82-$P$147)/($Q$147-$P$147),0)</f>
        <v>0</v>
      </c>
      <c r="AE151" s="772">
        <f>IF(AND($Y$82&gt;500,$Y$82&lt;1000),Q151+(R151-Q151)*($Y$82-$Q$147)/($R$147-$Q$147),0)</f>
        <v>0</v>
      </c>
      <c r="AF151" s="772">
        <f>IF(AND($Y$82&gt;1000,$Y$82&lt;2000),R151+(S151-R151)*($Y$82-$R$147)/($S$147-$R$147),0)</f>
        <v>0</v>
      </c>
      <c r="AG151" s="772">
        <f>IF(AND($Y$82&gt;2000,$Y$82&lt;5000),S151+(T151-S151)*($Y$82-$S$147)/($T$147-$S$147),0)</f>
        <v>0</v>
      </c>
      <c r="AH151" s="772">
        <f>IF(AND($Y$82&gt;5000,$Y$82&lt;8000),T151+(U151-T151)*($Y$82-$T$147)/($U$147-$T$147),0)</f>
        <v>0</v>
      </c>
      <c r="AI151" s="772">
        <f>IF(AND($Y$82&gt;8000,$Y$82&lt;10000),U151+(V151-U151)*($Y$82-$U$147)/($V$147-$U$147),0)</f>
        <v>0</v>
      </c>
    </row>
    <row r="152" spans="10:35" ht="15.6">
      <c r="J152" s="788">
        <v>5</v>
      </c>
      <c r="K152" s="786" t="s">
        <v>92</v>
      </c>
      <c r="L152" s="787">
        <v>2.92</v>
      </c>
      <c r="M152" s="787">
        <v>2.5499999999999998</v>
      </c>
      <c r="N152" s="787">
        <v>2.12</v>
      </c>
      <c r="O152" s="787">
        <v>1.86</v>
      </c>
      <c r="P152" s="787">
        <v>1.51</v>
      </c>
      <c r="Q152" s="787">
        <v>1.3</v>
      </c>
      <c r="R152" s="787"/>
      <c r="S152" s="787"/>
      <c r="T152" s="787"/>
      <c r="U152" s="787"/>
      <c r="V152" s="787"/>
      <c r="W152" s="745"/>
      <c r="X152" s="770">
        <f>SUM(Y152:AI152)</f>
        <v>2.92</v>
      </c>
      <c r="Y152" s="771">
        <f>IF($Y$82&lt;=$L$147,L152,0)</f>
        <v>2.92</v>
      </c>
      <c r="Z152" s="772">
        <f>IF(AND($Y$82&gt;10,$Y$82&lt;20),L152+(M152-L152)*($Y$82-$L$147)/($M$147-$L$147),0)</f>
        <v>0</v>
      </c>
      <c r="AA152" s="772">
        <f>IF(AND($Y$82&gt;20,$Y$82&lt;50),M152+(N152-M152)*($Y$82-$M$147)/($N$147-$M$147),0)</f>
        <v>0</v>
      </c>
      <c r="AB152" s="772">
        <f>IF(AND($Y$82&gt;15,$Y$82&lt;20),N152+(O152-N152)*($Y$82-$N$147)/($O$147-$N$147),0)</f>
        <v>0</v>
      </c>
      <c r="AC152" s="772">
        <f>IF(AND($Y$82&gt;100,$Y$82&lt;200),O152+(P152-O152)*($Y$82-$O$147)/($P$147-$O$147),0)</f>
        <v>0</v>
      </c>
      <c r="AD152" s="772">
        <f>IF(AND($Y$82&gt;200,$Y$82&lt;500),P152+(Q152-P152)*($Y$82-$P$147)/($Q$147-$P$147),0)</f>
        <v>0</v>
      </c>
      <c r="AE152" s="772">
        <f>IF(AND($Y$82&gt;500,$Y$82&lt;1000),Q152+(R152-Q152)*($Y$82-$Q$147)/($R$147-$Q$147),0)</f>
        <v>0</v>
      </c>
      <c r="AF152" s="772">
        <f>IF(AND($Y$82&gt;1000,$Y$82&lt;2000),R152+(S152-R152)*($Y$82-$R$147)/($S$147-$R$147),0)</f>
        <v>0</v>
      </c>
      <c r="AG152" s="772">
        <f>IF(AND($Y$82&gt;2000,$Y$82&lt;5000),S152+(T152-S152)*($Y$82-$S$147)/($T$147-$S$147),0)</f>
        <v>0</v>
      </c>
      <c r="AH152" s="772">
        <f>IF(AND($Y$82&gt;5000,$Y$82&lt;8000),T152+(U152-T152)*($Y$82-$T$147)/($U$147-$T$147),0)</f>
        <v>0</v>
      </c>
      <c r="AI152" s="772">
        <f>IF(AND($Y$82&gt;8000,$Y$82&lt;10000),U152+(V152-U152)*($Y$82-$U$147)/($V$147-$U$147),0)</f>
        <v>0</v>
      </c>
    </row>
    <row r="154" spans="10:35" ht="15.6">
      <c r="K154" s="774" t="s">
        <v>175</v>
      </c>
      <c r="L154" s="774"/>
      <c r="M154" s="774"/>
      <c r="N154" s="774"/>
      <c r="O154" s="774"/>
      <c r="P154" s="774"/>
      <c r="Q154" s="774"/>
      <c r="R154" s="774"/>
      <c r="S154" s="774"/>
    </row>
    <row r="155" spans="10:35" ht="15.6">
      <c r="K155" s="800"/>
      <c r="L155" s="800"/>
      <c r="M155" s="800"/>
      <c r="N155" s="800"/>
      <c r="O155" s="800"/>
      <c r="P155" s="800"/>
      <c r="Q155" s="800"/>
      <c r="R155" s="800"/>
      <c r="S155" s="800"/>
    </row>
    <row r="156" spans="10:35" ht="15.6">
      <c r="K156" s="801" t="s">
        <v>176</v>
      </c>
      <c r="L156" s="783">
        <v>5</v>
      </c>
      <c r="M156" s="802">
        <v>15</v>
      </c>
      <c r="N156" s="802">
        <v>25</v>
      </c>
      <c r="O156" s="802">
        <v>50</v>
      </c>
      <c r="P156" s="802">
        <v>100</v>
      </c>
      <c r="Q156" s="802">
        <v>200</v>
      </c>
      <c r="R156" s="802">
        <v>500</v>
      </c>
    </row>
    <row r="157" spans="10:35" ht="15.6">
      <c r="K157" s="801" t="s">
        <v>177</v>
      </c>
      <c r="L157" s="796">
        <v>1.7</v>
      </c>
      <c r="M157" s="796">
        <v>1.4</v>
      </c>
      <c r="N157" s="796">
        <v>1.3</v>
      </c>
      <c r="O157" s="796">
        <v>1.2</v>
      </c>
      <c r="P157" s="796">
        <v>1.1000000000000001</v>
      </c>
      <c r="Q157" s="796">
        <v>0.95</v>
      </c>
      <c r="R157" s="796">
        <v>0.85</v>
      </c>
    </row>
    <row r="158" spans="10:35" ht="15.6">
      <c r="K158" s="801" t="s">
        <v>178</v>
      </c>
      <c r="L158" s="796">
        <v>1.9</v>
      </c>
      <c r="M158" s="796">
        <v>1.6</v>
      </c>
      <c r="N158" s="796">
        <v>1.45</v>
      </c>
      <c r="O158" s="796">
        <v>1.3</v>
      </c>
      <c r="P158" s="796">
        <v>1.2</v>
      </c>
      <c r="Q158" s="796">
        <v>1.05</v>
      </c>
      <c r="R158" s="796">
        <v>0.95</v>
      </c>
    </row>
    <row r="159" spans="10:35" ht="15.6">
      <c r="K159" s="801" t="s">
        <v>179</v>
      </c>
      <c r="L159" s="796">
        <v>1.65</v>
      </c>
      <c r="M159" s="796">
        <v>1.43</v>
      </c>
      <c r="N159" s="796">
        <v>1.27</v>
      </c>
      <c r="O159" s="796">
        <v>1.1599999999999999</v>
      </c>
      <c r="P159" s="796">
        <v>1.05</v>
      </c>
      <c r="Q159" s="796">
        <v>0.94</v>
      </c>
      <c r="R159" s="796">
        <v>0.83</v>
      </c>
    </row>
    <row r="161" spans="10:35" ht="15.6">
      <c r="J161" s="773" t="s">
        <v>180</v>
      </c>
      <c r="K161" s="774"/>
      <c r="L161" s="774"/>
      <c r="M161" s="803"/>
      <c r="N161" s="774"/>
      <c r="O161" s="774"/>
      <c r="P161" s="774"/>
      <c r="Q161" s="774"/>
      <c r="R161" s="774"/>
      <c r="S161" s="774"/>
      <c r="T161" s="774"/>
      <c r="U161" s="774"/>
      <c r="V161" s="774"/>
      <c r="W161" s="774"/>
    </row>
    <row r="162" spans="10:35" ht="15.6">
      <c r="J162" s="774"/>
      <c r="K162" s="774"/>
      <c r="L162" s="774"/>
      <c r="M162" s="774"/>
      <c r="N162" s="774"/>
      <c r="O162" s="774"/>
      <c r="P162" s="774"/>
      <c r="Q162" s="774"/>
      <c r="R162" s="774"/>
      <c r="S162" s="774"/>
      <c r="T162" s="774"/>
      <c r="U162" s="774"/>
      <c r="V162" s="774"/>
      <c r="W162" s="774"/>
    </row>
    <row r="163" spans="10:35" ht="15.6">
      <c r="J163" s="792" t="s">
        <v>142</v>
      </c>
      <c r="K163" s="793" t="s">
        <v>110</v>
      </c>
      <c r="L163" s="778" t="s">
        <v>168</v>
      </c>
      <c r="M163" s="779"/>
      <c r="N163" s="779"/>
      <c r="O163" s="779"/>
      <c r="P163" s="779"/>
      <c r="Q163" s="779"/>
      <c r="R163" s="779"/>
      <c r="S163" s="779"/>
      <c r="T163" s="779"/>
      <c r="U163" s="779"/>
      <c r="V163" s="780"/>
      <c r="W163" s="745"/>
      <c r="X163" s="759"/>
      <c r="Y163" s="760"/>
      <c r="Z163" s="761"/>
      <c r="AA163" s="761"/>
      <c r="AB163" s="761"/>
      <c r="AC163" s="761"/>
      <c r="AD163" s="761"/>
      <c r="AE163" s="756"/>
      <c r="AF163" s="756"/>
      <c r="AG163" s="762"/>
      <c r="AH163" s="762"/>
      <c r="AI163" s="762"/>
    </row>
    <row r="164" spans="10:35" ht="15.6">
      <c r="J164" s="782"/>
      <c r="K164" s="795"/>
      <c r="L164" s="783">
        <v>10</v>
      </c>
      <c r="M164" s="784">
        <v>20</v>
      </c>
      <c r="N164" s="784">
        <v>50</v>
      </c>
      <c r="O164" s="784">
        <v>100</v>
      </c>
      <c r="P164" s="784">
        <v>200</v>
      </c>
      <c r="Q164" s="784">
        <v>500</v>
      </c>
      <c r="R164" s="784">
        <v>1000</v>
      </c>
      <c r="S164" s="784">
        <v>2000</v>
      </c>
      <c r="T164" s="784">
        <v>5000</v>
      </c>
      <c r="U164" s="784">
        <v>8000</v>
      </c>
      <c r="V164" s="784">
        <v>10000</v>
      </c>
      <c r="W164" s="745"/>
      <c r="X164" s="759" t="s">
        <v>145</v>
      </c>
      <c r="Y164" s="767">
        <v>10</v>
      </c>
      <c r="Z164" s="768" t="s">
        <v>146</v>
      </c>
      <c r="AA164" s="768" t="s">
        <v>147</v>
      </c>
      <c r="AB164" s="768" t="s">
        <v>148</v>
      </c>
      <c r="AC164" s="768" t="s">
        <v>149</v>
      </c>
      <c r="AD164" s="768" t="s">
        <v>150</v>
      </c>
      <c r="AE164" s="768" t="s">
        <v>151</v>
      </c>
      <c r="AF164" s="768" t="s">
        <v>152</v>
      </c>
      <c r="AG164" s="768" t="s">
        <v>153</v>
      </c>
      <c r="AH164" s="768" t="s">
        <v>169</v>
      </c>
      <c r="AI164" s="768" t="s">
        <v>170</v>
      </c>
    </row>
    <row r="165" spans="10:35" ht="15.6">
      <c r="J165" s="788">
        <v>1</v>
      </c>
      <c r="K165" s="786" t="s">
        <v>112</v>
      </c>
      <c r="L165" s="787">
        <v>2.96</v>
      </c>
      <c r="M165" s="787">
        <v>2.73</v>
      </c>
      <c r="N165" s="787">
        <v>2.34</v>
      </c>
      <c r="O165" s="787">
        <v>2.13</v>
      </c>
      <c r="P165" s="787">
        <v>1.92</v>
      </c>
      <c r="Q165" s="787">
        <v>1.76</v>
      </c>
      <c r="R165" s="787">
        <v>1.54</v>
      </c>
      <c r="S165" s="787">
        <v>1.3</v>
      </c>
      <c r="T165" s="787">
        <v>0.97</v>
      </c>
      <c r="U165" s="787">
        <v>0.79</v>
      </c>
      <c r="V165" s="787">
        <v>0.7</v>
      </c>
      <c r="W165" s="745"/>
      <c r="X165" s="770">
        <f>SUM(Y165:AI165)</f>
        <v>2.96</v>
      </c>
      <c r="Y165" s="771">
        <f>IF($Y$82&lt;=$L$164,L165,0)</f>
        <v>2.96</v>
      </c>
      <c r="Z165" s="772">
        <f>IF(AND($Y$82&gt;10,$Y$82&lt;20),L165+(M165-L165)*($Y$82-$L$164)/($M$164-$L$164),0)</f>
        <v>0</v>
      </c>
      <c r="AA165" s="772">
        <f>IF(AND($Y$82&gt;20,$Y$82&lt;50),M165+(N165-M165)*($Y$82-$M$164)/($N$164-$M$164),0)</f>
        <v>0</v>
      </c>
      <c r="AB165" s="772">
        <f>IF(AND($Y$82&gt;50,$Y$82&lt;100),N165+(O165-N165)*($Y$82-$N$164)/($O$164-$N$164),0)</f>
        <v>0</v>
      </c>
      <c r="AC165" s="772">
        <f>IF(AND($Y$82&gt;100,$Y$82&lt;200),O165+(P165-O165)*($Y$82-$O$164)/($P$164-$O$164),0)</f>
        <v>0</v>
      </c>
      <c r="AD165" s="772">
        <f>IF(AND($Y$82&gt;200,$Y$82&lt;500),P165+(Q165-P165)*($Y$82-$P$164)/($Q$164-$P$164),0)</f>
        <v>0</v>
      </c>
      <c r="AE165" s="772">
        <f>IF(AND($Y$82&gt;500,$Y$82&lt;1000),Q165+(R165-Q165)*($Y$82-$Q$164)/($R$164-$Q$164),0)</f>
        <v>0</v>
      </c>
      <c r="AF165" s="772">
        <f>IF(AND($Y$82&gt;1000,$Y$82&lt;2000),R165+(S165-R165)*($Y$82-$R$164)/($S$164-$R$164),0)</f>
        <v>0</v>
      </c>
      <c r="AG165" s="772">
        <f>IF(AND($Y$82&gt;2000,$Y$82&lt;5000),S165+(T165-S165)*($Y$82-$S$164)/($T$164-$S$164),0)</f>
        <v>0</v>
      </c>
      <c r="AH165" s="772">
        <f>IF(AND($Y$82&gt;5000,$Y$82&lt;8000),T165+(U165-T165)*($Y$82-$T$164)/($U$164-$T$164),0)</f>
        <v>0</v>
      </c>
      <c r="AI165" s="772">
        <f>IF(AND($Y$82&gt;8000,$Y$82&lt;10000),U165+(V165-U165)*($Y$82-$U$164)/($V$164-$U$164),0)</f>
        <v>0</v>
      </c>
    </row>
    <row r="166" spans="10:35" ht="15.6">
      <c r="J166" s="788">
        <v>2</v>
      </c>
      <c r="K166" s="786" t="s">
        <v>113</v>
      </c>
      <c r="L166" s="787">
        <v>2.4700000000000002</v>
      </c>
      <c r="M166" s="787">
        <v>2.27</v>
      </c>
      <c r="N166" s="787">
        <v>1.93</v>
      </c>
      <c r="O166" s="787">
        <v>1.77</v>
      </c>
      <c r="P166" s="787">
        <v>1.6</v>
      </c>
      <c r="Q166" s="787">
        <v>1.46</v>
      </c>
      <c r="R166" s="787">
        <v>1.28</v>
      </c>
      <c r="S166" s="787">
        <v>1.0900000000000001</v>
      </c>
      <c r="T166" s="787">
        <v>0.8</v>
      </c>
      <c r="U166" s="787">
        <v>0.65</v>
      </c>
      <c r="V166" s="787">
        <v>0.57999999999999996</v>
      </c>
      <c r="W166" s="745"/>
      <c r="X166" s="770">
        <f>SUM(Y166:AI166)</f>
        <v>2.4700000000000002</v>
      </c>
      <c r="Y166" s="771">
        <f>IF($Y$82&lt;=$L$164,L166,0)</f>
        <v>2.4700000000000002</v>
      </c>
      <c r="Z166" s="772">
        <f>IF(AND($Y$82&gt;10,$Y$82&lt;20),L166+(M166-L166)*($Y$82-$L$164)/($M$164-$L$164),0)</f>
        <v>0</v>
      </c>
      <c r="AA166" s="772">
        <f>IF(AND($Y$82&gt;20,$Y$82&lt;50),M166+(N166-M166)*($Y$82-$M$164)/($N$164-$M$164),0)</f>
        <v>0</v>
      </c>
      <c r="AB166" s="772">
        <f>IF(AND($Y$82&gt;50,$Y$82&lt;100),N166+(O166-N166)*($Y$82-$N$164)/($O$164-$N$164),0)</f>
        <v>0</v>
      </c>
      <c r="AC166" s="772">
        <f>IF(AND($Y$82&gt;100,$Y$82&lt;200),O166+(P166-O166)*($Y$82-$O$164)/($P$164-$O$164),0)</f>
        <v>0</v>
      </c>
      <c r="AD166" s="772">
        <f>IF(AND($Y$82&gt;200,$Y$82&lt;500),P166+(Q166-P166)*($Y$82-$P$164)/($Q$164-$P$164),0)</f>
        <v>0</v>
      </c>
      <c r="AE166" s="772">
        <f>IF(AND($Y$82&gt;500,$Y$82&lt;1000),Q166+(R166-Q166)*($Y$82-$Q$164)/($R$164-$Q$164),0)</f>
        <v>0</v>
      </c>
      <c r="AF166" s="772">
        <f>IF(AND($Y$82&gt;1000,$Y$82&lt;2000),R166+(S166-R166)*($Y$82-$R$164)/($S$164-$R$164),0)</f>
        <v>0</v>
      </c>
      <c r="AG166" s="772">
        <f>IF(AND($Y$82&gt;2000,$Y$82&lt;5000),S166+(T166-S166)*($Y$82-$S$164)/($T$164-$S$164),0)</f>
        <v>0</v>
      </c>
      <c r="AH166" s="772">
        <f>IF(AND($Y$82&gt;5000,$Y$82&lt;8000),T166+(U166-T166)*($Y$82-$T$164)/($U$164-$T$164),0)</f>
        <v>0</v>
      </c>
      <c r="AI166" s="772">
        <f>IF(AND($Y$82&gt;8000,$Y$82&lt;10000),U166+(V166-U166)*($Y$82-$U$164)/($V$164-$U$164),0)</f>
        <v>0</v>
      </c>
    </row>
    <row r="167" spans="10:35" ht="15.6">
      <c r="J167" s="788">
        <v>3</v>
      </c>
      <c r="K167" s="786" t="s">
        <v>115</v>
      </c>
      <c r="L167" s="787">
        <v>2.0299999999999998</v>
      </c>
      <c r="M167" s="787">
        <v>1.86</v>
      </c>
      <c r="N167" s="787">
        <v>1.59</v>
      </c>
      <c r="O167" s="787">
        <v>1.46</v>
      </c>
      <c r="P167" s="787">
        <v>1.32</v>
      </c>
      <c r="Q167" s="787">
        <v>1.2</v>
      </c>
      <c r="R167" s="787">
        <v>1.05</v>
      </c>
      <c r="S167" s="787">
        <v>0.9</v>
      </c>
      <c r="T167" s="787">
        <v>0.66</v>
      </c>
      <c r="U167" s="787">
        <v>0.53</v>
      </c>
      <c r="V167" s="787">
        <v>0.48</v>
      </c>
      <c r="W167" s="745"/>
      <c r="X167" s="770">
        <f>SUM(Y167:AI167)</f>
        <v>2.0299999999999998</v>
      </c>
      <c r="Y167" s="771">
        <f>IF($Y$82&lt;=$L$164,L167,0)</f>
        <v>2.0299999999999998</v>
      </c>
      <c r="Z167" s="772">
        <f>IF(AND($Y$82&gt;10,$Y$82&lt;20),L167+(M167-L167)*($Y$82-$L$164)/($M$164-$L$164),0)</f>
        <v>0</v>
      </c>
      <c r="AA167" s="772">
        <f>IF(AND($Y$82&gt;20,$Y$82&lt;50),M167+(N167-M167)*($Y$82-$M$164)/($N$164-$M$164),0)</f>
        <v>0</v>
      </c>
      <c r="AB167" s="772">
        <f>IF(AND($Y$82&gt;50,$Y$82&lt;100),N167+(O167-N167)*($Y$82-$N$164)/($O$164-$N$164),0)</f>
        <v>0</v>
      </c>
      <c r="AC167" s="772">
        <f>IF(AND($Y$82&gt;100,$Y$82&lt;200),O167+(P167-O167)*($Y$82-$O$164)/($P$164-$O$164),0)</f>
        <v>0</v>
      </c>
      <c r="AD167" s="772">
        <f>IF(AND($Y$82&gt;200,$Y$82&lt;500),P167+(Q167-P167)*($Y$82-$P$164)/($Q$164-$P$164),0)</f>
        <v>0</v>
      </c>
      <c r="AE167" s="772">
        <f>IF(AND($Y$82&gt;500,$Y$82&lt;1000),Q167+(R167-Q167)*($Y$82-$Q$164)/($R$164-$Q$164),0)</f>
        <v>0</v>
      </c>
      <c r="AF167" s="772">
        <f>IF(AND($Y$82&gt;1000,$Y$82&lt;2000),R167+(S167-R167)*($Y$82-$R$164)/($S$164-$R$164),0)</f>
        <v>0</v>
      </c>
      <c r="AG167" s="772">
        <f>IF(AND($Y$82&gt;2000,$Y$82&lt;5000),S167+(T167-S167)*($Y$82-$S$164)/($T$164-$S$164),0)</f>
        <v>0</v>
      </c>
      <c r="AH167" s="772">
        <f>IF(AND($Y$82&gt;5000,$Y$82&lt;8000),T167+(U167-T167)*($Y$82-$T$164)/($U$164-$T$164),0)</f>
        <v>0</v>
      </c>
      <c r="AI167" s="772">
        <f>IF(AND($Y$82&gt;8000,$Y$82&lt;10000),U167+(V167-U167)*($Y$82-$U$164)/($V$164-$U$164),0)</f>
        <v>0</v>
      </c>
    </row>
    <row r="168" spans="10:35" ht="15.6">
      <c r="J168" s="788">
        <v>4</v>
      </c>
      <c r="K168" s="786" t="s">
        <v>117</v>
      </c>
      <c r="L168" s="787">
        <v>1.78</v>
      </c>
      <c r="M168" s="787">
        <v>1.65</v>
      </c>
      <c r="N168" s="787">
        <v>1.4</v>
      </c>
      <c r="O168" s="787">
        <v>1.27</v>
      </c>
      <c r="P168" s="787">
        <v>1.17</v>
      </c>
      <c r="Q168" s="787">
        <v>1.06</v>
      </c>
      <c r="R168" s="787">
        <v>0.93</v>
      </c>
      <c r="S168" s="787">
        <v>0.79</v>
      </c>
      <c r="T168" s="787">
        <v>0.57999999999999996</v>
      </c>
      <c r="U168" s="787">
        <v>0.47</v>
      </c>
      <c r="V168" s="787">
        <v>0.42</v>
      </c>
      <c r="W168" s="745"/>
      <c r="X168" s="770">
        <f>SUM(Y168:AI168)</f>
        <v>1.78</v>
      </c>
      <c r="Y168" s="771">
        <f>IF($Y$82&lt;=$L$164,L168,0)</f>
        <v>1.78</v>
      </c>
      <c r="Z168" s="772">
        <f>IF(AND($Y$82&gt;10,$Y$82&lt;20),L168+(M168-L168)*($Y$82-$L$164)/($M$164-$L$164),0)</f>
        <v>0</v>
      </c>
      <c r="AA168" s="772">
        <f>IF(AND($Y$82&gt;20,$Y$82&lt;50),M168+(N168-M168)*($Y$82-$M$164)/($N$164-$M$164),0)</f>
        <v>0</v>
      </c>
      <c r="AB168" s="772">
        <f>IF(AND($Y$82&gt;50,$Y$82&lt;100),N168+(O168-N168)*($Y$82-$N$164)/($O$164-$N$164),0)</f>
        <v>0</v>
      </c>
      <c r="AC168" s="772">
        <f>IF(AND($Y$82&gt;100,$Y$82&lt;200),O168+(P168-O168)*($Y$82-$O$164)/($P$164-$O$164),0)</f>
        <v>0</v>
      </c>
      <c r="AD168" s="772">
        <f>IF(AND($Y$82&gt;200,$Y$82&lt;500),P168+(Q168-P168)*($Y$82-$P$164)/($Q$164-$P$164),0)</f>
        <v>0</v>
      </c>
      <c r="AE168" s="772">
        <f>IF(AND($Y$82&gt;500,$Y$82&lt;1000),Q168+(R168-Q168)*($Y$82-$Q$164)/($R$164-$Q$164),0)</f>
        <v>0</v>
      </c>
      <c r="AF168" s="772">
        <f>IF(AND($Y$82&gt;1000,$Y$82&lt;2000),R168+(S168-R168)*($Y$82-$R$164)/($S$164-$R$164),0)</f>
        <v>0</v>
      </c>
      <c r="AG168" s="772">
        <f>IF(AND($Y$82&gt;2000,$Y$82&lt;5000),S168+(T168-S168)*($Y$82-$S$164)/($T$164-$S$164),0)</f>
        <v>0</v>
      </c>
      <c r="AH168" s="772">
        <f>IF(AND($Y$82&gt;5000,$Y$82&lt;8000),T168+(U168-T168)*($Y$82-$T$164)/($U$164-$T$164),0)</f>
        <v>0</v>
      </c>
      <c r="AI168" s="772">
        <f>IF(AND($Y$82&gt;8000,$Y$82&lt;10000),U168+(V168-U168)*($Y$82-$U$164)/($V$164-$U$164),0)</f>
        <v>0</v>
      </c>
    </row>
    <row r="169" spans="10:35" ht="15.6">
      <c r="J169" s="788">
        <v>5</v>
      </c>
      <c r="K169" s="786" t="s">
        <v>92</v>
      </c>
      <c r="L169" s="787">
        <v>1.59</v>
      </c>
      <c r="M169" s="787">
        <v>1.47</v>
      </c>
      <c r="N169" s="787">
        <v>1.24</v>
      </c>
      <c r="O169" s="787">
        <v>1.1399999999999999</v>
      </c>
      <c r="P169" s="787">
        <v>0.98</v>
      </c>
      <c r="Q169" s="787">
        <v>0.83</v>
      </c>
      <c r="R169" s="787"/>
      <c r="S169" s="787"/>
      <c r="T169" s="787"/>
      <c r="U169" s="787"/>
      <c r="V169" s="787"/>
      <c r="W169" s="745"/>
      <c r="X169" s="770">
        <f>SUM(Y169:AI169)</f>
        <v>1.59</v>
      </c>
      <c r="Y169" s="771">
        <f>IF($Y$82&lt;=$L$164,L169,0)</f>
        <v>1.59</v>
      </c>
      <c r="Z169" s="772">
        <f>IF(AND($Y$82&gt;10,$Y$82&lt;20),L169+(M169-L169)*($Y$82-$L$164)/($M$164-$L$164),0)</f>
        <v>0</v>
      </c>
      <c r="AA169" s="772">
        <f>IF(AND($Y$82&gt;20,$Y$82&lt;50),M169+(N169-M169)*($Y$82-$M$164)/($N$164-$M$164),0)</f>
        <v>0</v>
      </c>
      <c r="AB169" s="772">
        <f>IF(AND($Y$82&gt;50,$Y$82&lt;100),N169+(O169-N169)*($Y$82-$N$164)/($O$164-$N$164),0)</f>
        <v>0</v>
      </c>
      <c r="AC169" s="772">
        <f>IF(AND($Y$82&gt;100,$Y$82&lt;200),O169+(P169-O169)*($Y$82-$O$164)/($P$164-$O$164),0)</f>
        <v>0</v>
      </c>
      <c r="AD169" s="772">
        <f>IF(AND($Y$82&gt;200,$Y$82&lt;500),P169+(Q169-P169)*($Y$82-$P$164)/($Q$164-$P$164),0)</f>
        <v>0</v>
      </c>
      <c r="AE169" s="772">
        <f>IF(AND($Y$82&gt;500,$Y$82&lt;1000),Q169+(R169-Q169)*($Y$82-$Q$164)/($R$164-$Q$164),0)</f>
        <v>0</v>
      </c>
      <c r="AF169" s="772">
        <f>IF(AND($Y$82&gt;1000,$Y$82&lt;2000),R169+(S169-R169)*($Y$82-$R$164)/($S$164-$R$164),0)</f>
        <v>0</v>
      </c>
      <c r="AG169" s="772">
        <f>IF(AND($Y$82&gt;2000,$Y$82&lt;5000),S169+(T169-S169)*($Y$82-$S$164)/($T$164-$S$164),0)</f>
        <v>0</v>
      </c>
      <c r="AH169" s="772">
        <f>IF(AND($Y$82&gt;5000,$Y$82&lt;8000),T169+(U169-T169)*($Y$82-$T$164)/($U$164-$T$164),0)</f>
        <v>0</v>
      </c>
      <c r="AI169" s="772">
        <f>IF(AND($Y$82&gt;8000,$Y$82&lt;10000),U169+(V169-U169)*($Y$82-$U$164)/($V$164-$U$164),0)</f>
        <v>0</v>
      </c>
    </row>
    <row r="171" spans="10:35" ht="15.6">
      <c r="J171" s="775"/>
      <c r="K171" s="774" t="s">
        <v>181</v>
      </c>
      <c r="L171" s="774"/>
      <c r="M171" s="774"/>
      <c r="N171" s="774"/>
      <c r="O171" s="774"/>
      <c r="P171" s="774"/>
      <c r="Q171" s="774"/>
      <c r="R171" s="774"/>
      <c r="S171" s="774"/>
      <c r="T171" s="774"/>
      <c r="U171" s="774"/>
    </row>
    <row r="172" spans="10:35" ht="31.2">
      <c r="J172" s="797" t="s">
        <v>142</v>
      </c>
      <c r="K172" s="797" t="s">
        <v>182</v>
      </c>
      <c r="L172" s="804"/>
      <c r="M172" s="804"/>
      <c r="N172" s="797" t="s">
        <v>172</v>
      </c>
      <c r="O172" s="797"/>
      <c r="P172" s="797"/>
      <c r="Q172" s="797"/>
      <c r="R172" s="797"/>
      <c r="S172" s="804"/>
      <c r="T172" s="804"/>
    </row>
    <row r="173" spans="10:35" ht="15.6">
      <c r="J173" s="797"/>
      <c r="K173" s="797"/>
      <c r="L173" s="783">
        <v>5</v>
      </c>
      <c r="M173" s="797">
        <v>15</v>
      </c>
      <c r="N173" s="797">
        <v>25</v>
      </c>
      <c r="O173" s="797">
        <v>50</v>
      </c>
      <c r="P173" s="797">
        <v>100</v>
      </c>
      <c r="Q173" s="797">
        <v>200</v>
      </c>
      <c r="R173" s="797">
        <v>500</v>
      </c>
      <c r="S173" s="797">
        <v>1000</v>
      </c>
      <c r="T173" s="797">
        <v>3000</v>
      </c>
    </row>
    <row r="174" spans="10:35" ht="15.6">
      <c r="J174" s="797">
        <v>1</v>
      </c>
      <c r="K174" s="805" t="s">
        <v>183</v>
      </c>
      <c r="L174" s="797">
        <v>1.1000000000000001</v>
      </c>
      <c r="M174" s="797">
        <v>1</v>
      </c>
      <c r="N174" s="797">
        <v>0.9</v>
      </c>
      <c r="O174" s="797">
        <v>0.85</v>
      </c>
      <c r="P174" s="797">
        <v>0.8</v>
      </c>
      <c r="Q174" s="797">
        <v>0.7</v>
      </c>
      <c r="R174" s="797">
        <v>0.6</v>
      </c>
      <c r="S174" s="797">
        <v>0.55000000000000004</v>
      </c>
      <c r="T174" s="797">
        <v>0.45</v>
      </c>
    </row>
    <row r="175" spans="10:35" ht="15.6">
      <c r="J175" s="797">
        <v>2</v>
      </c>
      <c r="K175" s="805" t="s">
        <v>184</v>
      </c>
      <c r="L175" s="797"/>
      <c r="M175" s="797"/>
      <c r="N175" s="797"/>
      <c r="O175" s="797"/>
      <c r="P175" s="797"/>
      <c r="Q175" s="797"/>
      <c r="R175" s="797"/>
      <c r="S175" s="797"/>
      <c r="T175" s="797"/>
    </row>
    <row r="176" spans="10:35" ht="15.6">
      <c r="J176" s="797"/>
      <c r="K176" s="805" t="s">
        <v>185</v>
      </c>
      <c r="L176" s="797">
        <v>0.95</v>
      </c>
      <c r="M176" s="797">
        <v>0.85</v>
      </c>
      <c r="N176" s="797">
        <v>0.8</v>
      </c>
      <c r="O176" s="797">
        <v>0.75</v>
      </c>
      <c r="P176" s="797">
        <v>0.7</v>
      </c>
      <c r="Q176" s="797">
        <v>0.6</v>
      </c>
      <c r="R176" s="797">
        <v>0.55000000000000004</v>
      </c>
      <c r="S176" s="797">
        <v>0.5</v>
      </c>
      <c r="T176" s="797">
        <v>0.4</v>
      </c>
    </row>
    <row r="177" spans="10:35" ht="15.6">
      <c r="J177" s="806"/>
      <c r="K177" s="805" t="s">
        <v>186</v>
      </c>
      <c r="L177" s="797">
        <v>1.1499999999999999</v>
      </c>
      <c r="M177" s="797">
        <v>1</v>
      </c>
      <c r="N177" s="797">
        <v>0.95</v>
      </c>
      <c r="O177" s="797">
        <v>0.9</v>
      </c>
      <c r="P177" s="797">
        <v>0.8</v>
      </c>
      <c r="Q177" s="797">
        <v>0.75</v>
      </c>
      <c r="R177" s="797">
        <v>0.65</v>
      </c>
      <c r="S177" s="797">
        <v>0.6</v>
      </c>
      <c r="T177" s="797">
        <v>0.5</v>
      </c>
    </row>
    <row r="178" spans="10:35" ht="18">
      <c r="J178" s="797">
        <v>3</v>
      </c>
      <c r="K178" s="805" t="s">
        <v>1413</v>
      </c>
      <c r="L178" s="806"/>
      <c r="M178" s="806"/>
      <c r="N178" s="806"/>
      <c r="O178" s="797">
        <v>1.1499999999999999</v>
      </c>
      <c r="P178" s="797">
        <v>1.1000000000000001</v>
      </c>
      <c r="Q178" s="797">
        <v>1.05</v>
      </c>
      <c r="R178" s="797">
        <v>1.01</v>
      </c>
      <c r="S178" s="797">
        <v>0.96</v>
      </c>
      <c r="T178" s="797">
        <v>0.8</v>
      </c>
    </row>
    <row r="179" spans="10:35" ht="15.6">
      <c r="J179" s="797">
        <v>4</v>
      </c>
      <c r="K179" s="805" t="s">
        <v>187</v>
      </c>
      <c r="L179" s="797">
        <v>0.73</v>
      </c>
      <c r="M179" s="797">
        <v>0.65</v>
      </c>
      <c r="N179" s="797">
        <v>0.56000000000000005</v>
      </c>
      <c r="O179" s="797">
        <v>0.51</v>
      </c>
      <c r="P179" s="797">
        <v>0.48</v>
      </c>
      <c r="Q179" s="797">
        <v>0.42</v>
      </c>
      <c r="R179" s="797">
        <v>0.37</v>
      </c>
      <c r="S179" s="797">
        <v>0.34</v>
      </c>
      <c r="T179" s="797">
        <v>0.3</v>
      </c>
    </row>
    <row r="181" spans="10:35" ht="15.6">
      <c r="J181" s="773" t="s">
        <v>188</v>
      </c>
      <c r="K181" s="774"/>
      <c r="L181" s="774"/>
      <c r="M181" s="774"/>
      <c r="N181" s="774"/>
      <c r="O181" s="774"/>
      <c r="P181" s="774"/>
      <c r="Q181" s="774"/>
      <c r="R181" s="774"/>
      <c r="S181" s="774"/>
      <c r="T181" s="774"/>
      <c r="U181" s="774"/>
      <c r="V181" s="774"/>
      <c r="W181" s="774"/>
    </row>
    <row r="182" spans="10:35" ht="15.6">
      <c r="J182" s="803"/>
      <c r="K182" s="774"/>
      <c r="L182" s="774"/>
      <c r="M182" s="774"/>
      <c r="N182" s="774"/>
      <c r="O182" s="774"/>
      <c r="P182" s="774"/>
      <c r="Q182" s="774"/>
      <c r="R182" s="774"/>
      <c r="S182" s="774"/>
      <c r="T182" s="774"/>
      <c r="U182" s="774"/>
      <c r="V182" s="774"/>
      <c r="W182" s="774"/>
    </row>
    <row r="183" spans="10:35" ht="15.6">
      <c r="J183" s="792" t="s">
        <v>142</v>
      </c>
      <c r="K183" s="793" t="s">
        <v>110</v>
      </c>
      <c r="L183" s="778" t="s">
        <v>168</v>
      </c>
      <c r="M183" s="779"/>
      <c r="N183" s="779"/>
      <c r="O183" s="779"/>
      <c r="P183" s="779"/>
      <c r="Q183" s="779"/>
      <c r="R183" s="779"/>
      <c r="S183" s="779"/>
      <c r="T183" s="779"/>
      <c r="U183" s="779"/>
      <c r="V183" s="780"/>
      <c r="W183" s="745"/>
      <c r="X183" s="759"/>
      <c r="Y183" s="760"/>
      <c r="Z183" s="761"/>
      <c r="AA183" s="761"/>
      <c r="AB183" s="761"/>
      <c r="AC183" s="761"/>
      <c r="AD183" s="761"/>
      <c r="AE183" s="756"/>
      <c r="AF183" s="756"/>
      <c r="AG183" s="762"/>
      <c r="AH183" s="762"/>
      <c r="AI183" s="762"/>
    </row>
    <row r="184" spans="10:35" ht="15.6">
      <c r="J184" s="782"/>
      <c r="K184" s="795"/>
      <c r="L184" s="783">
        <v>10</v>
      </c>
      <c r="M184" s="784">
        <v>20</v>
      </c>
      <c r="N184" s="784">
        <v>50</v>
      </c>
      <c r="O184" s="784">
        <v>100</v>
      </c>
      <c r="P184" s="784">
        <v>200</v>
      </c>
      <c r="Q184" s="784">
        <v>500</v>
      </c>
      <c r="R184" s="784">
        <v>1000</v>
      </c>
      <c r="S184" s="784">
        <v>2000</v>
      </c>
      <c r="T184" s="784">
        <v>5000</v>
      </c>
      <c r="U184" s="784">
        <v>8000</v>
      </c>
      <c r="V184" s="784">
        <v>10000</v>
      </c>
      <c r="W184" s="745"/>
      <c r="X184" s="759" t="s">
        <v>145</v>
      </c>
      <c r="Y184" s="767">
        <v>10</v>
      </c>
      <c r="Z184" s="768" t="s">
        <v>146</v>
      </c>
      <c r="AA184" s="768" t="s">
        <v>147</v>
      </c>
      <c r="AB184" s="768" t="s">
        <v>148</v>
      </c>
      <c r="AC184" s="768" t="s">
        <v>149</v>
      </c>
      <c r="AD184" s="768" t="s">
        <v>150</v>
      </c>
      <c r="AE184" s="768" t="s">
        <v>151</v>
      </c>
      <c r="AF184" s="768" t="s">
        <v>152</v>
      </c>
      <c r="AG184" s="768" t="s">
        <v>153</v>
      </c>
      <c r="AH184" s="768" t="s">
        <v>169</v>
      </c>
      <c r="AI184" s="768" t="s">
        <v>170</v>
      </c>
    </row>
    <row r="185" spans="10:35" ht="15.6">
      <c r="J185" s="788">
        <v>1</v>
      </c>
      <c r="K185" s="786" t="s">
        <v>112</v>
      </c>
      <c r="L185" s="788">
        <v>4.7</v>
      </c>
      <c r="M185" s="788">
        <v>4.2699999999999996</v>
      </c>
      <c r="N185" s="788">
        <v>3.66</v>
      </c>
      <c r="O185" s="788">
        <v>3.32</v>
      </c>
      <c r="P185" s="788">
        <v>3.01</v>
      </c>
      <c r="Q185" s="788">
        <v>2.75</v>
      </c>
      <c r="R185" s="788">
        <v>2.4</v>
      </c>
      <c r="S185" s="788">
        <v>2.0299999999999998</v>
      </c>
      <c r="T185" s="788">
        <v>1.52</v>
      </c>
      <c r="U185" s="788">
        <v>1.21</v>
      </c>
      <c r="V185" s="788">
        <v>1.04</v>
      </c>
      <c r="W185" s="745"/>
      <c r="X185" s="770">
        <f>SUM(Y185:AI185)</f>
        <v>4.7</v>
      </c>
      <c r="Y185" s="771">
        <f>IF($Y$82&lt;=$L$184,L185,0)</f>
        <v>4.7</v>
      </c>
      <c r="Z185" s="772">
        <f>IF(AND($Y$82&gt;10,$Y$82&lt;20),L185+(M185-L185)*($Y$82-$L$184)/($M$184-$L$184),0)</f>
        <v>0</v>
      </c>
      <c r="AA185" s="772">
        <f>IF(AND($Y$82&gt;20,$Y$82&lt;50),M185+(N185-M185)*($Y$82-$M$184)/($N$184-$M$184),0)</f>
        <v>0</v>
      </c>
      <c r="AB185" s="772">
        <f>IF(AND($Y$82&gt;50,$Y$82&lt;100),N185+(O185-N185)*($Y$82-$N$184)/($O$184-$N$184),0)</f>
        <v>0</v>
      </c>
      <c r="AC185" s="772">
        <f>IF(AND($Y$82&gt;100,$Y$82&lt;200),O185+(P185-O185)*($Y$82-$O$184)/($P$184-$O$184),0)</f>
        <v>0</v>
      </c>
      <c r="AD185" s="772">
        <f>IF(AND($Y$82&gt;200,$Y$82&lt;500),P185+(Q185-P185)*($Y$82-$P$184)/($Q$184-$P$184),0)</f>
        <v>0</v>
      </c>
      <c r="AE185" s="772">
        <f>IF(AND($Y$82&gt;500,$Y$82&lt;1000),Q185+(R185-Q185)*($Y$82-$Q$184)/($R$184-$Q$184),0)</f>
        <v>0</v>
      </c>
      <c r="AF185" s="772">
        <f>IF(AND($Y$82&gt;1000,$Y$82&lt;2000),R185+(S185-R185)*($Y$82-$R$184)/($S$184-$R$184),0)</f>
        <v>0</v>
      </c>
      <c r="AG185" s="772">
        <f>IF(AND($Y$82&gt;2000,$Y$82&lt;5000),S185+(T185-S185)*($Y$82-$S$184)/($T$184-$S$184),0)</f>
        <v>0</v>
      </c>
      <c r="AH185" s="772">
        <f>IF(AND($Y$82&gt;5000,$Y$82&lt;8000),T185+(U185-T185)*($Y$82-$T$184)/($U$184-$T$184),0)</f>
        <v>0</v>
      </c>
      <c r="AI185" s="772">
        <f>IF(AND($Y$82&gt;8000,$Y$82&lt;10000),U185+(V185-U185)*($Y$82-$U$184)/($V$184-$U$184),0)</f>
        <v>0</v>
      </c>
    </row>
    <row r="186" spans="10:35" ht="15.6">
      <c r="J186" s="788">
        <v>2</v>
      </c>
      <c r="K186" s="786" t="s">
        <v>113</v>
      </c>
      <c r="L186" s="788">
        <v>3.87</v>
      </c>
      <c r="M186" s="788">
        <v>3.57</v>
      </c>
      <c r="N186" s="788">
        <v>3.02</v>
      </c>
      <c r="O186" s="788">
        <v>2.77</v>
      </c>
      <c r="P186" s="788">
        <v>2.5</v>
      </c>
      <c r="Q186" s="788">
        <v>2.2799999999999998</v>
      </c>
      <c r="R186" s="788">
        <v>2.0099999999999998</v>
      </c>
      <c r="S186" s="788">
        <v>1.7</v>
      </c>
      <c r="T186" s="788">
        <v>1.26</v>
      </c>
      <c r="U186" s="788">
        <v>1.02</v>
      </c>
      <c r="V186" s="788">
        <v>0.88</v>
      </c>
      <c r="W186" s="745"/>
      <c r="X186" s="770">
        <f>SUM(Y186:AI186)</f>
        <v>3.87</v>
      </c>
      <c r="Y186" s="771">
        <f>IF($Y$82&lt;=$L$184,L186,0)</f>
        <v>3.87</v>
      </c>
      <c r="Z186" s="772">
        <f>IF(AND($Y$82&gt;10,$Y$82&lt;20),L186+(M186-L186)*($Y$82-$L$184)/($M$184-$L$184),0)</f>
        <v>0</v>
      </c>
      <c r="AA186" s="772">
        <f>IF(AND($Y$82&gt;20,$Y$82&lt;50),M186+(N186-M186)*($Y$82-$M$184)/($N$184-$M$184),0)</f>
        <v>0</v>
      </c>
      <c r="AB186" s="772">
        <f>IF(AND($Y$82&gt;50,$Y$82&lt;100),N186+(O186-N186)*($Y$82-$N$184)/($O$184-$N$184),0)</f>
        <v>0</v>
      </c>
      <c r="AC186" s="772">
        <f>IF(AND($Y$82&gt;100,$Y$82&lt;200),O186+(P186-O186)*($Y$82-$O$184)/($P$184-$O$184),0)</f>
        <v>0</v>
      </c>
      <c r="AD186" s="772">
        <f>IF(AND($Y$82&gt;200,$Y$82&lt;500),P186+(Q186-P186)*($Y$82-$P$184)/($Q$184-$P$184),0)</f>
        <v>0</v>
      </c>
      <c r="AE186" s="772">
        <f>IF(AND($Y$82&gt;500,$Y$82&lt;1000),Q186+(R186-Q186)*($Y$82-$Q$184)/($R$184-$Q$184),0)</f>
        <v>0</v>
      </c>
      <c r="AF186" s="772">
        <f>IF(AND($Y$82&gt;1000,$Y$82&lt;2000),R186+(S186-R186)*($Y$82-$R$184)/($S$184-$R$184),0)</f>
        <v>0</v>
      </c>
      <c r="AG186" s="772">
        <f>IF(AND($Y$82&gt;2000,$Y$82&lt;5000),S186+(T186-S186)*($Y$82-$S$184)/($T$184-$S$184),0)</f>
        <v>0</v>
      </c>
      <c r="AH186" s="772">
        <f>IF(AND($Y$82&gt;5000,$Y$82&lt;8000),T186+(U186-T186)*($Y$82-$T$184)/($U$184-$T$184),0)</f>
        <v>0</v>
      </c>
      <c r="AI186" s="772">
        <f>IF(AND($Y$82&gt;8000,$Y$82&lt;10000),U186+(V186-U186)*($Y$82-$U$184)/($V$184-$U$184),0)</f>
        <v>0</v>
      </c>
    </row>
    <row r="187" spans="10:35" ht="15.6">
      <c r="J187" s="788">
        <v>3</v>
      </c>
      <c r="K187" s="786" t="s">
        <v>115</v>
      </c>
      <c r="L187" s="788">
        <v>3.13</v>
      </c>
      <c r="M187" s="788">
        <v>2.9</v>
      </c>
      <c r="N187" s="788">
        <v>2.4300000000000002</v>
      </c>
      <c r="O187" s="788">
        <v>2.2400000000000002</v>
      </c>
      <c r="P187" s="788">
        <v>2.0299999999999998</v>
      </c>
      <c r="Q187" s="788">
        <v>1.9</v>
      </c>
      <c r="R187" s="788">
        <v>1.66</v>
      </c>
      <c r="S187" s="788">
        <v>1.42</v>
      </c>
      <c r="T187" s="788">
        <v>1.04</v>
      </c>
      <c r="U187" s="788">
        <v>0.82</v>
      </c>
      <c r="V187" s="788">
        <v>0.72</v>
      </c>
      <c r="W187" s="745"/>
      <c r="X187" s="770">
        <f>SUM(Y187:AI187)</f>
        <v>3.13</v>
      </c>
      <c r="Y187" s="771">
        <f>IF($Y$82&lt;=$L$184,L187,0)</f>
        <v>3.13</v>
      </c>
      <c r="Z187" s="772">
        <f>IF(AND($Y$82&gt;10,$Y$82&lt;20),L187+(M187-L187)*($Y$82-$L$184)/($M$184-$L$184),0)</f>
        <v>0</v>
      </c>
      <c r="AA187" s="772">
        <f>IF(AND($Y$82&gt;20,$Y$82&lt;50),M187+(N187-M187)*($Y$82-$M$184)/($N$184-$M$184),0)</f>
        <v>0</v>
      </c>
      <c r="AB187" s="772">
        <f>IF(AND($Y$82&gt;50,$Y$82&lt;100),N187+(O187-N187)*($Y$82-$N$184)/($O$184-$N$184),0)</f>
        <v>0</v>
      </c>
      <c r="AC187" s="772">
        <f>IF(AND($Y$82&gt;100,$Y$82&lt;200),O187+(P187-O187)*($Y$82-$O$184)/($P$184-$O$184),0)</f>
        <v>0</v>
      </c>
      <c r="AD187" s="772">
        <f>IF(AND($Y$82&gt;200,$Y$82&lt;500),P187+(Q187-P187)*($Y$82-$P$184)/($Q$184-$P$184),0)</f>
        <v>0</v>
      </c>
      <c r="AE187" s="772">
        <f>IF(AND($Y$82&gt;500,$Y$82&lt;1000),Q187+(R187-Q187)*($Y$82-$Q$184)/($R$184-$Q$184),0)</f>
        <v>0</v>
      </c>
      <c r="AF187" s="772">
        <f>IF(AND($Y$82&gt;1000,$Y$82&lt;2000),R187+(S187-R187)*($Y$82-$R$184)/($S$184-$R$184),0)</f>
        <v>0</v>
      </c>
      <c r="AG187" s="772">
        <f>IF(AND($Y$82&gt;2000,$Y$82&lt;5000),S187+(T187-S187)*($Y$82-$S$184)/($T$184-$S$184),0)</f>
        <v>0</v>
      </c>
      <c r="AH187" s="772">
        <f>IF(AND($Y$82&gt;5000,$Y$82&lt;8000),T187+(U187-T187)*($Y$82-$T$184)/($U$184-$T$184),0)</f>
        <v>0</v>
      </c>
      <c r="AI187" s="772">
        <f>IF(AND($Y$82&gt;8000,$Y$82&lt;10000),U187+(V187-U187)*($Y$82-$U$184)/($V$184-$U$184),0)</f>
        <v>0</v>
      </c>
    </row>
    <row r="188" spans="10:35" ht="15.6">
      <c r="J188" s="788">
        <v>4</v>
      </c>
      <c r="K188" s="786" t="s">
        <v>117</v>
      </c>
      <c r="L188" s="788">
        <v>2.78</v>
      </c>
      <c r="M188" s="788">
        <v>2.57</v>
      </c>
      <c r="N188" s="788">
        <v>2.16</v>
      </c>
      <c r="O188" s="788">
        <v>1.99</v>
      </c>
      <c r="P188" s="788">
        <v>1.79</v>
      </c>
      <c r="Q188" s="788">
        <v>1.68</v>
      </c>
      <c r="R188" s="788">
        <v>1.47</v>
      </c>
      <c r="S188" s="788">
        <v>1.25</v>
      </c>
      <c r="T188" s="788">
        <v>0.91</v>
      </c>
      <c r="U188" s="788">
        <v>0.72</v>
      </c>
      <c r="V188" s="788">
        <v>0.64</v>
      </c>
      <c r="W188" s="745"/>
      <c r="X188" s="770">
        <f>SUM(Y188:AI188)</f>
        <v>2.78</v>
      </c>
      <c r="Y188" s="771">
        <f>IF($Y$82&lt;=$L$184,L188,0)</f>
        <v>2.78</v>
      </c>
      <c r="Z188" s="772">
        <f>IF(AND($Y$82&gt;10,$Y$82&lt;20),L188+(M188-L188)*($Y$82-$L$184)/($M$184-$L$184),0)</f>
        <v>0</v>
      </c>
      <c r="AA188" s="772">
        <f>IF(AND($Y$82&gt;20,$Y$82&lt;50),M188+(N188-M188)*($Y$82-$M$184)/($N$184-$M$184),0)</f>
        <v>0</v>
      </c>
      <c r="AB188" s="772">
        <f>IF(AND($Y$82&gt;50,$Y$82&lt;100),N188+(O188-N188)*($Y$82-$N$184)/($O$184-$N$184),0)</f>
        <v>0</v>
      </c>
      <c r="AC188" s="772">
        <f>IF(AND($Y$82&gt;100,$Y$82&lt;200),O188+(P188-O188)*($Y$82-$O$184)/($P$184-$O$184),0)</f>
        <v>0</v>
      </c>
      <c r="AD188" s="772">
        <f>IF(AND($Y$82&gt;200,$Y$82&lt;500),P188+(Q188-P188)*($Y$82-$P$184)/($Q$184-$P$184),0)</f>
        <v>0</v>
      </c>
      <c r="AE188" s="772">
        <f>IF(AND($Y$82&gt;500,$Y$82&lt;1000),Q188+(R188-Q188)*($Y$82-$Q$184)/($R$184-$Q$184),0)</f>
        <v>0</v>
      </c>
      <c r="AF188" s="772">
        <f>IF(AND($Y$82&gt;1000,$Y$82&lt;2000),R188+(S188-R188)*($Y$82-$R$184)/($S$184-$R$184),0)</f>
        <v>0</v>
      </c>
      <c r="AG188" s="772">
        <f>IF(AND($Y$82&gt;2000,$Y$82&lt;5000),S188+(T188-S188)*($Y$82-$S$184)/($T$184-$S$184),0)</f>
        <v>0</v>
      </c>
      <c r="AH188" s="772">
        <f>IF(AND($Y$82&gt;5000,$Y$82&lt;8000),T188+(U188-T188)*($Y$82-$T$184)/($U$184-$T$184),0)</f>
        <v>0</v>
      </c>
      <c r="AI188" s="772">
        <f>IF(AND($Y$82&gt;8000,$Y$82&lt;10000),U188+(V188-U188)*($Y$82-$U$184)/($V$184-$U$184),0)</f>
        <v>0</v>
      </c>
    </row>
    <row r="189" spans="10:35" ht="15.6">
      <c r="J189" s="788">
        <v>5</v>
      </c>
      <c r="K189" s="786" t="s">
        <v>92</v>
      </c>
      <c r="L189" s="788">
        <v>2.46</v>
      </c>
      <c r="M189" s="788">
        <v>2.25</v>
      </c>
      <c r="N189" s="788">
        <v>1.89</v>
      </c>
      <c r="O189" s="788">
        <v>1.72</v>
      </c>
      <c r="P189" s="788">
        <v>1.47</v>
      </c>
      <c r="Q189" s="788">
        <v>1.22</v>
      </c>
      <c r="R189" s="788"/>
      <c r="S189" s="788"/>
      <c r="T189" s="788"/>
      <c r="U189" s="788"/>
      <c r="V189" s="788"/>
      <c r="W189" s="745"/>
      <c r="X189" s="770">
        <f>SUM(Y189:AI189)</f>
        <v>2.46</v>
      </c>
      <c r="Y189" s="771">
        <f>IF($Y$82&lt;=$L$184,L189,0)</f>
        <v>2.46</v>
      </c>
      <c r="Z189" s="772">
        <f>IF(AND($Y$82&gt;10,$Y$82&lt;20),L189+(M189-L189)*($Y$82-$L$184)/($M$184-$L$184),0)</f>
        <v>0</v>
      </c>
      <c r="AA189" s="772">
        <f>IF(AND($Y$82&gt;20,$Y$82&lt;50),M189+(N189-M189)*($Y$82-$M$184)/($N$184-$M$184),0)</f>
        <v>0</v>
      </c>
      <c r="AB189" s="772">
        <f>IF(AND($Y$82&gt;50,$Y$82&lt;100),N189+(O189-N189)*($Y$82-$N$184)/($O$184-$N$184),0)</f>
        <v>0</v>
      </c>
      <c r="AC189" s="772">
        <f>IF(AND($Y$82&gt;100,$Y$82&lt;200),O189+(P189-O189)*($Y$82-$O$184)/($P$184-$O$184),0)</f>
        <v>0</v>
      </c>
      <c r="AD189" s="772">
        <f>IF(AND($Y$82&gt;200,$Y$82&lt;500),P189+(Q189-P189)*($Y$82-$P$184)/($Q$184-$P$184),0)</f>
        <v>0</v>
      </c>
      <c r="AE189" s="772">
        <f>IF(AND($Y$82&gt;500,$Y$82&lt;1000),Q189+(R189-Q189)*($Y$82-$Q$184)/($R$184-$Q$184),0)</f>
        <v>0</v>
      </c>
      <c r="AF189" s="772">
        <f>IF(AND($Y$82&gt;1000,$Y$82&lt;2000),R189+(S189-R189)*($Y$82-$R$184)/($S$184-$R$184),0)</f>
        <v>0</v>
      </c>
      <c r="AG189" s="772">
        <f>IF(AND($Y$82&gt;2000,$Y$82&lt;5000),S189+(T189-S189)*($Y$82-$S$184)/($T$184-$S$184),0)</f>
        <v>0</v>
      </c>
      <c r="AH189" s="772">
        <f>IF(AND($Y$82&gt;5000,$Y$82&lt;8000),T189+(U189-T189)*($Y$82-$T$184)/($U$184-$T$184),0)</f>
        <v>0</v>
      </c>
      <c r="AI189" s="772">
        <f>IF(AND($Y$82&gt;8000,$Y$82&lt;10000),U189+(V189-U189)*($Y$82-$U$184)/($V$184-$U$184),0)</f>
        <v>0</v>
      </c>
    </row>
    <row r="192" spans="10:35" ht="15.6">
      <c r="J192" s="773" t="s">
        <v>189</v>
      </c>
      <c r="K192" s="774"/>
      <c r="L192" s="774"/>
      <c r="M192" s="774"/>
      <c r="N192" s="774"/>
      <c r="O192" s="774"/>
      <c r="P192" s="774"/>
      <c r="Q192" s="774"/>
      <c r="R192" s="774"/>
      <c r="S192" s="774"/>
      <c r="T192" s="774"/>
      <c r="U192" s="774"/>
      <c r="V192" s="774"/>
      <c r="W192" s="774"/>
    </row>
    <row r="193" spans="10:35" ht="15.6">
      <c r="J193" s="776"/>
      <c r="K193" s="774">
        <v>1</v>
      </c>
      <c r="L193" s="774">
        <v>2</v>
      </c>
      <c r="M193" s="774">
        <v>3</v>
      </c>
      <c r="N193" s="774">
        <v>4</v>
      </c>
      <c r="O193" s="774">
        <v>5</v>
      </c>
      <c r="P193" s="774">
        <v>6</v>
      </c>
      <c r="Q193" s="774">
        <v>7</v>
      </c>
      <c r="R193" s="774">
        <v>8</v>
      </c>
      <c r="S193" s="774">
        <v>9</v>
      </c>
      <c r="T193" s="774">
        <v>10</v>
      </c>
      <c r="U193" s="774">
        <v>11</v>
      </c>
      <c r="V193" s="774">
        <v>12</v>
      </c>
      <c r="W193" s="774">
        <v>13</v>
      </c>
      <c r="X193" s="774">
        <v>14</v>
      </c>
    </row>
    <row r="194" spans="10:35" ht="15.6">
      <c r="J194" s="792" t="s">
        <v>142</v>
      </c>
      <c r="K194" s="793" t="s">
        <v>110</v>
      </c>
      <c r="L194" s="778" t="s">
        <v>168</v>
      </c>
      <c r="M194" s="779"/>
      <c r="N194" s="779"/>
      <c r="O194" s="779"/>
      <c r="P194" s="779"/>
      <c r="Q194" s="779"/>
      <c r="R194" s="779"/>
      <c r="S194" s="779"/>
      <c r="T194" s="779"/>
      <c r="U194" s="779"/>
      <c r="V194" s="780"/>
      <c r="W194" s="745"/>
      <c r="X194" s="759"/>
      <c r="Y194" s="760"/>
      <c r="Z194" s="761"/>
      <c r="AA194" s="761"/>
      <c r="AB194" s="761"/>
      <c r="AC194" s="761"/>
      <c r="AD194" s="761"/>
      <c r="AE194" s="756"/>
      <c r="AF194" s="756"/>
      <c r="AG194" s="762"/>
      <c r="AH194" s="762"/>
      <c r="AI194" s="762"/>
    </row>
    <row r="195" spans="10:35" ht="15.6">
      <c r="J195" s="782"/>
      <c r="K195" s="795"/>
      <c r="L195" s="783">
        <v>10</v>
      </c>
      <c r="M195" s="784">
        <v>20</v>
      </c>
      <c r="N195" s="784">
        <v>50</v>
      </c>
      <c r="O195" s="784">
        <v>100</v>
      </c>
      <c r="P195" s="784">
        <v>200</v>
      </c>
      <c r="Q195" s="784">
        <v>500</v>
      </c>
      <c r="R195" s="784">
        <v>1000</v>
      </c>
      <c r="S195" s="784">
        <v>2000</v>
      </c>
      <c r="T195" s="784">
        <v>5000</v>
      </c>
      <c r="U195" s="784">
        <v>8000</v>
      </c>
      <c r="V195" s="784">
        <v>10000</v>
      </c>
      <c r="W195" s="745"/>
      <c r="X195" s="759" t="s">
        <v>145</v>
      </c>
      <c r="Y195" s="767">
        <v>10</v>
      </c>
      <c r="Z195" s="768" t="s">
        <v>146</v>
      </c>
      <c r="AA195" s="768" t="s">
        <v>147</v>
      </c>
      <c r="AB195" s="768" t="s">
        <v>148</v>
      </c>
      <c r="AC195" s="768" t="s">
        <v>149</v>
      </c>
      <c r="AD195" s="768" t="s">
        <v>150</v>
      </c>
      <c r="AE195" s="768" t="s">
        <v>151</v>
      </c>
      <c r="AF195" s="768" t="s">
        <v>152</v>
      </c>
      <c r="AG195" s="768" t="s">
        <v>153</v>
      </c>
      <c r="AH195" s="768" t="s">
        <v>169</v>
      </c>
      <c r="AI195" s="768" t="s">
        <v>170</v>
      </c>
    </row>
    <row r="196" spans="10:35" ht="15.6">
      <c r="J196" s="788">
        <v>1</v>
      </c>
      <c r="K196" s="786" t="s">
        <v>112</v>
      </c>
      <c r="L196" s="787">
        <v>2.0499999999999998</v>
      </c>
      <c r="M196" s="787">
        <v>1.92</v>
      </c>
      <c r="N196" s="787">
        <v>1.68</v>
      </c>
      <c r="O196" s="787">
        <v>1.5</v>
      </c>
      <c r="P196" s="787">
        <v>1.36</v>
      </c>
      <c r="Q196" s="787">
        <v>1.24</v>
      </c>
      <c r="R196" s="787">
        <v>1.08</v>
      </c>
      <c r="S196" s="787">
        <v>0.92</v>
      </c>
      <c r="T196" s="787">
        <v>0.68</v>
      </c>
      <c r="U196" s="787">
        <v>0.51</v>
      </c>
      <c r="V196" s="787">
        <v>0.45</v>
      </c>
      <c r="W196" s="745"/>
      <c r="X196" s="770">
        <f>SUM(Y196:AI196)</f>
        <v>2.0499999999999998</v>
      </c>
      <c r="Y196" s="771">
        <f>IF($Y$82&lt;=$L$195,L196,0)</f>
        <v>2.0499999999999998</v>
      </c>
      <c r="Z196" s="772">
        <f>IF(AND($Y$82&gt;10,$Y$82&lt;20),L196+(M196-L196)*($Y$82-$L$195)/($M$195-$L$195),0)</f>
        <v>0</v>
      </c>
      <c r="AA196" s="772">
        <f>IF(AND($Y$82&gt;20,$Y$82&lt;50),M196+(N196-M196)*($Y$82-$M$195)/($N$195-$M$195),0)</f>
        <v>0</v>
      </c>
      <c r="AB196" s="772">
        <f>IF(AND($Y$82&gt;50,$Y$82&lt;100),N196+(O196-N196)*($Y$82-$N$195)/($O$195-$N$195),0)</f>
        <v>0</v>
      </c>
      <c r="AC196" s="772">
        <f>IF(AND($Y$82&gt;100,$Y$82&lt;200),O196+(P196-O196)*($Y$82-$O$195)/($P$195-$O$195),0)</f>
        <v>0</v>
      </c>
      <c r="AD196" s="772">
        <f>IF(AND($Y$82&gt;200,$Y$82&lt;500),P196+(Q196-P196)*($Y$82-$P$195)/($Q$195-$P$195),0)</f>
        <v>0</v>
      </c>
      <c r="AE196" s="772">
        <f>IF(AND($Y$82&gt;500,$Y$82&lt;1000),Q196+(R196-Q196)*($Y$82-$Q$195)/($R$195-$Q$195),0)</f>
        <v>0</v>
      </c>
      <c r="AF196" s="772">
        <f>IF(AND($Y$82&gt;1000,$Y$82&lt;2000),R196+(S196-R196)*($Y$82-$R$195)/($S$195-$R$195),0)</f>
        <v>0</v>
      </c>
      <c r="AG196" s="772">
        <f>IF(AND($Y$82&gt;2000,$Y$82&lt;5000),S196+(T196-S196)*($Y$82-$S$195)/($T$195-$S$195),0)</f>
        <v>0</v>
      </c>
      <c r="AH196" s="772">
        <f>IF(AND($Y$82&gt;5000,$Y$82&lt;8000),T196+(U196-T196)*($Y$82-$T$195)/($U$195-$T$195),0)</f>
        <v>0</v>
      </c>
      <c r="AI196" s="772">
        <f>IF(AND($Y$82&gt;8000,$Y$82&lt;10000),U196+(V196-U196)*($Y$82-$U$195)/($V$195-$U$195),0)</f>
        <v>0</v>
      </c>
    </row>
    <row r="197" spans="10:35" ht="15.6">
      <c r="J197" s="788">
        <v>2</v>
      </c>
      <c r="K197" s="786" t="s">
        <v>113</v>
      </c>
      <c r="L197" s="787">
        <v>1.44</v>
      </c>
      <c r="M197" s="787">
        <v>1.39</v>
      </c>
      <c r="N197" s="787">
        <v>1.1299999999999999</v>
      </c>
      <c r="O197" s="787">
        <v>1.05</v>
      </c>
      <c r="P197" s="787">
        <v>0.95</v>
      </c>
      <c r="Q197" s="787">
        <v>0.81</v>
      </c>
      <c r="R197" s="787">
        <v>0.68</v>
      </c>
      <c r="S197" s="787">
        <v>0.57999999999999996</v>
      </c>
      <c r="T197" s="787">
        <v>0.44</v>
      </c>
      <c r="U197" s="787">
        <v>0.34</v>
      </c>
      <c r="V197" s="787">
        <v>0.28000000000000003</v>
      </c>
      <c r="W197" s="745"/>
      <c r="X197" s="770">
        <f>SUM(Y197:AI197)</f>
        <v>1.44</v>
      </c>
      <c r="Y197" s="771">
        <f>IF($Y$82&lt;=$L$195,L197,0)</f>
        <v>1.44</v>
      </c>
      <c r="Z197" s="772">
        <f>IF(AND($Y$82&gt;10,$Y$82&lt;20),L197+(M197-L197)*($Y$82-$L$195)/($M$195-$L$195),0)</f>
        <v>0</v>
      </c>
      <c r="AA197" s="772">
        <f>IF(AND($Y$82&gt;20,$Y$82&lt;50),M197+(N197-M197)*($Y$82-$M$195)/($N$195-$M$195),0)</f>
        <v>0</v>
      </c>
      <c r="AB197" s="772">
        <f>IF(AND($Y$82&gt;50,$Y$82&lt;100),N197+(O197-N197)*($Y$82-$N$195)/($O$195-$N$195),0)</f>
        <v>0</v>
      </c>
      <c r="AC197" s="772">
        <f>IF(AND($Y$82&gt;100,$Y$82&lt;200),O197+(P197-O197)*($Y$82-$O$195)/($P$195-$O$195),0)</f>
        <v>0</v>
      </c>
      <c r="AD197" s="772">
        <f>IF(AND($Y$82&gt;200,$Y$82&lt;500),P197+(Q197-P197)*($Y$82-$P$195)/($Q$195-$P$195),0)</f>
        <v>0</v>
      </c>
      <c r="AE197" s="772">
        <f>IF(AND($Y$82&gt;500,$Y$82&lt;1000),Q197+(R197-Q197)*($Y$82-$Q$195)/($R$195-$Q$195),0)</f>
        <v>0</v>
      </c>
      <c r="AF197" s="772">
        <f>IF(AND($Y$82&gt;1000,$Y$82&lt;2000),R197+(S197-R197)*($Y$82-$R$195)/($S$195-$R$195),0)</f>
        <v>0</v>
      </c>
      <c r="AG197" s="772">
        <f>IF(AND($Y$82&gt;2000,$Y$82&lt;5000),S197+(T197-S197)*($Y$82-$S$195)/($T$195-$S$195),0)</f>
        <v>0</v>
      </c>
      <c r="AH197" s="772">
        <f>IF(AND($Y$82&gt;5000,$Y$82&lt;8000),T197+(U197-T197)*($Y$82-$T$195)/($U$195-$T$195),0)</f>
        <v>0</v>
      </c>
      <c r="AI197" s="772">
        <f>IF(AND($Y$82&gt;8000,$Y$82&lt;10000),U197+(V197-U197)*($Y$82-$U$195)/($V$195-$U$195),0)</f>
        <v>0</v>
      </c>
    </row>
    <row r="198" spans="10:35" ht="15.6">
      <c r="J198" s="788">
        <v>3</v>
      </c>
      <c r="K198" s="786" t="s">
        <v>115</v>
      </c>
      <c r="L198" s="787">
        <v>1.19</v>
      </c>
      <c r="M198" s="787">
        <v>1.08</v>
      </c>
      <c r="N198" s="787">
        <v>0.92</v>
      </c>
      <c r="O198" s="787">
        <v>0.84</v>
      </c>
      <c r="P198" s="787">
        <v>0.77</v>
      </c>
      <c r="Q198" s="787">
        <v>0.7</v>
      </c>
      <c r="R198" s="787">
        <v>0.6</v>
      </c>
      <c r="S198" s="787">
        <v>0.51</v>
      </c>
      <c r="T198" s="787">
        <v>0.39</v>
      </c>
      <c r="U198" s="787">
        <v>0.28999999999999998</v>
      </c>
      <c r="V198" s="787">
        <v>0.25</v>
      </c>
      <c r="W198" s="745"/>
      <c r="X198" s="770">
        <f>SUM(Y198:AI198)</f>
        <v>1.19</v>
      </c>
      <c r="Y198" s="771">
        <f>IF($Y$82&lt;=$L$195,L198,0)</f>
        <v>1.19</v>
      </c>
      <c r="Z198" s="772">
        <f>IF(AND($Y$82&gt;10,$Y$82&lt;20),L198+(M198-L198)*($Y$82-$L$195)/($M$195-$L$195),0)</f>
        <v>0</v>
      </c>
      <c r="AA198" s="772">
        <f>IF(AND($Y$82&gt;20,$Y$82&lt;50),M198+(N198-M198)*($Y$82-$M$195)/($N$195-$M$195),0)</f>
        <v>0</v>
      </c>
      <c r="AB198" s="772">
        <f>IF(AND($Y$82&gt;50,$Y$82&lt;100),N198+(O198-N198)*($Y$82-$N$195)/($O$195-$N$195),0)</f>
        <v>0</v>
      </c>
      <c r="AC198" s="772">
        <f>IF(AND($Y$82&gt;100,$Y$82&lt;200),O198+(P198-O198)*($Y$82-$O$195)/($P$195-$O$195),0)</f>
        <v>0</v>
      </c>
      <c r="AD198" s="772">
        <f>IF(AND($Y$82&gt;200,$Y$82&lt;500),P198+(Q198-P198)*($Y$82-$P$195)/($Q$195-$P$195),0)</f>
        <v>0</v>
      </c>
      <c r="AE198" s="772">
        <f>IF(AND($Y$82&gt;500,$Y$82&lt;1000),Q198+(R198-Q198)*($Y$82-$Q$195)/($R$195-$Q$195),0)</f>
        <v>0</v>
      </c>
      <c r="AF198" s="772">
        <f>IF(AND($Y$82&gt;1000,$Y$82&lt;2000),R198+(S198-R198)*($Y$82-$R$195)/($S$195-$R$195),0)</f>
        <v>0</v>
      </c>
      <c r="AG198" s="772">
        <f>IF(AND($Y$82&gt;2000,$Y$82&lt;5000),S198+(T198-S198)*($Y$82-$S$195)/($T$195-$S$195),0)</f>
        <v>0</v>
      </c>
      <c r="AH198" s="772">
        <f>IF(AND($Y$82&gt;5000,$Y$82&lt;8000),T198+(U198-T198)*($Y$82-$T$195)/($U$195-$T$195),0)</f>
        <v>0</v>
      </c>
      <c r="AI198" s="772">
        <f>IF(AND($Y$82&gt;8000,$Y$82&lt;10000),U198+(V198-U198)*($Y$82-$U$195)/($V$195-$U$195),0)</f>
        <v>0</v>
      </c>
    </row>
    <row r="199" spans="10:35" ht="15.6">
      <c r="J199" s="788">
        <v>4</v>
      </c>
      <c r="K199" s="786" t="s">
        <v>117</v>
      </c>
      <c r="L199" s="787">
        <v>1.05</v>
      </c>
      <c r="M199" s="787">
        <v>0.93</v>
      </c>
      <c r="N199" s="787">
        <v>0.81</v>
      </c>
      <c r="O199" s="787">
        <v>0.74</v>
      </c>
      <c r="P199" s="787">
        <v>0.68</v>
      </c>
      <c r="Q199" s="787">
        <v>0.57999999999999996</v>
      </c>
      <c r="R199" s="787">
        <v>0.48</v>
      </c>
      <c r="S199" s="787">
        <v>0.43</v>
      </c>
      <c r="T199" s="787">
        <v>0.32</v>
      </c>
      <c r="U199" s="787">
        <v>0.25</v>
      </c>
      <c r="V199" s="787">
        <v>0.21</v>
      </c>
      <c r="W199" s="745"/>
      <c r="X199" s="770">
        <f>SUM(Y199:AI199)</f>
        <v>1.05</v>
      </c>
      <c r="Y199" s="771">
        <f>IF($Y$82&lt;=$L$195,L199,0)</f>
        <v>1.05</v>
      </c>
      <c r="Z199" s="772">
        <f>IF(AND($Y$82&gt;10,$Y$82&lt;20),L199+(M199-L199)*($Y$82-$L$195)/($M$195-$L$195),0)</f>
        <v>0</v>
      </c>
      <c r="AA199" s="772">
        <f>IF(AND($Y$82&gt;20,$Y$82&lt;50),M199+(N199-M199)*($Y$82-$M$195)/($N$195-$M$195),0)</f>
        <v>0</v>
      </c>
      <c r="AB199" s="772">
        <f>IF(AND($Y$82&gt;50,$Y$82&lt;100),N199+(O199-N199)*($Y$82-$N$195)/($O$195-$N$195),0)</f>
        <v>0</v>
      </c>
      <c r="AC199" s="772">
        <f>IF(AND($Y$82&gt;100,$Y$82&lt;200),O199+(P199-O199)*($Y$82-$O$195)/($P$195-$O$195),0)</f>
        <v>0</v>
      </c>
      <c r="AD199" s="772">
        <f>IF(AND($Y$82&gt;200,$Y$82&lt;500),P199+(Q199-P199)*($Y$82-$P$195)/($Q$195-$P$195),0)</f>
        <v>0</v>
      </c>
      <c r="AE199" s="772">
        <f>IF(AND($Y$82&gt;500,$Y$82&lt;1000),Q199+(R199-Q199)*($Y$82-$Q$195)/($R$195-$Q$195),0)</f>
        <v>0</v>
      </c>
      <c r="AF199" s="772">
        <f>IF(AND($Y$82&gt;1000,$Y$82&lt;2000),R199+(S199-R199)*($Y$82-$R$195)/($S$195-$R$195),0)</f>
        <v>0</v>
      </c>
      <c r="AG199" s="772">
        <f>IF(AND($Y$82&gt;2000,$Y$82&lt;5000),S199+(T199-S199)*($Y$82-$S$195)/($T$195-$S$195),0)</f>
        <v>0</v>
      </c>
      <c r="AH199" s="772">
        <f>IF(AND($Y$82&gt;5000,$Y$82&lt;8000),T199+(U199-T199)*($Y$82-$T$195)/($U$195-$T$195),0)</f>
        <v>0</v>
      </c>
      <c r="AI199" s="772">
        <f>IF(AND($Y$82&gt;8000,$Y$82&lt;10000),U199+(V199-U199)*($Y$82-$U$195)/($V$195-$U$195),0)</f>
        <v>0</v>
      </c>
    </row>
    <row r="200" spans="10:35" ht="15.6">
      <c r="J200" s="788">
        <v>5</v>
      </c>
      <c r="K200" s="786" t="s">
        <v>92</v>
      </c>
      <c r="L200" s="787">
        <v>0.95</v>
      </c>
      <c r="M200" s="787">
        <v>0.87</v>
      </c>
      <c r="N200" s="787">
        <v>0.76</v>
      </c>
      <c r="O200" s="787">
        <v>0.69</v>
      </c>
      <c r="P200" s="787">
        <v>0.59</v>
      </c>
      <c r="Q200" s="787">
        <v>0.49</v>
      </c>
      <c r="R200" s="787">
        <v>0.43</v>
      </c>
      <c r="S200" s="787"/>
      <c r="T200" s="787"/>
      <c r="U200" s="787"/>
      <c r="V200" s="787"/>
      <c r="W200" s="745"/>
      <c r="X200" s="770">
        <f>SUM(Y200:AI200)</f>
        <v>0.95</v>
      </c>
      <c r="Y200" s="771">
        <f>IF($Y$82&lt;=$L$195,L200,0)</f>
        <v>0.95</v>
      </c>
      <c r="Z200" s="772">
        <f>IF(AND($Y$82&gt;10,$Y$82&lt;20),L200+(M200-L200)*($Y$82-$L$195)/($M$195-$L$195),0)</f>
        <v>0</v>
      </c>
      <c r="AA200" s="772">
        <f>IF(AND($Y$82&gt;20,$Y$82&lt;50),M200+(N200-M200)*($Y$82-$M$195)/($N$195-$M$195),0)</f>
        <v>0</v>
      </c>
      <c r="AB200" s="772">
        <f>IF(AND($Y$82&gt;50,$Y$82&lt;100),N200+(O200-N200)*($Y$82-$N$195)/($O$195-$N$195),0)</f>
        <v>0</v>
      </c>
      <c r="AC200" s="772">
        <f>IF(AND($Y$82&gt;100,$Y$82&lt;200),O200+(P200-O200)*($Y$82-$O$195)/($P$195-$O$195),0)</f>
        <v>0</v>
      </c>
      <c r="AD200" s="772">
        <f>IF(AND($Y$82&gt;200,$Y$82&lt;500),P200+(Q200-P200)*($Y$82-$P$195)/($Q$195-$P$195),0)</f>
        <v>0</v>
      </c>
      <c r="AE200" s="772">
        <f>IF(AND($Y$82&gt;500,$Y$82&lt;1000),Q200+(R200-Q200)*($Y$82-$Q$195)/($R$195-$Q$195),0)</f>
        <v>0</v>
      </c>
      <c r="AF200" s="772">
        <f>IF(AND($Y$82&gt;1000,$Y$82&lt;2000),R200+(S200-R200)*($Y$82-$R$195)/($S$195-$R$195),0)</f>
        <v>0</v>
      </c>
      <c r="AG200" s="772">
        <f>IF(AND($Y$82&gt;2000,$Y$82&lt;5000),S200+(T200-S200)*($Y$82-$S$195)/($T$195-$S$195),0)</f>
        <v>0</v>
      </c>
      <c r="AH200" s="772">
        <f>IF(AND($Y$82&gt;5000,$Y$82&lt;8000),T200+(U200-T200)*($Y$82-$T$195)/($U$195-$T$195),0)</f>
        <v>0</v>
      </c>
      <c r="AI200" s="772">
        <f>IF(AND($Y$82&gt;8000,$Y$82&lt;10000),U200+(V200-U200)*($Y$82-$U$195)/($V$195-$U$195),0)</f>
        <v>0</v>
      </c>
    </row>
    <row r="203" spans="10:35" ht="15.6">
      <c r="J203" s="773" t="s">
        <v>190</v>
      </c>
      <c r="K203" s="774"/>
      <c r="L203" s="774"/>
      <c r="M203" s="774"/>
      <c r="N203" s="774"/>
      <c r="O203" s="774"/>
      <c r="P203" s="774"/>
      <c r="Q203" s="774"/>
      <c r="R203" s="774"/>
      <c r="S203" s="774"/>
      <c r="T203" s="774"/>
      <c r="U203" s="774"/>
      <c r="V203" s="774"/>
      <c r="W203" s="774"/>
    </row>
    <row r="204" spans="10:35" ht="15.6">
      <c r="J204" s="803"/>
      <c r="K204" s="774"/>
      <c r="L204" s="774"/>
      <c r="M204" s="774"/>
      <c r="N204" s="774"/>
      <c r="O204" s="774"/>
      <c r="P204" s="774"/>
      <c r="Q204" s="774"/>
      <c r="R204" s="774"/>
      <c r="S204" s="774"/>
      <c r="T204" s="774"/>
      <c r="U204" s="774"/>
      <c r="V204" s="774"/>
      <c r="W204" s="774"/>
    </row>
    <row r="205" spans="10:35" ht="15.6">
      <c r="J205" s="792" t="s">
        <v>142</v>
      </c>
      <c r="K205" s="793" t="s">
        <v>110</v>
      </c>
      <c r="L205" s="778" t="s">
        <v>168</v>
      </c>
      <c r="M205" s="779"/>
      <c r="N205" s="779"/>
      <c r="O205" s="779"/>
      <c r="P205" s="779"/>
      <c r="Q205" s="779"/>
      <c r="R205" s="779"/>
      <c r="S205" s="779"/>
      <c r="T205" s="779"/>
      <c r="U205" s="779"/>
      <c r="V205" s="780"/>
      <c r="W205" s="745"/>
      <c r="X205" s="759"/>
      <c r="Y205" s="760"/>
      <c r="Z205" s="761"/>
      <c r="AA205" s="761"/>
      <c r="AB205" s="761"/>
      <c r="AC205" s="761"/>
      <c r="AD205" s="761"/>
      <c r="AE205" s="756"/>
      <c r="AF205" s="756"/>
      <c r="AG205" s="762"/>
      <c r="AH205" s="762"/>
      <c r="AI205" s="762"/>
    </row>
    <row r="206" spans="10:35" ht="15.6">
      <c r="J206" s="782"/>
      <c r="K206" s="795"/>
      <c r="L206" s="783">
        <v>10</v>
      </c>
      <c r="M206" s="784">
        <v>20</v>
      </c>
      <c r="N206" s="784">
        <v>50</v>
      </c>
      <c r="O206" s="784">
        <v>100</v>
      </c>
      <c r="P206" s="784">
        <v>200</v>
      </c>
      <c r="Q206" s="784">
        <v>500</v>
      </c>
      <c r="R206" s="784">
        <v>1000</v>
      </c>
      <c r="S206" s="784">
        <v>2000</v>
      </c>
      <c r="T206" s="784">
        <v>5000</v>
      </c>
      <c r="U206" s="784">
        <v>8000</v>
      </c>
      <c r="V206" s="784">
        <v>10000</v>
      </c>
      <c r="W206" s="745"/>
      <c r="X206" s="759" t="s">
        <v>145</v>
      </c>
      <c r="Y206" s="767">
        <v>10</v>
      </c>
      <c r="Z206" s="768" t="s">
        <v>146</v>
      </c>
      <c r="AA206" s="768" t="s">
        <v>147</v>
      </c>
      <c r="AB206" s="768" t="s">
        <v>148</v>
      </c>
      <c r="AC206" s="768" t="s">
        <v>149</v>
      </c>
      <c r="AD206" s="768" t="s">
        <v>150</v>
      </c>
      <c r="AE206" s="768" t="s">
        <v>151</v>
      </c>
      <c r="AF206" s="768" t="s">
        <v>152</v>
      </c>
      <c r="AG206" s="768" t="s">
        <v>153</v>
      </c>
      <c r="AH206" s="768" t="s">
        <v>169</v>
      </c>
      <c r="AI206" s="768" t="s">
        <v>170</v>
      </c>
    </row>
    <row r="207" spans="10:35" ht="15.6">
      <c r="J207" s="788">
        <v>1</v>
      </c>
      <c r="K207" s="786" t="s">
        <v>112</v>
      </c>
      <c r="L207" s="787">
        <v>3.01</v>
      </c>
      <c r="M207" s="787">
        <v>2.76</v>
      </c>
      <c r="N207" s="787">
        <v>2.36</v>
      </c>
      <c r="O207" s="787">
        <v>2.15</v>
      </c>
      <c r="P207" s="787">
        <v>1.95</v>
      </c>
      <c r="Q207" s="787">
        <v>1.78</v>
      </c>
      <c r="R207" s="787">
        <v>1.52</v>
      </c>
      <c r="S207" s="787">
        <v>1.32</v>
      </c>
      <c r="T207" s="787">
        <v>1.02</v>
      </c>
      <c r="U207" s="787">
        <v>0.75</v>
      </c>
      <c r="V207" s="787">
        <v>0.66</v>
      </c>
      <c r="W207" s="745"/>
      <c r="X207" s="770">
        <f>SUM(Y207:AI207)</f>
        <v>3.01</v>
      </c>
      <c r="Y207" s="771">
        <f>IF($Y$82&lt;=$L$206,L207,0)</f>
        <v>3.01</v>
      </c>
      <c r="Z207" s="772">
        <f>IF(AND($Y$82&gt;10,$Y$82&lt;20),L207+(M207-L207)*($Y$82-$L$206)/($M$206-$L$206),0)</f>
        <v>0</v>
      </c>
      <c r="AA207" s="772">
        <f>IF(AND($Y$82&gt;20,$Y$82&lt;50),M207+(N207-M207)*($Y$82-$M$206)/($N$206-$M$206),0)</f>
        <v>0</v>
      </c>
      <c r="AB207" s="772">
        <f>IF(AND($Y$82&gt;50,$Y$82&lt;100),N207+(O207-N207)*($Y$82-$N$206)/($O$206-$N$206),0)</f>
        <v>0</v>
      </c>
      <c r="AC207" s="772">
        <f>IF(AND($Y$82&gt;100,$Y$82&lt;200),O207+(P207-O207)*($Y$82-$O$206)/($P$206-$O$206),0)</f>
        <v>0</v>
      </c>
      <c r="AD207" s="772">
        <f>IF(AND($Y$82&gt;200,$Y$82&lt;500),P207+(Q207-P207)*($Y$82-$P$206)/($Q$206-$P$206),0)</f>
        <v>0</v>
      </c>
      <c r="AE207" s="772">
        <f>IF(AND($Y$82&gt;500,$Y$82&lt;1000),Q207+(R207-Q207)*($Y$82-$Q$206)/($R$206-$Q$206),0)</f>
        <v>0</v>
      </c>
      <c r="AF207" s="772">
        <f>IF(AND($Y$82&gt;1000,$Y$82&lt;2000),R207+(S207-R207)*($Y$82-$R$206)/($S$206-$R$206),0)</f>
        <v>0</v>
      </c>
      <c r="AG207" s="772">
        <f>IF(AND($Y$82&gt;2000,$Y$82&lt;5000),S207+(T207-S207)*($Y$82-$S$206)/($T$206-$S$206),0)</f>
        <v>0</v>
      </c>
      <c r="AH207" s="772">
        <f>IF(AND($Y$82&gt;5000,$Y$82&lt;8000),T207+(U207-T207)*($Y$82-$T$206)/($U$206-$T$206),0)</f>
        <v>0</v>
      </c>
      <c r="AI207" s="772">
        <f>IF(AND($Y$82&gt;8000,$Y$82&lt;10000),U207+(V207-U207)*($Y$82-$U$206)/($V$206-$U$206),0)</f>
        <v>0</v>
      </c>
    </row>
    <row r="208" spans="10:35" ht="15.6">
      <c r="J208" s="788">
        <v>2</v>
      </c>
      <c r="K208" s="786" t="s">
        <v>113</v>
      </c>
      <c r="L208" s="787">
        <v>2.27</v>
      </c>
      <c r="M208" s="787">
        <v>2.15</v>
      </c>
      <c r="N208" s="787">
        <v>1.83</v>
      </c>
      <c r="O208" s="787">
        <v>1.67</v>
      </c>
      <c r="P208" s="787">
        <v>1.51</v>
      </c>
      <c r="Q208" s="787">
        <v>1.38</v>
      </c>
      <c r="R208" s="787">
        <v>1.21</v>
      </c>
      <c r="S208" s="787">
        <v>1.03</v>
      </c>
      <c r="T208" s="787">
        <v>0.79</v>
      </c>
      <c r="U208" s="787">
        <v>0.61</v>
      </c>
      <c r="V208" s="787">
        <v>0.49</v>
      </c>
      <c r="W208" s="745"/>
      <c r="X208" s="770">
        <f>SUM(Y208:AI208)</f>
        <v>2.27</v>
      </c>
      <c r="Y208" s="771">
        <f>IF($Y$82&lt;=$L$206,L208,0)</f>
        <v>2.27</v>
      </c>
      <c r="Z208" s="772">
        <f>IF(AND($Y$82&gt;10,$Y$82&lt;20),L208+(M208-L208)*($Y$82-$L$206)/($M$206-$L$206),0)</f>
        <v>0</v>
      </c>
      <c r="AA208" s="772">
        <f>IF(AND($Y$82&gt;20,$Y$82&lt;50),M208+(N208-M208)*($Y$82-$M$206)/($N$206-$M$206),0)</f>
        <v>0</v>
      </c>
      <c r="AB208" s="772">
        <f>IF(AND($Y$82&gt;50,$Y$82&lt;100),N208+(O208-N208)*($Y$82-$N$206)/($O$206-$N$206),0)</f>
        <v>0</v>
      </c>
      <c r="AC208" s="772">
        <f>IF(AND($Y$82&gt;100,$Y$82&lt;200),O208+(P208-O208)*($Y$82-$O$206)/($P$206-$O$206),0)</f>
        <v>0</v>
      </c>
      <c r="AD208" s="772">
        <f>IF(AND($Y$82&gt;200,$Y$82&lt;500),P208+(Q208-P208)*($Y$82-$P$206)/($Q$206-$P$206),0)</f>
        <v>0</v>
      </c>
      <c r="AE208" s="772">
        <f>IF(AND($Y$82&gt;500,$Y$82&lt;1000),Q208+(R208-Q208)*($Y$82-$Q$206)/($R$206-$Q$206),0)</f>
        <v>0</v>
      </c>
      <c r="AF208" s="772">
        <f>IF(AND($Y$82&gt;1000,$Y$82&lt;2000),R208+(S208-R208)*($Y$82-$R$206)/($S$206-$R$206),0)</f>
        <v>0</v>
      </c>
      <c r="AG208" s="772">
        <f>IF(AND($Y$82&gt;2000,$Y$82&lt;5000),S208+(T208-S208)*($Y$82-$S$206)/($T$206-$S$206),0)</f>
        <v>0</v>
      </c>
      <c r="AH208" s="772">
        <f>IF(AND($Y$82&gt;5000,$Y$82&lt;8000),T208+(U208-T208)*($Y$82-$T$206)/($U$206-$T$206),0)</f>
        <v>0</v>
      </c>
      <c r="AI208" s="772">
        <f>IF(AND($Y$82&gt;8000,$Y$82&lt;10000),U208+(V208-U208)*($Y$82-$U$206)/($V$206-$U$206),0)</f>
        <v>0</v>
      </c>
    </row>
    <row r="209" spans="10:35" ht="15.6">
      <c r="J209" s="788">
        <v>3</v>
      </c>
      <c r="K209" s="786" t="s">
        <v>115</v>
      </c>
      <c r="L209" s="787">
        <v>1.67</v>
      </c>
      <c r="M209" s="787">
        <v>1.55</v>
      </c>
      <c r="N209" s="787">
        <v>1.32</v>
      </c>
      <c r="O209" s="787">
        <v>1.2</v>
      </c>
      <c r="P209" s="787">
        <v>1.1000000000000001</v>
      </c>
      <c r="Q209" s="787">
        <v>1.01</v>
      </c>
      <c r="R209" s="787">
        <v>0.85</v>
      </c>
      <c r="S209" s="787">
        <v>0.72</v>
      </c>
      <c r="T209" s="787">
        <v>0.56000000000000005</v>
      </c>
      <c r="U209" s="787">
        <v>0.42</v>
      </c>
      <c r="V209" s="787">
        <v>0.36</v>
      </c>
      <c r="W209" s="745"/>
      <c r="X209" s="770">
        <f>SUM(Y209:AI209)</f>
        <v>1.67</v>
      </c>
      <c r="Y209" s="771">
        <f>IF($Y$82&lt;=$L$206,L209,0)</f>
        <v>1.67</v>
      </c>
      <c r="Z209" s="772">
        <f>IF(AND($Y$82&gt;10,$Y$82&lt;20),L209+(M209-L209)*($Y$82-$L$206)/($M$206-$L$206),0)</f>
        <v>0</v>
      </c>
      <c r="AA209" s="772">
        <f>IF(AND($Y$82&gt;20,$Y$82&lt;50),M209+(N209-M209)*($Y$82-$M$206)/($N$206-$M$206),0)</f>
        <v>0</v>
      </c>
      <c r="AB209" s="772">
        <f>IF(AND($Y$82&gt;50,$Y$82&lt;100),N209+(O209-N209)*($Y$82-$N$206)/($O$206-$N$206),0)</f>
        <v>0</v>
      </c>
      <c r="AC209" s="772">
        <f>IF(AND($Y$82&gt;100,$Y$82&lt;200),O209+(P209-O209)*($Y$82-$O$206)/($P$206-$O$206),0)</f>
        <v>0</v>
      </c>
      <c r="AD209" s="772">
        <f>IF(AND($Y$82&gt;200,$Y$82&lt;500),P209+(Q209-P209)*($Y$82-$P$206)/($Q$206-$P$206),0)</f>
        <v>0</v>
      </c>
      <c r="AE209" s="772">
        <f>IF(AND($Y$82&gt;500,$Y$82&lt;1000),Q209+(R209-Q209)*($Y$82-$Q$206)/($R$206-$Q$206),0)</f>
        <v>0</v>
      </c>
      <c r="AF209" s="772">
        <f>IF(AND($Y$82&gt;1000,$Y$82&lt;2000),R209+(S209-R209)*($Y$82-$R$206)/($S$206-$R$206),0)</f>
        <v>0</v>
      </c>
      <c r="AG209" s="772">
        <f>IF(AND($Y$82&gt;2000,$Y$82&lt;5000),S209+(T209-S209)*($Y$82-$S$206)/($T$206-$S$206),0)</f>
        <v>0</v>
      </c>
      <c r="AH209" s="772">
        <f>IF(AND($Y$82&gt;5000,$Y$82&lt;8000),T209+(U209-T209)*($Y$82-$T$206)/($U$206-$T$206),0)</f>
        <v>0</v>
      </c>
      <c r="AI209" s="772">
        <f>IF(AND($Y$82&gt;8000,$Y$82&lt;10000),U209+(V209-U209)*($Y$82-$U$206)/($V$206-$U$206),0)</f>
        <v>0</v>
      </c>
    </row>
    <row r="210" spans="10:35" ht="15.6">
      <c r="J210" s="788">
        <v>4</v>
      </c>
      <c r="K210" s="786" t="s">
        <v>117</v>
      </c>
      <c r="L210" s="787">
        <v>1.48</v>
      </c>
      <c r="M210" s="787">
        <v>1.37</v>
      </c>
      <c r="N210" s="787">
        <v>1.17</v>
      </c>
      <c r="O210" s="787">
        <v>1.06</v>
      </c>
      <c r="P210" s="787">
        <v>0.97</v>
      </c>
      <c r="Q210" s="787">
        <v>0.82</v>
      </c>
      <c r="R210" s="787">
        <v>0.7</v>
      </c>
      <c r="S210" s="787">
        <v>0.59</v>
      </c>
      <c r="T210" s="787">
        <v>0.45</v>
      </c>
      <c r="U210" s="787">
        <v>0.33</v>
      </c>
      <c r="V210" s="787">
        <v>0.28999999999999998</v>
      </c>
      <c r="W210" s="745"/>
      <c r="X210" s="770">
        <f>SUM(Y210:AI210)</f>
        <v>1.48</v>
      </c>
      <c r="Y210" s="771">
        <f>IF($Y$82&lt;=$L$206,L210,0)</f>
        <v>1.48</v>
      </c>
      <c r="Z210" s="772">
        <f>IF(AND($Y$82&gt;10,$Y$82&lt;20),L210+(M210-L210)*($Y$82-$L$206)/($M$206-$L$206),0)</f>
        <v>0</v>
      </c>
      <c r="AA210" s="772">
        <f>IF(AND($Y$82&gt;20,$Y$82&lt;50),M210+(N210-M210)*($Y$82-$M$206)/($N$206-$M$206),0)</f>
        <v>0</v>
      </c>
      <c r="AB210" s="772">
        <f>IF(AND($Y$82&gt;50,$Y$82&lt;100),N210+(O210-N210)*($Y$82-$N$206)/($O$206-$N$206),0)</f>
        <v>0</v>
      </c>
      <c r="AC210" s="772">
        <f>IF(AND($Y$82&gt;100,$Y$82&lt;200),O210+(P210-O210)*($Y$82-$O$206)/($P$206-$O$206),0)</f>
        <v>0</v>
      </c>
      <c r="AD210" s="772">
        <f>IF(AND($Y$82&gt;200,$Y$82&lt;500),P210+(Q210-P210)*($Y$82-$P$206)/($Q$206-$P$206),0)</f>
        <v>0</v>
      </c>
      <c r="AE210" s="772">
        <f>IF(AND($Y$82&gt;500,$Y$82&lt;1000),Q210+(R210-Q210)*($Y$82-$Q$206)/($R$206-$Q$206),0)</f>
        <v>0</v>
      </c>
      <c r="AF210" s="772">
        <f>IF(AND($Y$82&gt;1000,$Y$82&lt;2000),R210+(S210-R210)*($Y$82-$R$206)/($S$206-$R$206),0)</f>
        <v>0</v>
      </c>
      <c r="AG210" s="772">
        <f>IF(AND($Y$82&gt;2000,$Y$82&lt;5000),S210+(T210-S210)*($Y$82-$S$206)/($T$206-$S$206),0)</f>
        <v>0</v>
      </c>
      <c r="AH210" s="772">
        <f>IF(AND($Y$82&gt;5000,$Y$82&lt;8000),T210+(U210-T210)*($Y$82-$T$206)/($U$206-$T$206),0)</f>
        <v>0</v>
      </c>
      <c r="AI210" s="772">
        <f>IF(AND($Y$82&gt;8000,$Y$82&lt;10000),U210+(V210-U210)*($Y$82-$U$206)/($V$206-$U$206),0)</f>
        <v>0</v>
      </c>
    </row>
    <row r="211" spans="10:35" ht="15.6">
      <c r="J211" s="788">
        <v>5</v>
      </c>
      <c r="K211" s="786" t="s">
        <v>92</v>
      </c>
      <c r="L211" s="787">
        <v>1.37</v>
      </c>
      <c r="M211" s="787">
        <v>1.26</v>
      </c>
      <c r="N211" s="787">
        <v>1.08</v>
      </c>
      <c r="O211" s="787">
        <v>0.98</v>
      </c>
      <c r="P211" s="787">
        <v>0.83</v>
      </c>
      <c r="Q211" s="787">
        <v>0.71</v>
      </c>
      <c r="R211" s="785">
        <v>0</v>
      </c>
      <c r="S211" s="785">
        <v>0</v>
      </c>
      <c r="T211" s="785">
        <v>0</v>
      </c>
      <c r="U211" s="785">
        <v>0</v>
      </c>
      <c r="V211" s="785">
        <v>0</v>
      </c>
      <c r="W211" s="745"/>
      <c r="X211" s="770">
        <f>SUM(Y211:AI211)</f>
        <v>1.37</v>
      </c>
      <c r="Y211" s="771">
        <f>IF($Y$82&lt;=$L$206,L211,0)</f>
        <v>1.37</v>
      </c>
      <c r="Z211" s="772">
        <f>IF(AND($Y$82&gt;10,$Y$82&lt;20),L211+(M211-L211)*($Y$82-$L$206)/($M$206-$L$206),0)</f>
        <v>0</v>
      </c>
      <c r="AA211" s="772">
        <f>IF(AND($Y$82&gt;20,$Y$82&lt;50),M211+(N211-M211)*($Y$82-$M$206)/($N$206-$M$206),0)</f>
        <v>0</v>
      </c>
      <c r="AB211" s="772">
        <f>IF(AND($Y$82&gt;50,$Y$82&lt;100),N211+(O211-N211)*($Y$82-$N$206)/($O$206-$N$206),0)</f>
        <v>0</v>
      </c>
      <c r="AC211" s="772">
        <f>IF(AND($Y$82&gt;100,$Y$82&lt;200),O211+(P211-O211)*($Y$82-$O$206)/($P$206-$O$206),0)</f>
        <v>0</v>
      </c>
      <c r="AD211" s="772">
        <f>IF(AND($Y$82&gt;200,$Y$82&lt;500),P211+(Q211-P211)*($Y$82-$P$206)/($Q$206-$P$206),0)</f>
        <v>0</v>
      </c>
      <c r="AE211" s="772">
        <f>IF(AND($Y$82&gt;500,$Y$82&lt;1000),Q211+(R211-Q211)*($Y$82-$Q$206)/($R$206-$Q$206),0)</f>
        <v>0</v>
      </c>
      <c r="AF211" s="772">
        <f>IF(AND($Y$82&gt;1000,$Y$82&lt;2000),R211+(S211-R211)*($Y$82-$R$206)/($S$206-$R$206),0)</f>
        <v>0</v>
      </c>
      <c r="AG211" s="772">
        <f>IF(AND($Y$82&gt;2000,$Y$82&lt;5000),S211+(T211-S211)*($Y$82-$S$206)/($T$206-$S$206),0)</f>
        <v>0</v>
      </c>
      <c r="AH211" s="772">
        <f>IF(AND($Y$82&gt;5000,$Y$82&lt;8000),T211+(U211-T211)*($Y$82-$T$206)/($U$206-$T$206),0)</f>
        <v>0</v>
      </c>
      <c r="AI211" s="772">
        <f>IF(AND($Y$82&gt;8000,$Y$82&lt;10000),U211+(V211-U211)*($Y$82-$U$206)/($V$206-$U$206),0)</f>
        <v>0</v>
      </c>
    </row>
    <row r="213" spans="10:35" ht="15.6">
      <c r="K213" s="774" t="s">
        <v>191</v>
      </c>
      <c r="L213" s="774"/>
      <c r="M213" s="774"/>
      <c r="N213" s="774"/>
    </row>
    <row r="214" spans="10:35" ht="31.2">
      <c r="K214" s="797" t="s">
        <v>192</v>
      </c>
      <c r="L214" s="797" t="s">
        <v>110</v>
      </c>
      <c r="M214" s="797"/>
    </row>
    <row r="215" spans="10:35" ht="31.2">
      <c r="K215" s="797"/>
      <c r="L215" s="797" t="s">
        <v>193</v>
      </c>
      <c r="M215" s="796" t="s">
        <v>194</v>
      </c>
    </row>
    <row r="216" spans="10:35" ht="15.6">
      <c r="K216" s="797">
        <v>500</v>
      </c>
      <c r="L216" s="797">
        <v>0.75</v>
      </c>
      <c r="M216" s="797">
        <v>0.62</v>
      </c>
    </row>
    <row r="217" spans="10:35" ht="15.6">
      <c r="K217" s="797">
        <v>200</v>
      </c>
      <c r="L217" s="797">
        <v>0.89</v>
      </c>
      <c r="M217" s="797">
        <v>0.74</v>
      </c>
    </row>
    <row r="218" spans="10:35" ht="15.6">
      <c r="K218" s="797">
        <v>100</v>
      </c>
      <c r="L218" s="797">
        <v>1.07</v>
      </c>
      <c r="M218" s="797">
        <v>0.9</v>
      </c>
    </row>
    <row r="219" spans="10:35" ht="15.6">
      <c r="K219" s="797">
        <v>50</v>
      </c>
      <c r="L219" s="797">
        <v>1.42</v>
      </c>
      <c r="M219" s="797">
        <v>1.23</v>
      </c>
    </row>
    <row r="220" spans="10:35" ht="15.6">
      <c r="K220" s="797">
        <v>20</v>
      </c>
      <c r="L220" s="797">
        <v>1.46</v>
      </c>
      <c r="M220" s="797">
        <v>1.29</v>
      </c>
    </row>
    <row r="221" spans="10:35" ht="15.6">
      <c r="K221" s="797">
        <v>5</v>
      </c>
      <c r="L221" s="797">
        <v>2.5299999999999998</v>
      </c>
      <c r="M221" s="797">
        <v>2.2599999999999998</v>
      </c>
    </row>
    <row r="222" spans="10:35" ht="15.6">
      <c r="K222" s="797" t="s">
        <v>195</v>
      </c>
      <c r="L222" s="797">
        <v>2.89</v>
      </c>
      <c r="M222" s="797">
        <v>2.58</v>
      </c>
    </row>
    <row r="225" spans="10:35" ht="15.6">
      <c r="J225" s="773" t="s">
        <v>196</v>
      </c>
      <c r="K225" s="774"/>
      <c r="L225" s="774"/>
      <c r="M225" s="774"/>
      <c r="N225" s="774"/>
      <c r="O225" s="774"/>
      <c r="P225" s="774"/>
      <c r="Q225" s="774"/>
      <c r="R225" s="774"/>
      <c r="S225" s="774"/>
      <c r="T225" s="774"/>
      <c r="U225" s="774"/>
      <c r="V225" s="774"/>
      <c r="W225" s="774"/>
    </row>
    <row r="226" spans="10:35" ht="15.6">
      <c r="J226" s="803"/>
      <c r="K226" s="774"/>
      <c r="L226" s="774"/>
      <c r="M226" s="774"/>
      <c r="N226" s="774"/>
      <c r="O226" s="774"/>
      <c r="P226" s="774"/>
      <c r="Q226" s="774"/>
      <c r="R226" s="774"/>
      <c r="S226" s="774"/>
      <c r="T226" s="774"/>
      <c r="U226" s="774"/>
      <c r="V226" s="774"/>
      <c r="W226" s="774"/>
    </row>
    <row r="227" spans="10:35" ht="15.6">
      <c r="J227" s="792" t="s">
        <v>142</v>
      </c>
      <c r="K227" s="793" t="s">
        <v>110</v>
      </c>
      <c r="L227" s="778" t="s">
        <v>168</v>
      </c>
      <c r="M227" s="779"/>
      <c r="N227" s="779"/>
      <c r="O227" s="779"/>
      <c r="P227" s="779"/>
      <c r="Q227" s="779"/>
      <c r="R227" s="779"/>
      <c r="S227" s="779"/>
      <c r="T227" s="779"/>
      <c r="U227" s="779"/>
      <c r="V227" s="780"/>
      <c r="W227" s="745"/>
      <c r="X227" s="759"/>
      <c r="Y227" s="760"/>
      <c r="Z227" s="761"/>
      <c r="AA227" s="761"/>
      <c r="AB227" s="761"/>
      <c r="AC227" s="761"/>
      <c r="AD227" s="761"/>
      <c r="AE227" s="756"/>
      <c r="AF227" s="756"/>
      <c r="AG227" s="762"/>
      <c r="AH227" s="762"/>
      <c r="AI227" s="762"/>
    </row>
    <row r="228" spans="10:35" ht="15.6">
      <c r="J228" s="782"/>
      <c r="K228" s="795"/>
      <c r="L228" s="783">
        <v>10</v>
      </c>
      <c r="M228" s="784">
        <v>20</v>
      </c>
      <c r="N228" s="784">
        <v>50</v>
      </c>
      <c r="O228" s="784">
        <v>100</v>
      </c>
      <c r="P228" s="784">
        <v>200</v>
      </c>
      <c r="Q228" s="784">
        <v>500</v>
      </c>
      <c r="R228" s="784">
        <v>1000</v>
      </c>
      <c r="S228" s="784">
        <v>2000</v>
      </c>
      <c r="T228" s="784">
        <v>5000</v>
      </c>
      <c r="U228" s="784">
        <v>8000</v>
      </c>
      <c r="V228" s="784">
        <v>10000</v>
      </c>
      <c r="W228" s="745"/>
      <c r="X228" s="759" t="s">
        <v>145</v>
      </c>
      <c r="Y228" s="767">
        <v>10</v>
      </c>
      <c r="Z228" s="768" t="s">
        <v>146</v>
      </c>
      <c r="AA228" s="768" t="s">
        <v>147</v>
      </c>
      <c r="AB228" s="768" t="s">
        <v>148</v>
      </c>
      <c r="AC228" s="768" t="s">
        <v>149</v>
      </c>
      <c r="AD228" s="768" t="s">
        <v>150</v>
      </c>
      <c r="AE228" s="768" t="s">
        <v>151</v>
      </c>
      <c r="AF228" s="768" t="s">
        <v>152</v>
      </c>
      <c r="AG228" s="768" t="s">
        <v>153</v>
      </c>
      <c r="AH228" s="768" t="s">
        <v>169</v>
      </c>
      <c r="AI228" s="768" t="s">
        <v>170</v>
      </c>
    </row>
    <row r="229" spans="10:35" ht="15.6">
      <c r="J229" s="788">
        <v>1</v>
      </c>
      <c r="K229" s="786" t="s">
        <v>112</v>
      </c>
      <c r="L229" s="787">
        <v>2.98</v>
      </c>
      <c r="M229" s="787">
        <v>2.6</v>
      </c>
      <c r="N229" s="787">
        <v>2.2000000000000002</v>
      </c>
      <c r="O229" s="787">
        <v>1.98</v>
      </c>
      <c r="P229" s="787">
        <v>1.83</v>
      </c>
      <c r="Q229" s="787">
        <v>1.54</v>
      </c>
      <c r="R229" s="787">
        <v>1.3</v>
      </c>
      <c r="S229" s="787">
        <v>1.1299999999999999</v>
      </c>
      <c r="T229" s="787">
        <v>0.85</v>
      </c>
      <c r="U229" s="787">
        <v>0.66</v>
      </c>
      <c r="V229" s="787">
        <v>0.57999999999999996</v>
      </c>
      <c r="W229" s="745"/>
      <c r="X229" s="770">
        <f>SUM(Y229:AI229)</f>
        <v>2.98</v>
      </c>
      <c r="Y229" s="771">
        <f>IF($Y$82&lt;=$L$228,L229,0)</f>
        <v>2.98</v>
      </c>
      <c r="Z229" s="772">
        <f>IF(AND($Y$82&gt;10,$Y$82&lt;20),L229+(M229-L229)*($Y$82-$L$228)/($M$228-$L$228),0)</f>
        <v>0</v>
      </c>
      <c r="AA229" s="772">
        <f>IF(AND($Y$82&gt;20,$Y$82&lt;50),M229+(N229-M229)*($Y$82-$M$228)/($N$228-$M$228),0)</f>
        <v>0</v>
      </c>
      <c r="AB229" s="772">
        <f>IF(AND($Y$82&gt;50,$Y$82&lt;100),N229+(O229-N229)*($Y$82-$N$228)/($O$228-$N$228),0)</f>
        <v>0</v>
      </c>
      <c r="AC229" s="772">
        <f>IF(AND($Y$82&gt;100,$Y$82&lt;200),O229+(P229-O229)*($Y$82-$O$228)/($P$228-$O$228),0)</f>
        <v>0</v>
      </c>
      <c r="AD229" s="772">
        <f>IF(AND($Y$82&gt;200,$Y$82&lt;500),P229+(Q229-P229)*($Y$82-$P$228)/($Q$228-$P$228),0)</f>
        <v>0</v>
      </c>
      <c r="AE229" s="772">
        <f>IF(AND($Y$82&gt;500,$Y$82&lt;1000),Q229+(R229-Q229)*($Y$82-$Q$228)/($R$228-$Q$228),0)</f>
        <v>0</v>
      </c>
      <c r="AF229" s="772">
        <f>IF(AND($Y$82&gt;1000,$Y$82&lt;2000),R229+(S229-R229)*($Y$82-$R$228)/($S$228-$R$228),0)</f>
        <v>0</v>
      </c>
      <c r="AG229" s="772">
        <f>IF(AND($Y$82&gt;2000,$Y$82&lt;5000),S229+(T229-S229)*($Y$82-$S$228)/($T$228-$S$228),0)</f>
        <v>0</v>
      </c>
      <c r="AH229" s="772">
        <f>IF(AND($Y$82&gt;5000,$Y$82&lt;8000),T229+(U229-T229)*($Y$82-$T$228)/($U$228-$T$228),0)</f>
        <v>0</v>
      </c>
      <c r="AI229" s="772">
        <f>IF(AND($Y$82&gt;8000,$Y$82&lt;10000),U229+(V229-U229)*($Y$82-$U$228)/($V$228-$U$228),0)</f>
        <v>0</v>
      </c>
    </row>
    <row r="230" spans="10:35" ht="15.6">
      <c r="J230" s="788">
        <v>2</v>
      </c>
      <c r="K230" s="786" t="s">
        <v>113</v>
      </c>
      <c r="L230" s="787">
        <v>2.7</v>
      </c>
      <c r="M230" s="787">
        <v>2.36</v>
      </c>
      <c r="N230" s="787">
        <v>1.99</v>
      </c>
      <c r="O230" s="787">
        <v>1.78</v>
      </c>
      <c r="P230" s="787">
        <v>1.66</v>
      </c>
      <c r="Q230" s="787">
        <v>1.39</v>
      </c>
      <c r="R230" s="787">
        <v>1.17</v>
      </c>
      <c r="S230" s="787">
        <v>1.02</v>
      </c>
      <c r="T230" s="787">
        <v>0.77</v>
      </c>
      <c r="U230" s="787">
        <v>0.59</v>
      </c>
      <c r="V230" s="787">
        <v>0.52</v>
      </c>
      <c r="W230" s="745"/>
      <c r="X230" s="770">
        <f>SUM(Y230:AI230)</f>
        <v>2.7</v>
      </c>
      <c r="Y230" s="771">
        <f>IF($Y$82&lt;=$L$228,L230,0)</f>
        <v>2.7</v>
      </c>
      <c r="Z230" s="772">
        <f>IF(AND($Y$82&gt;10,$Y$82&lt;20),L230+(M230-L230)*($Y$82-$L$228)/($M$228-$L$228),0)</f>
        <v>0</v>
      </c>
      <c r="AA230" s="772">
        <f>IF(AND($Y$82&gt;20,$Y$82&lt;50),M230+(N230-M230)*($Y$82-$M$228)/($N$228-$M$228),0)</f>
        <v>0</v>
      </c>
      <c r="AB230" s="772">
        <f>IF(AND($Y$82&gt;20,$Y$82&lt;50),N230+(O230-N230)*($Y$82-$N$228)/($O$228-$N$228),0)</f>
        <v>0</v>
      </c>
      <c r="AC230" s="772">
        <f>IF(AND($Y$82&gt;20,$Y$82&lt;50),O230+(P230-O230)*($Y$82-$O$228)/($P$228-$O$228),0)</f>
        <v>0</v>
      </c>
      <c r="AD230" s="772">
        <f>IF(AND($Y$82&gt;20,$Y$82&lt;50),P230+(Q230-P230)*($Y$82-$P$228)/($Q$228-$P$228),0)</f>
        <v>0</v>
      </c>
      <c r="AE230" s="772">
        <f>IF(AND($Y$82&gt;500,$Y$82&lt;1000),Q230+(R230-Q230)*($Y$82-$Q$228)/($R$228-$Q$228),0)</f>
        <v>0</v>
      </c>
      <c r="AF230" s="772">
        <f>IF(AND($Y$82&gt;1000,$Y$82&lt;2000),R230+(S230-R230)*($Y$82-$R$228)/($S$228-$R$228),0)</f>
        <v>0</v>
      </c>
      <c r="AG230" s="772">
        <f>IF(AND($Y$82&gt;2000,$Y$82&lt;5000),S230+(T230-S230)*($Y$82-$S$228)/($T$228-$S$228),0)</f>
        <v>0</v>
      </c>
      <c r="AH230" s="772">
        <f>IF(AND($Y$82&gt;5000,$Y$82&lt;8000),T230+(U230-T230)*($Y$82-$T$228)/($U$228-$T$228),0)</f>
        <v>0</v>
      </c>
      <c r="AI230" s="772">
        <f>IF(AND($Y$82&gt;8000,$Y$82&lt;10000),U230+(V230-U230)*($Y$82-$U$228)/($V$228-$U$228),0)</f>
        <v>0</v>
      </c>
    </row>
    <row r="231" spans="10:35" ht="15.6">
      <c r="J231" s="788">
        <v>3</v>
      </c>
      <c r="K231" s="786" t="s">
        <v>115</v>
      </c>
      <c r="L231" s="787">
        <v>2.48</v>
      </c>
      <c r="M231" s="787">
        <v>2.14</v>
      </c>
      <c r="N231" s="787">
        <v>1.8</v>
      </c>
      <c r="O231" s="787">
        <v>1.61</v>
      </c>
      <c r="P231" s="787">
        <v>1.51</v>
      </c>
      <c r="Q231" s="787">
        <v>1.22</v>
      </c>
      <c r="R231" s="787">
        <v>1.05</v>
      </c>
      <c r="S231" s="787">
        <v>0.87</v>
      </c>
      <c r="T231" s="787">
        <v>0.67</v>
      </c>
      <c r="U231" s="787">
        <v>0.49</v>
      </c>
      <c r="V231" s="787">
        <v>0.42</v>
      </c>
      <c r="W231" s="745"/>
      <c r="X231" s="770">
        <f>SUM(Y231:AI231)</f>
        <v>2.48</v>
      </c>
      <c r="Y231" s="771">
        <f>IF($Y$82&lt;=$L$228,L231,0)</f>
        <v>2.48</v>
      </c>
      <c r="Z231" s="772">
        <f>IF(AND($Y$82&gt;10,$Y$82&lt;20),L231+(M231-L231)*($Y$82-$L$228)/($M$228-$L$228),0)</f>
        <v>0</v>
      </c>
      <c r="AA231" s="772">
        <f>IF(AND($Y$82&gt;20,$Y$82&lt;50),M231+(N231-M231)*($Y$82-$M$228)/($N$228-$M$228),0)</f>
        <v>0</v>
      </c>
      <c r="AB231" s="772">
        <f>IF(AND($Y$82&gt;20,$Y$82&lt;50),N231+(O231-N231)*($Y$82-$N$228)/($O$228-$N$228),0)</f>
        <v>0</v>
      </c>
      <c r="AC231" s="772">
        <f>IF(AND($Y$82&gt;20,$Y$82&lt;50),O231+(P231-O231)*($Y$82-$O$228)/($P$228-$O$228),0)</f>
        <v>0</v>
      </c>
      <c r="AD231" s="772">
        <f>IF(AND($Y$82&gt;20,$Y$82&lt;50),P231+(Q231-P231)*($Y$82-$P$228)/($Q$228-$P$228),0)</f>
        <v>0</v>
      </c>
      <c r="AE231" s="772">
        <f>IF(AND($Y$82&gt;500,$Y$82&lt;1000),Q231+(R231-Q231)*($Y$82-$Q$228)/($R$228-$Q$228),0)</f>
        <v>0</v>
      </c>
      <c r="AF231" s="772">
        <f>IF(AND($Y$82&gt;1000,$Y$82&lt;2000),R231+(S231-R231)*($Y$82-$R$228)/($S$228-$R$228),0)</f>
        <v>0</v>
      </c>
      <c r="AG231" s="772">
        <f>IF(AND($Y$82&gt;2000,$Y$82&lt;5000),S231+(T231-S231)*($Y$82-$S$228)/($T$228-$S$228),0)</f>
        <v>0</v>
      </c>
      <c r="AH231" s="772">
        <f>IF(AND($Y$82&gt;5000,$Y$82&lt;8000),T231+(U231-T231)*($Y$82-$T$228)/($U$228-$T$228),0)</f>
        <v>0</v>
      </c>
      <c r="AI231" s="772">
        <f>IF(AND($Y$82&gt;8000,$Y$82&lt;10000),U231+(V231-U231)*($Y$82-$U$228)/($V$228-$U$228),0)</f>
        <v>0</v>
      </c>
    </row>
    <row r="232" spans="10:35" ht="15.6">
      <c r="J232" s="788">
        <v>4</v>
      </c>
      <c r="K232" s="786" t="s">
        <v>117</v>
      </c>
      <c r="L232" s="787">
        <v>2.2000000000000002</v>
      </c>
      <c r="M232" s="787">
        <v>1.9</v>
      </c>
      <c r="N232" s="787">
        <v>1.6</v>
      </c>
      <c r="O232" s="787">
        <v>1.43</v>
      </c>
      <c r="P232" s="787">
        <v>1.24</v>
      </c>
      <c r="Q232" s="787">
        <v>1.06</v>
      </c>
      <c r="R232" s="787">
        <v>0.9</v>
      </c>
      <c r="S232" s="787">
        <v>0.77</v>
      </c>
      <c r="T232" s="787">
        <v>0.59</v>
      </c>
      <c r="U232" s="787">
        <v>0.43</v>
      </c>
      <c r="V232" s="787">
        <v>0.37</v>
      </c>
      <c r="W232" s="745"/>
      <c r="X232" s="770">
        <f>SUM(Y232:AI232)</f>
        <v>2.2000000000000002</v>
      </c>
      <c r="Y232" s="771">
        <f>IF($Y$82&lt;=$L$228,L232,0)</f>
        <v>2.2000000000000002</v>
      </c>
      <c r="Z232" s="772">
        <f>IF(AND($Y$82&gt;10,$Y$82&lt;20),L232+(M232-L232)*($Y$82-$L$228)/($M$228-$L$228),0)</f>
        <v>0</v>
      </c>
      <c r="AA232" s="772">
        <f>IF(AND($Y$82&gt;20,$Y$82&lt;50),M232+(N232-M232)*($Y$82-$M$228)/($N$228-$M$228),0)</f>
        <v>0</v>
      </c>
      <c r="AB232" s="772">
        <f>IF(AND($Y$82&gt;20,$Y$82&lt;50),N232+(O232-N232)*($Y$82-$N$228)/($O$228-$N$228),0)</f>
        <v>0</v>
      </c>
      <c r="AC232" s="772">
        <f>IF(AND($Y$82&gt;20,$Y$82&lt;50),O232+(P232-O232)*($Y$82-$O$228)/($P$228-$O$228),0)</f>
        <v>0</v>
      </c>
      <c r="AD232" s="772">
        <f>IF(AND($Y$82&gt;20,$Y$82&lt;50),P232+(Q232-P232)*($Y$82-$P$228)/($Q$228-$P$228),0)</f>
        <v>0</v>
      </c>
      <c r="AE232" s="772">
        <f>IF(AND($Y$82&gt;500,$Y$82&lt;1000),Q232+(R232-Q232)*($Y$82-$Q$228)/($R$228-$Q$228),0)</f>
        <v>0</v>
      </c>
      <c r="AF232" s="772">
        <f>IF(AND($Y$82&gt;1000,$Y$82&lt;2000),R232+(S232-R232)*($Y$82-$R$228)/($S$228-$R$228),0)</f>
        <v>0</v>
      </c>
      <c r="AG232" s="772">
        <f>IF(AND($Y$82&gt;2000,$Y$82&lt;5000),S232+(T232-S232)*($Y$82-$S$228)/($T$228-$S$228),0)</f>
        <v>0</v>
      </c>
      <c r="AH232" s="772">
        <f>IF(AND($Y$82&gt;5000,$Y$82&lt;8000),T232+(U232-T232)*($Y$82-$T$228)/($U$228-$T$228),0)</f>
        <v>0</v>
      </c>
      <c r="AI232" s="772">
        <f>IF(AND($Y$82&gt;8000,$Y$82&lt;10000),U232+(V232-U232)*($Y$82-$U$228)/($V$228-$U$228),0)</f>
        <v>0</v>
      </c>
    </row>
    <row r="233" spans="10:35" ht="15.6">
      <c r="J233" s="788">
        <v>5</v>
      </c>
      <c r="K233" s="786" t="s">
        <v>92</v>
      </c>
      <c r="L233" s="787">
        <v>1.74</v>
      </c>
      <c r="M233" s="787">
        <v>1.52</v>
      </c>
      <c r="N233" s="787">
        <v>1.27</v>
      </c>
      <c r="O233" s="787">
        <v>1.1200000000000001</v>
      </c>
      <c r="P233" s="787">
        <v>1.01</v>
      </c>
      <c r="Q233" s="787">
        <v>0.8</v>
      </c>
      <c r="R233" s="787">
        <v>0.64</v>
      </c>
      <c r="S233" s="787"/>
      <c r="T233" s="787"/>
      <c r="U233" s="787"/>
      <c r="V233" s="787"/>
      <c r="W233" s="745"/>
      <c r="X233" s="770">
        <f>SUM(Y233:AI233)</f>
        <v>1.74</v>
      </c>
      <c r="Y233" s="771">
        <f>IF($Y$82&lt;=$L$228,L233,0)</f>
        <v>1.74</v>
      </c>
      <c r="Z233" s="772">
        <f>IF(AND($Y$82&gt;10,$Y$82&lt;20),L233+(M233-L233)*($Y$82-$L$228)/($M$228-$L$228),0)</f>
        <v>0</v>
      </c>
      <c r="AA233" s="772">
        <f>IF(AND($Y$82&gt;20,$Y$82&lt;50),M233+(N233-M233)*($Y$82-$M$228)/($N$228-$M$228),0)</f>
        <v>0</v>
      </c>
      <c r="AB233" s="772">
        <f>IF(AND($Y$82&gt;20,$Y$82&lt;50),N233+(O233-N233)*($Y$82-$N$228)/($O$228-$N$228),0)</f>
        <v>0</v>
      </c>
      <c r="AC233" s="772">
        <f>IF(AND($Y$82&gt;20,$Y$82&lt;50),O233+(P233-O233)*($Y$82-$O$228)/($P$228-$O$228),0)</f>
        <v>0</v>
      </c>
      <c r="AD233" s="772">
        <f>IF(AND($Y$82&gt;20,$Y$82&lt;50),P233+(Q233-P233)*($Y$82-$P$228)/($Q$228-$P$228),0)</f>
        <v>0</v>
      </c>
      <c r="AE233" s="772">
        <f>IF(AND($Y$82&gt;500,$Y$82&lt;1000),Q233+(R233-Q233)*($Y$82-$Q$228)/($R$228-$Q$228),0)</f>
        <v>0</v>
      </c>
      <c r="AF233" s="772">
        <f>IF(AND($Y$82&gt;1000,$Y$82&lt;2000),R233+(S233-R233)*($Y$82-$R$228)/($S$228-$R$228),0)</f>
        <v>0</v>
      </c>
      <c r="AG233" s="772">
        <f>IF(AND($Y$82&gt;2000,$Y$82&lt;5000),S233+(T233-S233)*($Y$82-$S$228)/($T$228-$S$228),0)</f>
        <v>0</v>
      </c>
      <c r="AH233" s="772">
        <f>IF(AND($Y$82&gt;5000,$Y$82&lt;8000),T233+(U233-T233)*($Y$82-$T$228)/($U$228-$T$228),0)</f>
        <v>0</v>
      </c>
      <c r="AI233" s="772">
        <f>IF(AND($Y$82&gt;8000,$Y$82&lt;10000),U233+(V233-U233)*($Y$82-$U$228)/($V$228-$U$228),0)</f>
        <v>0</v>
      </c>
    </row>
    <row r="236" spans="10:35" ht="15.6">
      <c r="J236" s="773" t="s">
        <v>197</v>
      </c>
      <c r="K236" s="774"/>
      <c r="L236" s="774"/>
      <c r="M236" s="774"/>
      <c r="N236" s="774"/>
      <c r="O236" s="774"/>
      <c r="P236" s="774"/>
      <c r="Q236" s="774"/>
      <c r="R236" s="774"/>
      <c r="S236" s="774"/>
      <c r="T236" s="774"/>
      <c r="U236" s="774"/>
      <c r="V236" s="774"/>
      <c r="W236" s="774"/>
    </row>
    <row r="237" spans="10:35" ht="15.6">
      <c r="J237" s="803"/>
      <c r="K237" s="774"/>
      <c r="L237" s="774"/>
      <c r="M237" s="774"/>
      <c r="N237" s="774"/>
      <c r="O237" s="774"/>
      <c r="P237" s="774"/>
      <c r="Q237" s="774"/>
      <c r="R237" s="774"/>
      <c r="S237" s="774"/>
      <c r="T237" s="774"/>
      <c r="U237" s="774"/>
      <c r="V237" s="774"/>
      <c r="W237" s="774"/>
    </row>
    <row r="238" spans="10:35" ht="15.6">
      <c r="J238" s="792" t="s">
        <v>142</v>
      </c>
      <c r="K238" s="793" t="s">
        <v>110</v>
      </c>
      <c r="L238" s="778" t="s">
        <v>168</v>
      </c>
      <c r="M238" s="779"/>
      <c r="N238" s="779"/>
      <c r="O238" s="779"/>
      <c r="P238" s="779"/>
      <c r="Q238" s="779"/>
      <c r="R238" s="779"/>
      <c r="S238" s="779"/>
      <c r="T238" s="779"/>
      <c r="U238" s="779"/>
      <c r="V238" s="780"/>
      <c r="W238" s="745"/>
      <c r="X238" s="759"/>
      <c r="Y238" s="760"/>
      <c r="Z238" s="761"/>
      <c r="AA238" s="761"/>
      <c r="AB238" s="761"/>
      <c r="AC238" s="761"/>
      <c r="AD238" s="761"/>
      <c r="AE238" s="756"/>
      <c r="AF238" s="756"/>
      <c r="AG238" s="762"/>
      <c r="AH238" s="762"/>
      <c r="AI238" s="762"/>
    </row>
    <row r="239" spans="10:35" ht="15.6">
      <c r="J239" s="782"/>
      <c r="K239" s="795"/>
      <c r="L239" s="783">
        <v>10</v>
      </c>
      <c r="M239" s="784">
        <v>20</v>
      </c>
      <c r="N239" s="784">
        <v>50</v>
      </c>
      <c r="O239" s="784">
        <v>100</v>
      </c>
      <c r="P239" s="784">
        <v>200</v>
      </c>
      <c r="Q239" s="784">
        <v>500</v>
      </c>
      <c r="R239" s="784">
        <v>1000</v>
      </c>
      <c r="S239" s="784">
        <v>2000</v>
      </c>
      <c r="T239" s="784">
        <v>5000</v>
      </c>
      <c r="U239" s="784">
        <v>8000</v>
      </c>
      <c r="V239" s="784">
        <v>10000</v>
      </c>
      <c r="W239" s="745"/>
      <c r="X239" s="759" t="s">
        <v>145</v>
      </c>
      <c r="Y239" s="767">
        <v>10</v>
      </c>
      <c r="Z239" s="768" t="s">
        <v>146</v>
      </c>
      <c r="AA239" s="768" t="s">
        <v>147</v>
      </c>
      <c r="AB239" s="768" t="s">
        <v>148</v>
      </c>
      <c r="AC239" s="768" t="s">
        <v>149</v>
      </c>
      <c r="AD239" s="768" t="s">
        <v>150</v>
      </c>
      <c r="AE239" s="768" t="s">
        <v>151</v>
      </c>
      <c r="AF239" s="768" t="s">
        <v>152</v>
      </c>
      <c r="AG239" s="768" t="s">
        <v>153</v>
      </c>
      <c r="AH239" s="768" t="s">
        <v>169</v>
      </c>
      <c r="AI239" s="768" t="s">
        <v>170</v>
      </c>
    </row>
    <row r="240" spans="10:35" ht="15.6">
      <c r="J240" s="788">
        <v>1</v>
      </c>
      <c r="K240" s="788" t="s">
        <v>112</v>
      </c>
      <c r="L240" s="787">
        <v>4.29</v>
      </c>
      <c r="M240" s="787">
        <v>3.75</v>
      </c>
      <c r="N240" s="787">
        <v>3.17</v>
      </c>
      <c r="O240" s="787">
        <v>2.85</v>
      </c>
      <c r="P240" s="787">
        <v>2.6</v>
      </c>
      <c r="Q240" s="787">
        <v>2.21</v>
      </c>
      <c r="R240" s="787">
        <v>1.87</v>
      </c>
      <c r="S240" s="787">
        <v>1.58</v>
      </c>
      <c r="T240" s="787">
        <v>1.22</v>
      </c>
      <c r="U240" s="787">
        <v>0.95</v>
      </c>
      <c r="V240" s="787">
        <v>0.83</v>
      </c>
      <c r="W240" s="745"/>
      <c r="X240" s="770">
        <f>SUM(Y240:AI240)</f>
        <v>4.29</v>
      </c>
      <c r="Y240" s="771">
        <f>IF($Y$82&lt;=$L$239,L240,0)</f>
        <v>4.29</v>
      </c>
      <c r="Z240" s="772">
        <f>IF(AND($Y$82&gt;10,$Y$82&lt;20),L240+(M240-L240)*($Y$82-$L$239)/($M$239-$L$239),0)</f>
        <v>0</v>
      </c>
      <c r="AA240" s="772">
        <f>IF(AND($Y$82&gt;20,$Y$82&lt;50),M240+(N240-M240)*($Y$82-$M$239)/($N$239-$M$239),0)</f>
        <v>0</v>
      </c>
      <c r="AB240" s="772">
        <f>IF(AND($Y$82&gt;50,$Y$82&lt;100),N240+(O240-N240)*($Y$82-$N$239)/($O$239-$N$239),0)</f>
        <v>0</v>
      </c>
      <c r="AC240" s="772">
        <f>IF(AND($Y$82&gt;100,$Y$82&lt;200),O240+(P240-O240)*($Y$82-$O$239)/($P$239-$O$239),0)</f>
        <v>0</v>
      </c>
      <c r="AD240" s="772">
        <f>IF(AND($Y$82&gt;200,$Y$82&lt;500),P240+(Q240-P240)*($Y$82-$P$239)/($Q$239-$P$239),0)</f>
        <v>0</v>
      </c>
      <c r="AE240" s="772">
        <f>IF(AND($Y$82&gt;500,$Y$82&lt;1000),Q240+(R240-Q240)*($Y$82-$Q$239)/($R$239-$Q$239),0)</f>
        <v>0</v>
      </c>
      <c r="AF240" s="772">
        <f>IF(AND($Y$82&gt;1000,$Y$82&lt;2000),R240+(S240-R240)*($Y$82-$R$239)/($S$239-$R$239),0)</f>
        <v>0</v>
      </c>
      <c r="AG240" s="772">
        <f>IF(AND($Y$82&gt;2000,$Y$82&lt;5000),S240+(T240-S240)*($Y$82-$S$239)/($T$239-$S$239),0)</f>
        <v>0</v>
      </c>
      <c r="AH240" s="772">
        <f>IF(AND($Y$82&gt;5000,$Y$82&lt;8000),T240+(U240-T240)*($Y$82-$T$239)/($U$239-$T$239),0)</f>
        <v>0</v>
      </c>
      <c r="AI240" s="772">
        <f>IF(AND($Y$82&gt;8000,$Y$82&lt;10000),U240+(V240-U240)*($Y$82-$U$239)/($V$239-$U$239),0)</f>
        <v>0</v>
      </c>
    </row>
    <row r="241" spans="10:35" ht="15.6">
      <c r="J241" s="788">
        <v>2</v>
      </c>
      <c r="K241" s="788" t="s">
        <v>113</v>
      </c>
      <c r="L241" s="787">
        <v>3.89</v>
      </c>
      <c r="M241" s="787">
        <v>3.4</v>
      </c>
      <c r="N241" s="787">
        <v>2.87</v>
      </c>
      <c r="O241" s="787">
        <v>2.57</v>
      </c>
      <c r="P241" s="787">
        <v>2.36</v>
      </c>
      <c r="Q241" s="787">
        <v>2</v>
      </c>
      <c r="R241" s="787">
        <v>1.69</v>
      </c>
      <c r="S241" s="787">
        <v>1.43</v>
      </c>
      <c r="T241" s="787">
        <v>1.1000000000000001</v>
      </c>
      <c r="U241" s="787">
        <v>0.85</v>
      </c>
      <c r="V241" s="787">
        <v>0.74</v>
      </c>
      <c r="W241" s="745"/>
      <c r="X241" s="770">
        <f>SUM(Y241:AI241)</f>
        <v>3.89</v>
      </c>
      <c r="Y241" s="771">
        <f>IF($Y$82&lt;=$L$239,L241,0)</f>
        <v>3.89</v>
      </c>
      <c r="Z241" s="772">
        <f>IF(AND($Y$82&gt;10,$Y$82&lt;20),L241+(M241-L241)*($Y$82-$L$239)/($M$239-$L$239),0)</f>
        <v>0</v>
      </c>
      <c r="AA241" s="772">
        <f>IF(AND($Y$82&gt;20,$Y$82&lt;50),M241+(N241-M241)*($Y$82-$M$239)/($N$239-$M$239),0)</f>
        <v>0</v>
      </c>
      <c r="AB241" s="772">
        <f>IF(AND($Y$82&gt;50,$Y$82&lt;100),N241+(O241-N241)*($Y$82-$N$239)/($O$239-$N$239),0)</f>
        <v>0</v>
      </c>
      <c r="AC241" s="772">
        <f>IF(AND($Y$82&gt;100,$Y$82&lt;200),O241+(P241-O241)*($Y$82-$O$239)/($P$239-$O$239),0)</f>
        <v>0</v>
      </c>
      <c r="AD241" s="772">
        <f>IF(AND($Y$82&gt;200,$Y$82&lt;500),P241+(Q241-P241)*($Y$82-$P$239)/($Q$239-$P$239),0)</f>
        <v>0</v>
      </c>
      <c r="AE241" s="772">
        <f>IF(AND($Y$82&gt;500,$Y$82&lt;1000),Q241+(R241-Q241)*($Y$82-$Q$239)/($R$239-$Q$239),0)</f>
        <v>0</v>
      </c>
      <c r="AF241" s="772">
        <f>IF(AND($Y$82&gt;1000,$Y$82&lt;2000),R241+(S241-R241)*($Y$82-$R$239)/($S$239-$R$239),0)</f>
        <v>0</v>
      </c>
      <c r="AG241" s="772">
        <f>IF(AND($Y$82&gt;2000,$Y$82&lt;5000),S241+(T241-S241)*($Y$82-$S$239)/($T$239-$S$239),0)</f>
        <v>0</v>
      </c>
      <c r="AH241" s="772">
        <f>IF(AND($Y$82&gt;5000,$Y$82&lt;8000),T241+(U241-T241)*($Y$82-$T$239)/($U$239-$T$239),0)</f>
        <v>0</v>
      </c>
      <c r="AI241" s="772">
        <f>IF(AND($Y$82&gt;8000,$Y$82&lt;10000),U241+(V241-U241)*($Y$82-$U$239)/($V$239-$U$239),0)</f>
        <v>0</v>
      </c>
    </row>
    <row r="242" spans="10:35" ht="15.6">
      <c r="J242" s="788">
        <v>3</v>
      </c>
      <c r="K242" s="788" t="s">
        <v>115</v>
      </c>
      <c r="L242" s="787">
        <v>3.53</v>
      </c>
      <c r="M242" s="787">
        <v>3.11</v>
      </c>
      <c r="N242" s="787">
        <v>2.62</v>
      </c>
      <c r="O242" s="787">
        <v>2.34</v>
      </c>
      <c r="P242" s="787">
        <v>2.15</v>
      </c>
      <c r="Q242" s="787">
        <v>1.73</v>
      </c>
      <c r="R242" s="787">
        <v>1.48</v>
      </c>
      <c r="S242" s="787">
        <v>1.25</v>
      </c>
      <c r="T242" s="787">
        <v>0.96</v>
      </c>
      <c r="U242" s="787">
        <v>0.69</v>
      </c>
      <c r="V242" s="787">
        <v>0.57999999999999996</v>
      </c>
      <c r="W242" s="745"/>
      <c r="X242" s="770">
        <f>SUM(Y242:AI242)</f>
        <v>3.53</v>
      </c>
      <c r="Y242" s="771">
        <f>IF($Y$82&lt;=$L$239,L242,0)</f>
        <v>3.53</v>
      </c>
      <c r="Z242" s="772">
        <f>IF(AND($Y$82&gt;10,$Y$82&lt;20),L242+(M242-L242)*($Y$82-$L$239)/($M$239-$L$239),0)</f>
        <v>0</v>
      </c>
      <c r="AA242" s="772">
        <f>IF(AND($Y$82&gt;20,$Y$82&lt;50),M242+(N242-M242)*($Y$82-$M$239)/($N$239-$M$239),0)</f>
        <v>0</v>
      </c>
      <c r="AB242" s="772">
        <f>IF(AND($Y$82&gt;50,$Y$82&lt;100),N242+(O242-N242)*($Y$82-$N$239)/($O$239-$N$239),0)</f>
        <v>0</v>
      </c>
      <c r="AC242" s="772">
        <f>IF(AND($Y$82&gt;100,$Y$82&lt;200),O242+(P242-O242)*($Y$82-$O$239)/($P$239-$O$239),0)</f>
        <v>0</v>
      </c>
      <c r="AD242" s="772">
        <f>IF(AND($Y$82&gt;200,$Y$82&lt;500),P242+(Q242-P242)*($Y$82-$P$239)/($Q$239-$P$239),0)</f>
        <v>0</v>
      </c>
      <c r="AE242" s="772">
        <f>IF(AND($Y$82&gt;500,$Y$82&lt;1000),Q242+(R242-Q242)*($Y$82-$Q$239)/($R$239-$Q$239),0)</f>
        <v>0</v>
      </c>
      <c r="AF242" s="772">
        <f>IF(AND($Y$82&gt;1000,$Y$82&lt;2000),R242+(S242-R242)*($Y$82-$R$239)/($S$239-$R$239),0)</f>
        <v>0</v>
      </c>
      <c r="AG242" s="772">
        <f>IF(AND($Y$82&gt;2000,$Y$82&lt;5000),S242+(T242-S242)*($Y$82-$S$239)/($T$239-$S$239),0)</f>
        <v>0</v>
      </c>
      <c r="AH242" s="772">
        <f>IF(AND($Y$82&gt;5000,$Y$82&lt;8000),T242+(U242-T242)*($Y$82-$T$239)/($U$239-$T$239),0)</f>
        <v>0</v>
      </c>
      <c r="AI242" s="772">
        <f>IF(AND($Y$82&gt;8000,$Y$82&lt;10000),U242+(V242-U242)*($Y$82-$U$239)/($V$239-$U$239),0)</f>
        <v>0</v>
      </c>
    </row>
    <row r="243" spans="10:35" ht="15.6">
      <c r="J243" s="788">
        <v>4</v>
      </c>
      <c r="K243" s="788" t="s">
        <v>117</v>
      </c>
      <c r="L243" s="787">
        <v>3.13</v>
      </c>
      <c r="M243" s="787">
        <v>2.76</v>
      </c>
      <c r="N243" s="787">
        <v>2.31</v>
      </c>
      <c r="O243" s="787">
        <v>2.0699999999999998</v>
      </c>
      <c r="P243" s="787">
        <v>1.79</v>
      </c>
      <c r="Q243" s="787">
        <v>1.52</v>
      </c>
      <c r="R243" s="787">
        <v>1.29</v>
      </c>
      <c r="S243" s="787">
        <v>1.1000000000000001</v>
      </c>
      <c r="T243" s="787">
        <v>0.83</v>
      </c>
      <c r="U243" s="787">
        <v>0.6</v>
      </c>
      <c r="V243" s="787">
        <v>0.51</v>
      </c>
      <c r="W243" s="745"/>
      <c r="X243" s="770">
        <f>SUM(Y243:AI243)</f>
        <v>3.13</v>
      </c>
      <c r="Y243" s="771">
        <f>IF($Y$82&lt;=$L$239,L243,0)</f>
        <v>3.13</v>
      </c>
      <c r="Z243" s="772">
        <f>IF(AND($Y$82&gt;10,$Y$82&lt;20),L243+(M243-L243)*($Y$82-$L$239)/($M$239-$L$239),0)</f>
        <v>0</v>
      </c>
      <c r="AA243" s="772">
        <f>IF(AND($Y$82&gt;20,$Y$82&lt;50),M243+(N243-M243)*($Y$82-$M$239)/($N$239-$M$239),0)</f>
        <v>0</v>
      </c>
      <c r="AB243" s="772">
        <f>IF(AND($Y$82&gt;50,$Y$82&lt;100),N243+(O243-N243)*($Y$82-$N$239)/($O$239-$N$239),0)</f>
        <v>0</v>
      </c>
      <c r="AC243" s="772">
        <f>IF(AND($Y$82&gt;100,$Y$82&lt;200),O243+(P243-O243)*($Y$82-$O$239)/($P$239-$O$239),0)</f>
        <v>0</v>
      </c>
      <c r="AD243" s="772">
        <f>IF(AND($Y$82&gt;200,$Y$82&lt;500),P243+(Q243-P243)*($Y$82-$P$239)/($Q$239-$P$239),0)</f>
        <v>0</v>
      </c>
      <c r="AE243" s="772">
        <f>IF(AND($Y$82&gt;500,$Y$82&lt;1000),Q243+(R243-Q243)*($Y$82-$Q$239)/($R$239-$Q$239),0)</f>
        <v>0</v>
      </c>
      <c r="AF243" s="772">
        <f>IF(AND($Y$82&gt;1000,$Y$82&lt;2000),R243+(S243-R243)*($Y$82-$R$239)/($S$239-$R$239),0)</f>
        <v>0</v>
      </c>
      <c r="AG243" s="772">
        <f>IF(AND($Y$82&gt;2000,$Y$82&lt;5000),S243+(T243-S243)*($Y$82-$S$239)/($T$239-$S$239),0)</f>
        <v>0</v>
      </c>
      <c r="AH243" s="772">
        <f>IF(AND($Y$82&gt;5000,$Y$82&lt;8000),T243+(U243-T243)*($Y$82-$T$239)/($U$239-$T$239),0)</f>
        <v>0</v>
      </c>
      <c r="AI243" s="772">
        <f>IF(AND($Y$82&gt;8000,$Y$82&lt;10000),U243+(V243-U243)*($Y$82-$U$239)/($V$239-$U$239),0)</f>
        <v>0</v>
      </c>
    </row>
    <row r="244" spans="10:35" ht="15.6">
      <c r="J244" s="788">
        <v>5</v>
      </c>
      <c r="K244" s="788" t="s">
        <v>92</v>
      </c>
      <c r="L244" s="787">
        <v>2.48</v>
      </c>
      <c r="M244" s="787">
        <v>2.19</v>
      </c>
      <c r="N244" s="787">
        <v>1.82</v>
      </c>
      <c r="O244" s="787">
        <v>1.61</v>
      </c>
      <c r="P244" s="787">
        <v>1.41</v>
      </c>
      <c r="Q244" s="787">
        <v>1.1399999999999999</v>
      </c>
      <c r="R244" s="787"/>
      <c r="S244" s="787"/>
      <c r="T244" s="787"/>
      <c r="U244" s="787"/>
      <c r="V244" s="787"/>
      <c r="W244" s="745"/>
      <c r="X244" s="770">
        <f>SUM(Y244:AI244)</f>
        <v>2.48</v>
      </c>
      <c r="Y244" s="771">
        <f>IF($Y$82&lt;=$L$239,L244,0)</f>
        <v>2.48</v>
      </c>
      <c r="Z244" s="772">
        <f>IF(AND($Y$82&gt;10,$Y$82&lt;20),L244+(M244-L244)*($Y$82-$L$239)/($M$239-$L$239),0)</f>
        <v>0</v>
      </c>
      <c r="AA244" s="772">
        <f>IF(AND($Y$82&gt;20,$Y$82&lt;50),M244+(N244-M244)*($Y$82-$M$239)/($N$239-$M$239),0)</f>
        <v>0</v>
      </c>
      <c r="AB244" s="772">
        <f>IF(AND($Y$82&gt;50,$Y$82&lt;100),N244+(O244-N244)*($Y$82-$N$239)/($O$239-$N$239),0)</f>
        <v>0</v>
      </c>
      <c r="AC244" s="772">
        <f>IF(AND($Y$82&gt;100,$Y$82&lt;200),O244+(P244-O244)*($Y$82-$O$239)/($P$239-$O$239),0)</f>
        <v>0</v>
      </c>
      <c r="AD244" s="772">
        <f>IF(AND($Y$82&gt;200,$Y$82&lt;500),P244+(Q244-P244)*($Y$82-$P$239)/($Q$239-$P$239),0)</f>
        <v>0</v>
      </c>
      <c r="AE244" s="772">
        <f>IF(AND($Y$82&gt;500,$Y$82&lt;1000),Q244+(R244-Q244)*($Y$82-$Q$239)/($R$239-$Q$239),0)</f>
        <v>0</v>
      </c>
      <c r="AF244" s="772">
        <f>IF(AND($Y$82&gt;1000,$Y$82&lt;2000),R244+(S244-R244)*($Y$82-$R$239)/($S$239-$R$239),0)</f>
        <v>0</v>
      </c>
      <c r="AG244" s="772">
        <f>IF(AND($Y$82&gt;2000,$Y$82&lt;5000),S244+(T244-S244)*($Y$82-$S$239)/($T$239-$S$239),0)</f>
        <v>0</v>
      </c>
      <c r="AH244" s="772">
        <f>IF(AND($Y$82&gt;5000,$Y$82&lt;8000),T244+(U244-T244)*($Y$82-$T$239)/($U$239-$T$239),0)</f>
        <v>0</v>
      </c>
      <c r="AI244" s="772">
        <f>IF(AND($Y$82&gt;8000,$Y$82&lt;10000),U244+(V244-U244)*($Y$82-$U$239)/($V$239-$U$239),0)</f>
        <v>0</v>
      </c>
    </row>
    <row r="247" spans="10:35" ht="15.6">
      <c r="J247" s="773" t="s">
        <v>198</v>
      </c>
      <c r="K247" s="774"/>
      <c r="L247" s="774"/>
      <c r="M247" s="774"/>
      <c r="N247" s="774"/>
      <c r="O247" s="774"/>
      <c r="P247" s="774"/>
      <c r="Q247" s="774"/>
      <c r="R247" s="774"/>
      <c r="S247" s="774"/>
      <c r="T247" s="774"/>
      <c r="U247" s="774"/>
      <c r="V247" s="774"/>
      <c r="W247" s="774"/>
    </row>
    <row r="248" spans="10:35" ht="15.6">
      <c r="J248" s="803"/>
      <c r="K248" s="774"/>
      <c r="L248" s="774"/>
      <c r="M248" s="774"/>
      <c r="N248" s="774"/>
      <c r="O248" s="774"/>
      <c r="P248" s="774"/>
      <c r="Q248" s="774"/>
      <c r="R248" s="774"/>
      <c r="S248" s="774"/>
      <c r="T248" s="774"/>
      <c r="U248" s="774"/>
      <c r="V248" s="774"/>
      <c r="W248" s="774"/>
    </row>
    <row r="249" spans="10:35" ht="15.6">
      <c r="J249" s="792" t="s">
        <v>142</v>
      </c>
      <c r="K249" s="793" t="s">
        <v>110</v>
      </c>
      <c r="L249" s="778" t="s">
        <v>168</v>
      </c>
      <c r="M249" s="779"/>
      <c r="N249" s="779"/>
      <c r="O249" s="779"/>
      <c r="P249" s="779"/>
      <c r="Q249" s="779"/>
      <c r="R249" s="779"/>
      <c r="S249" s="779"/>
      <c r="T249" s="779"/>
      <c r="U249" s="779"/>
      <c r="V249" s="780"/>
      <c r="W249" s="745"/>
      <c r="X249" s="759"/>
      <c r="Y249" s="760"/>
      <c r="Z249" s="761"/>
      <c r="AA249" s="761"/>
      <c r="AB249" s="761"/>
      <c r="AC249" s="761"/>
      <c r="AD249" s="761"/>
      <c r="AE249" s="756"/>
      <c r="AF249" s="756"/>
      <c r="AG249" s="762"/>
      <c r="AH249" s="762"/>
      <c r="AI249" s="762"/>
    </row>
    <row r="250" spans="10:35" ht="15.6">
      <c r="J250" s="782"/>
      <c r="K250" s="795"/>
      <c r="L250" s="783">
        <v>10</v>
      </c>
      <c r="M250" s="784">
        <v>20</v>
      </c>
      <c r="N250" s="784">
        <v>50</v>
      </c>
      <c r="O250" s="784">
        <v>100</v>
      </c>
      <c r="P250" s="784">
        <v>200</v>
      </c>
      <c r="Q250" s="784">
        <v>500</v>
      </c>
      <c r="R250" s="784">
        <v>1000</v>
      </c>
      <c r="S250" s="784">
        <v>2000</v>
      </c>
      <c r="T250" s="784">
        <v>5000</v>
      </c>
      <c r="U250" s="784">
        <v>8000</v>
      </c>
      <c r="V250" s="784">
        <v>10000</v>
      </c>
      <c r="W250" s="745"/>
      <c r="X250" s="759" t="s">
        <v>145</v>
      </c>
      <c r="Y250" s="767">
        <v>10</v>
      </c>
      <c r="Z250" s="768" t="s">
        <v>146</v>
      </c>
      <c r="AA250" s="768" t="s">
        <v>147</v>
      </c>
      <c r="AB250" s="768" t="s">
        <v>148</v>
      </c>
      <c r="AC250" s="768" t="s">
        <v>149</v>
      </c>
      <c r="AD250" s="768" t="s">
        <v>150</v>
      </c>
      <c r="AE250" s="768" t="s">
        <v>151</v>
      </c>
      <c r="AF250" s="768" t="s">
        <v>152</v>
      </c>
      <c r="AG250" s="768" t="s">
        <v>153</v>
      </c>
      <c r="AH250" s="768" t="s">
        <v>169</v>
      </c>
      <c r="AI250" s="768" t="s">
        <v>170</v>
      </c>
    </row>
    <row r="251" spans="10:35" ht="15.6">
      <c r="J251" s="788">
        <v>1</v>
      </c>
      <c r="K251" s="786" t="s">
        <v>112</v>
      </c>
      <c r="L251" s="787">
        <v>2.2200000000000002</v>
      </c>
      <c r="M251" s="787">
        <v>1.94</v>
      </c>
      <c r="N251" s="787">
        <v>1.63</v>
      </c>
      <c r="O251" s="787">
        <v>1.48</v>
      </c>
      <c r="P251" s="787">
        <v>1.36</v>
      </c>
      <c r="Q251" s="787">
        <v>1.1399999999999999</v>
      </c>
      <c r="R251" s="787">
        <v>0.97</v>
      </c>
      <c r="S251" s="787">
        <v>0.83</v>
      </c>
      <c r="T251" s="787">
        <v>0.61</v>
      </c>
      <c r="U251" s="787">
        <v>0.48</v>
      </c>
      <c r="V251" s="787">
        <v>0.43</v>
      </c>
      <c r="W251" s="745"/>
      <c r="X251" s="770">
        <f>SUM(Y251:AI251)</f>
        <v>2.2200000000000002</v>
      </c>
      <c r="Y251" s="771">
        <f>IF($Y$82&lt;=$L$250,L251,0)</f>
        <v>2.2200000000000002</v>
      </c>
      <c r="Z251" s="772">
        <f>IF(AND($Y$82&gt;10,$Y$82&lt;20),L251+(M251-L251)*($Y$82-$L$250)/($M$250-$L$250),0)</f>
        <v>0</v>
      </c>
      <c r="AA251" s="772">
        <f>IF(AND($Y$82&gt;20,$Y$82&lt;50),M251+(N251-M251)*($Y$82-$M$250)/($N$250-$M$250),0)</f>
        <v>0</v>
      </c>
      <c r="AB251" s="772">
        <f>IF(AND($Y$82&gt;50,$Y$82&lt;100),N251+(O251-N251)*($Y$82-$N$250)/($O$250-$N$250),0)</f>
        <v>0</v>
      </c>
      <c r="AC251" s="772">
        <f>IF(AND($Y$82&gt;100,$Y$82&lt;200),O251+(P251-O251)*($Y$82-$O$250)/($P$250-$O$250),0)</f>
        <v>0</v>
      </c>
      <c r="AD251" s="772">
        <f>IF(AND($Y$82&gt;200,$Y$82&lt;500),P251+(Q251-P251)*($Y$82-$P$250)/($Q$250-$P$250),0)</f>
        <v>0</v>
      </c>
      <c r="AE251" s="772">
        <f>IF(AND($Y$82&gt;500,$Y$82&lt;1000),Q251+(R251-Q251)*($Y$82-$Q$250)/($R$250-$Q$250),0)</f>
        <v>0</v>
      </c>
      <c r="AF251" s="772">
        <f>IF(AND($Y$82&gt;1000,$Y$82&lt;2000),R251+(S251-R251)*($Y$82-$R$250)/($S$250-$R$250),0)</f>
        <v>0</v>
      </c>
      <c r="AG251" s="772">
        <f>IF(AND($Y$82&gt;2000,$Y$82&lt;5000),S251+(T251-S251)*($Y$82-$S$250)/($T$250-$S$250),0)</f>
        <v>0</v>
      </c>
      <c r="AH251" s="772">
        <f>IF(AND($Y$82&gt;5000,$Y$82&lt;8000),T251+(U251-T251)*($Y$82-$T$250)/($U$250-$T$250),0)</f>
        <v>0</v>
      </c>
      <c r="AI251" s="772">
        <f>IF(AND($Y$82&gt;8000,$Y$82&lt;10000),U251+(V251-U251)*($Y$82-$U$250)/($V$250-$U$250),0)</f>
        <v>0</v>
      </c>
    </row>
    <row r="252" spans="10:35" ht="15.6">
      <c r="J252" s="788">
        <v>2</v>
      </c>
      <c r="K252" s="786" t="s">
        <v>113</v>
      </c>
      <c r="L252" s="787">
        <v>2.09</v>
      </c>
      <c r="M252" s="787">
        <v>1.83</v>
      </c>
      <c r="N252" s="787">
        <v>1.53</v>
      </c>
      <c r="O252" s="787">
        <v>1.38</v>
      </c>
      <c r="P252" s="787">
        <v>1.28</v>
      </c>
      <c r="Q252" s="787">
        <v>1.04</v>
      </c>
      <c r="R252" s="787">
        <v>0.9</v>
      </c>
      <c r="S252" s="787">
        <v>0.75</v>
      </c>
      <c r="T252" s="787">
        <v>0.53</v>
      </c>
      <c r="U252" s="787">
        <v>0.39</v>
      </c>
      <c r="V252" s="787">
        <v>0.33</v>
      </c>
      <c r="W252" s="745"/>
      <c r="X252" s="770">
        <f>SUM(Y252:AI252)</f>
        <v>2.09</v>
      </c>
      <c r="Y252" s="771">
        <f>IF($Y$82&lt;=$L$250,L252,0)</f>
        <v>2.09</v>
      </c>
      <c r="Z252" s="772">
        <f>IF(AND($Y$82&gt;10,$Y$82&lt;20),L252+(M252-L252)*($Y$82-$L$250)/($M$250-$L$250),0)</f>
        <v>0</v>
      </c>
      <c r="AA252" s="772">
        <f>IF(AND($Y$82&gt;20,$Y$82&lt;50),M252+(N252-M252)*($Y$82-$M$250)/($N$250-$M$250),0)</f>
        <v>0</v>
      </c>
      <c r="AB252" s="772">
        <f>IF(AND($Y$82&gt;50,$Y$82&lt;100),N252+(O252-N252)*($Y$82-$N$250)/($O$250-$N$250),0)</f>
        <v>0</v>
      </c>
      <c r="AC252" s="772">
        <f>IF(AND($Y$82&gt;100,$Y$82&lt;200),O252+(P252-O252)*($Y$82-$O$250)/($P$250-$O$250),0)</f>
        <v>0</v>
      </c>
      <c r="AD252" s="772">
        <f>IF(AND($Y$82&gt;200,$Y$82&lt;500),P252+(Q252-P252)*($Y$82-$P$250)/($Q$250-$P$250),0)</f>
        <v>0</v>
      </c>
      <c r="AE252" s="772">
        <f>IF(AND($Y$82&gt;500,$Y$82&lt;1000),Q252+(R252-Q252)*($Y$82-$Q$250)/($R$250-$Q$250),0)</f>
        <v>0</v>
      </c>
      <c r="AF252" s="772">
        <f>IF(AND($Y$82&gt;1000,$Y$82&lt;2000),R252+(S252-R252)*($Y$82-$R$250)/($S$250-$R$250),0)</f>
        <v>0</v>
      </c>
      <c r="AG252" s="772">
        <f>IF(AND($Y$82&gt;2000,$Y$82&lt;5000),S252+(T252-S252)*($Y$82-$S$250)/($T$250-$S$250),0)</f>
        <v>0</v>
      </c>
      <c r="AH252" s="772">
        <f>IF(AND($Y$82&gt;5000,$Y$82&lt;8000),T252+(U252-T252)*($Y$82-$T$250)/($U$250-$T$250),0)</f>
        <v>0</v>
      </c>
      <c r="AI252" s="772">
        <f>IF(AND($Y$82&gt;8000,$Y$82&lt;10000),U252+(V252-U252)*($Y$82-$U$250)/($V$250-$U$250),0)</f>
        <v>0</v>
      </c>
    </row>
    <row r="253" spans="10:35" ht="15.6">
      <c r="J253" s="788">
        <v>3</v>
      </c>
      <c r="K253" s="786" t="s">
        <v>115</v>
      </c>
      <c r="L253" s="787">
        <v>1.86</v>
      </c>
      <c r="M253" s="787">
        <v>1.62</v>
      </c>
      <c r="N253" s="787">
        <v>1.36</v>
      </c>
      <c r="O253" s="787">
        <v>1.22</v>
      </c>
      <c r="P253" s="787">
        <v>1.1299999999999999</v>
      </c>
      <c r="Q253" s="787">
        <v>0.91</v>
      </c>
      <c r="R253" s="787">
        <v>0.78</v>
      </c>
      <c r="S253" s="787">
        <v>0.66</v>
      </c>
      <c r="T253" s="787">
        <v>0.47</v>
      </c>
      <c r="U253" s="787">
        <v>0.34</v>
      </c>
      <c r="V253" s="787">
        <v>0.28999999999999998</v>
      </c>
      <c r="W253" s="745"/>
      <c r="X253" s="770">
        <f>SUM(Y253:AI253)</f>
        <v>1.86</v>
      </c>
      <c r="Y253" s="771">
        <f>IF($Y$82&lt;=$L$250,L253,0)</f>
        <v>1.86</v>
      </c>
      <c r="Z253" s="772">
        <f>IF(AND($Y$82&gt;10,$Y$82&lt;20),L253+(M253-L253)*($Y$82-$L$250)/($M$250-$L$250),0)</f>
        <v>0</v>
      </c>
      <c r="AA253" s="772">
        <f>IF(AND($Y$82&gt;20,$Y$82&lt;50),M253+(N253-M253)*($Y$82-$M$250)/($N$250-$M$250),0)</f>
        <v>0</v>
      </c>
      <c r="AB253" s="772">
        <f>IF(AND($Y$82&gt;50,$Y$82&lt;100),N253+(O253-N253)*($Y$82-$N$250)/($O$250-$N$250),0)</f>
        <v>0</v>
      </c>
      <c r="AC253" s="772">
        <f>IF(AND($Y$82&gt;100,$Y$82&lt;200),O253+(P253-O253)*($Y$82-$O$250)/($P$250-$O$250),0)</f>
        <v>0</v>
      </c>
      <c r="AD253" s="772">
        <f>IF(AND($Y$82&gt;200,$Y$82&lt;500),P253+(Q253-P253)*($Y$82-$P$250)/($Q$250-$P$250),0)</f>
        <v>0</v>
      </c>
      <c r="AE253" s="772">
        <f>IF(AND($Y$82&gt;500,$Y$82&lt;1000),Q253+(R253-Q253)*($Y$82-$Q$250)/($R$250-$Q$250),0)</f>
        <v>0</v>
      </c>
      <c r="AF253" s="772">
        <f>IF(AND($Y$82&gt;1000,$Y$82&lt;2000),R253+(S253-R253)*($Y$82-$R$250)/($S$250-$R$250),0)</f>
        <v>0</v>
      </c>
      <c r="AG253" s="772">
        <f>IF(AND($Y$82&gt;2000,$Y$82&lt;5000),S253+(T253-S253)*($Y$82-$S$250)/($T$250-$S$250),0)</f>
        <v>0</v>
      </c>
      <c r="AH253" s="772">
        <f>IF(AND($Y$82&gt;5000,$Y$82&lt;8000),T253+(U253-T253)*($Y$82-$T$250)/($U$250-$T$250),0)</f>
        <v>0</v>
      </c>
      <c r="AI253" s="772">
        <f>IF(AND($Y$82&gt;8000,$Y$82&lt;10000),U253+(V253-U253)*($Y$82-$U$250)/($V$250-$U$250),0)</f>
        <v>0</v>
      </c>
    </row>
    <row r="254" spans="10:35" ht="15.6">
      <c r="J254" s="788">
        <v>4</v>
      </c>
      <c r="K254" s="786" t="s">
        <v>117</v>
      </c>
      <c r="L254" s="787">
        <v>1.62</v>
      </c>
      <c r="M254" s="787">
        <v>1.39</v>
      </c>
      <c r="N254" s="787">
        <v>1.19</v>
      </c>
      <c r="O254" s="787">
        <v>1.07</v>
      </c>
      <c r="P254" s="787">
        <v>0.97</v>
      </c>
      <c r="Q254" s="787">
        <v>0.8</v>
      </c>
      <c r="R254" s="787">
        <v>0.7</v>
      </c>
      <c r="S254" s="787">
        <v>0.56000000000000005</v>
      </c>
      <c r="T254" s="787">
        <v>0.41</v>
      </c>
      <c r="U254" s="787">
        <v>0.28999999999999998</v>
      </c>
      <c r="V254" s="787">
        <v>0.25</v>
      </c>
      <c r="W254" s="745"/>
      <c r="X254" s="770">
        <f>SUM(Y254:AI254)</f>
        <v>1.62</v>
      </c>
      <c r="Y254" s="771">
        <f>IF($Y$82&lt;=$L$250,L254,0)</f>
        <v>1.62</v>
      </c>
      <c r="Z254" s="772">
        <f>IF(AND($Y$82&gt;10,$Y$82&lt;20),L254+(M254-L254)*($Y$82-$L$250)/($M$250-$L$250),0)</f>
        <v>0</v>
      </c>
      <c r="AA254" s="772">
        <f>IF(AND($Y$82&gt;20,$Y$82&lt;50),M254+(N254-M254)*($Y$82-$M$250)/($N$250-$M$250),0)</f>
        <v>0</v>
      </c>
      <c r="AB254" s="772">
        <f>IF(AND($Y$82&gt;50,$Y$82&lt;100),N254+(O254-N254)*($Y$82-$N$250)/($O$250-$N$250),0)</f>
        <v>0</v>
      </c>
      <c r="AC254" s="772">
        <f>IF(AND($Y$82&gt;100,$Y$82&lt;200),O254+(P254-O254)*($Y$82-$O$250)/($P$250-$O$250),0)</f>
        <v>0</v>
      </c>
      <c r="AD254" s="772">
        <f>IF(AND($Y$82&gt;200,$Y$82&lt;500),P254+(Q254-P254)*($Y$82-$P$250)/($Q$250-$P$250),0)</f>
        <v>0</v>
      </c>
      <c r="AE254" s="772">
        <f>IF(AND($Y$82&gt;500,$Y$82&lt;1000),Q254+(R254-Q254)*($Y$82-$Q$250)/($R$250-$Q$250),0)</f>
        <v>0</v>
      </c>
      <c r="AF254" s="772">
        <f>IF(AND($Y$82&gt;1000,$Y$82&lt;2000),R254+(S254-R254)*($Y$82-$R$250)/($S$250-$R$250),0)</f>
        <v>0</v>
      </c>
      <c r="AG254" s="772">
        <f>IF(AND($Y$82&gt;2000,$Y$82&lt;5000),S254+(T254-S254)*($Y$82-$S$250)/($T$250-$S$250),0)</f>
        <v>0</v>
      </c>
      <c r="AH254" s="772">
        <f>IF(AND($Y$82&gt;5000,$Y$82&lt;8000),T254+(U254-T254)*($Y$82-$T$250)/($U$250-$T$250),0)</f>
        <v>0</v>
      </c>
      <c r="AI254" s="772">
        <f>IF(AND($Y$82&gt;8000,$Y$82&lt;10000),U254+(V254-U254)*($Y$82-$U$250)/($V$250-$U$250),0)</f>
        <v>0</v>
      </c>
    </row>
    <row r="255" spans="10:35" ht="15.6">
      <c r="J255" s="788">
        <v>5</v>
      </c>
      <c r="K255" s="786" t="s">
        <v>92</v>
      </c>
      <c r="L255" s="787">
        <v>1.45</v>
      </c>
      <c r="M255" s="787">
        <v>1.23</v>
      </c>
      <c r="N255" s="787">
        <v>1.01</v>
      </c>
      <c r="O255" s="787">
        <v>0.92000000000001303</v>
      </c>
      <c r="P255" s="787">
        <v>0.8</v>
      </c>
      <c r="Q255" s="787">
        <v>0.7</v>
      </c>
      <c r="R255" s="787">
        <v>0.57999999999999996</v>
      </c>
      <c r="S255" s="787"/>
      <c r="T255" s="787"/>
      <c r="U255" s="787"/>
      <c r="V255" s="787"/>
      <c r="W255" s="745"/>
      <c r="X255" s="770">
        <f>SUM(Y255:AI255)</f>
        <v>1.45</v>
      </c>
      <c r="Y255" s="771">
        <f>IF($Y$82&lt;=$L$250,L255,0)</f>
        <v>1.45</v>
      </c>
      <c r="Z255" s="772">
        <f>IF(AND($Y$82&gt;10,$Y$82&lt;20),L255+(M255-L255)*($Y$82-$L$250)/($M$250-$L$250),0)</f>
        <v>0</v>
      </c>
      <c r="AA255" s="772">
        <f>IF(AND($Y$82&gt;20,$Y$82&lt;50),M255+(N255-M255)*($Y$82-$M$250)/($N$250-$M$250),0)</f>
        <v>0</v>
      </c>
      <c r="AB255" s="772">
        <f>IF(AND($Y$82&gt;50,$Y$82&lt;100),N255+(O255-N255)*($Y$82-$N$250)/($O$250-$N$250),0)</f>
        <v>0</v>
      </c>
      <c r="AC255" s="772">
        <f>IF(AND($Y$82&gt;100,$Y$82&lt;200),O255+(P255-O255)*($Y$82-$O$250)/($P$250-$O$250),0)</f>
        <v>0</v>
      </c>
      <c r="AD255" s="772">
        <f>IF(AND($Y$82&gt;200,$Y$82&lt;500),P255+(Q255-P255)*($Y$82-$P$250)/($Q$250-$P$250),0)</f>
        <v>0</v>
      </c>
      <c r="AE255" s="772">
        <f>IF(AND($Y$82&gt;500,$Y$82&lt;1000),Q255+(R255-Q255)*($Y$82-$Q$250)/($R$250-$Q$250),0)</f>
        <v>0</v>
      </c>
      <c r="AF255" s="772">
        <f>IF(AND($Y$82&gt;1000,$Y$82&lt;2000),R255+(S255-R255)*($Y$82-$R$250)/($S$250-$R$250),0)</f>
        <v>0</v>
      </c>
      <c r="AG255" s="772">
        <f>IF(AND($Y$82&gt;2000,$Y$82&lt;5000),S255+(T255-S255)*($Y$82-$S$250)/($T$250-$S$250),0)</f>
        <v>0</v>
      </c>
      <c r="AH255" s="772">
        <f>IF(AND($Y$82&gt;5000,$Y$82&lt;8000),T255+(U255-T255)*($Y$82-$T$250)/($U$250-$T$250),0)</f>
        <v>0</v>
      </c>
      <c r="AI255" s="772">
        <f>IF(AND($Y$82&gt;8000,$Y$82&lt;10000),U255+(V255-U255)*($Y$82-$U$250)/($V$250-$U$250),0)</f>
        <v>0</v>
      </c>
    </row>
    <row r="257" spans="10:35" ht="18">
      <c r="L257" s="807" t="s">
        <v>199</v>
      </c>
      <c r="M257" s="774"/>
      <c r="N257" s="774"/>
      <c r="O257" s="774"/>
      <c r="P257" s="774"/>
      <c r="Q257" s="774"/>
      <c r="R257" s="774"/>
      <c r="S257" s="774"/>
    </row>
    <row r="258" spans="10:35" ht="15.6">
      <c r="L258" s="774"/>
      <c r="M258" s="774"/>
      <c r="N258" s="774"/>
      <c r="O258" s="774"/>
      <c r="P258" s="774"/>
      <c r="Q258" s="774"/>
      <c r="R258" s="774"/>
      <c r="S258" s="774"/>
    </row>
    <row r="259" spans="10:35" ht="15.6">
      <c r="K259" s="797" t="s">
        <v>182</v>
      </c>
      <c r="L259" s="881" t="s">
        <v>161</v>
      </c>
      <c r="M259" s="882"/>
      <c r="N259" s="882"/>
      <c r="O259" s="882"/>
      <c r="P259" s="882"/>
      <c r="Q259" s="882"/>
      <c r="R259" s="882"/>
      <c r="S259" s="883"/>
    </row>
    <row r="260" spans="10:35" ht="15.6">
      <c r="K260" s="797"/>
      <c r="L260" s="783">
        <v>5</v>
      </c>
      <c r="M260" s="796">
        <v>10</v>
      </c>
      <c r="N260" s="796">
        <v>15</v>
      </c>
      <c r="O260" s="796">
        <v>25</v>
      </c>
      <c r="P260" s="796">
        <v>50</v>
      </c>
      <c r="Q260" s="796">
        <v>100</v>
      </c>
      <c r="R260" s="796">
        <v>200</v>
      </c>
      <c r="S260" s="796">
        <v>500</v>
      </c>
    </row>
    <row r="261" spans="10:35" ht="15.6">
      <c r="K261" s="796" t="s">
        <v>200</v>
      </c>
      <c r="L261" s="796">
        <v>1.83</v>
      </c>
      <c r="M261" s="796">
        <v>1.4</v>
      </c>
      <c r="N261" s="796">
        <v>1.3</v>
      </c>
      <c r="O261" s="796">
        <v>1.1000000000000001</v>
      </c>
      <c r="P261" s="796">
        <v>0.95</v>
      </c>
      <c r="Q261" s="796">
        <v>0.8</v>
      </c>
      <c r="R261" s="796">
        <v>0.7</v>
      </c>
      <c r="S261" s="796">
        <v>0.6</v>
      </c>
    </row>
    <row r="262" spans="10:35" ht="15.6">
      <c r="K262" s="796" t="s">
        <v>201</v>
      </c>
      <c r="L262" s="796">
        <v>1.9</v>
      </c>
      <c r="M262" s="796">
        <v>1.5</v>
      </c>
      <c r="N262" s="796">
        <v>1.4</v>
      </c>
      <c r="O262" s="796">
        <v>1.3</v>
      </c>
      <c r="P262" s="796">
        <v>1.1000000000000001</v>
      </c>
      <c r="Q262" s="796">
        <v>1</v>
      </c>
      <c r="R262" s="796">
        <v>0.9</v>
      </c>
      <c r="S262" s="796">
        <v>0.7</v>
      </c>
    </row>
    <row r="263" spans="10:35" ht="15.6">
      <c r="K263" s="796" t="s">
        <v>202</v>
      </c>
      <c r="L263" s="796">
        <v>2.1</v>
      </c>
      <c r="M263" s="796">
        <v>1.6</v>
      </c>
      <c r="N263" s="796">
        <v>1.5</v>
      </c>
      <c r="O263" s="796">
        <v>1.35</v>
      </c>
      <c r="P263" s="796">
        <v>1.1499999999999999</v>
      </c>
      <c r="Q263" s="796">
        <v>1.05</v>
      </c>
      <c r="R263" s="796">
        <v>0.95</v>
      </c>
      <c r="S263" s="796">
        <v>0.8</v>
      </c>
    </row>
    <row r="266" spans="10:35" ht="15.6">
      <c r="J266" s="773" t="s">
        <v>203</v>
      </c>
      <c r="K266" s="774"/>
      <c r="L266" s="774"/>
      <c r="M266" s="774"/>
      <c r="N266" s="774"/>
      <c r="O266" s="774"/>
      <c r="P266" s="774"/>
      <c r="Q266" s="774"/>
      <c r="R266" s="774"/>
      <c r="S266" s="774"/>
      <c r="T266" s="774"/>
      <c r="U266" s="774"/>
      <c r="V266" s="774"/>
      <c r="W266" s="774"/>
    </row>
    <row r="267" spans="10:35" ht="15.6">
      <c r="J267" s="803"/>
      <c r="K267" s="774"/>
      <c r="L267" s="774"/>
      <c r="M267" s="774"/>
      <c r="N267" s="774"/>
      <c r="O267" s="774"/>
      <c r="P267" s="774"/>
      <c r="Q267" s="774"/>
      <c r="R267" s="774"/>
      <c r="S267" s="774"/>
      <c r="T267" s="774"/>
      <c r="U267" s="774"/>
      <c r="V267" s="774"/>
      <c r="W267" s="774"/>
    </row>
    <row r="268" spans="10:35" ht="15.6">
      <c r="J268" s="792" t="s">
        <v>142</v>
      </c>
      <c r="K268" s="793" t="s">
        <v>110</v>
      </c>
      <c r="L268" s="778" t="s">
        <v>168</v>
      </c>
      <c r="M268" s="779"/>
      <c r="N268" s="779"/>
      <c r="O268" s="779"/>
      <c r="P268" s="779"/>
      <c r="Q268" s="779"/>
      <c r="R268" s="779"/>
      <c r="S268" s="779"/>
      <c r="T268" s="779"/>
      <c r="U268" s="779"/>
      <c r="V268" s="780"/>
      <c r="W268" s="745"/>
      <c r="X268" s="759"/>
      <c r="Y268" s="760"/>
      <c r="Z268" s="761"/>
      <c r="AA268" s="761"/>
      <c r="AB268" s="761"/>
      <c r="AC268" s="761"/>
      <c r="AD268" s="761"/>
      <c r="AE268" s="756"/>
      <c r="AF268" s="756"/>
      <c r="AG268" s="762"/>
      <c r="AH268" s="762"/>
      <c r="AI268" s="762"/>
    </row>
    <row r="269" spans="10:35" ht="15.6">
      <c r="J269" s="782"/>
      <c r="K269" s="795"/>
      <c r="L269" s="783">
        <v>10</v>
      </c>
      <c r="M269" s="784">
        <v>20</v>
      </c>
      <c r="N269" s="784">
        <v>50</v>
      </c>
      <c r="O269" s="784">
        <v>100</v>
      </c>
      <c r="P269" s="784">
        <v>200</v>
      </c>
      <c r="Q269" s="784">
        <v>500</v>
      </c>
      <c r="R269" s="784">
        <v>1000</v>
      </c>
      <c r="S269" s="784">
        <v>2000</v>
      </c>
      <c r="T269" s="784">
        <v>5000</v>
      </c>
      <c r="U269" s="784">
        <v>8000</v>
      </c>
      <c r="V269" s="784">
        <v>10000</v>
      </c>
      <c r="W269" s="745"/>
      <c r="X269" s="759" t="s">
        <v>145</v>
      </c>
      <c r="Y269" s="767">
        <v>10</v>
      </c>
      <c r="Z269" s="768" t="s">
        <v>146</v>
      </c>
      <c r="AA269" s="768" t="s">
        <v>147</v>
      </c>
      <c r="AB269" s="768" t="s">
        <v>148</v>
      </c>
      <c r="AC269" s="768" t="s">
        <v>149</v>
      </c>
      <c r="AD269" s="768" t="s">
        <v>150</v>
      </c>
      <c r="AE269" s="768" t="s">
        <v>151</v>
      </c>
      <c r="AF269" s="768" t="s">
        <v>152</v>
      </c>
      <c r="AG269" s="768" t="s">
        <v>153</v>
      </c>
      <c r="AH269" s="768" t="s">
        <v>169</v>
      </c>
      <c r="AI269" s="768" t="s">
        <v>170</v>
      </c>
    </row>
    <row r="270" spans="10:35" ht="15.6">
      <c r="J270" s="788">
        <v>1</v>
      </c>
      <c r="K270" s="786" t="s">
        <v>112</v>
      </c>
      <c r="L270" s="787">
        <v>3.23</v>
      </c>
      <c r="M270" s="787">
        <v>2.79</v>
      </c>
      <c r="N270" s="787">
        <v>2.35</v>
      </c>
      <c r="O270" s="787">
        <v>2.13</v>
      </c>
      <c r="P270" s="787">
        <v>1.95</v>
      </c>
      <c r="Q270" s="787">
        <v>1.64</v>
      </c>
      <c r="R270" s="787">
        <v>1.39</v>
      </c>
      <c r="S270" s="787">
        <v>1.19</v>
      </c>
      <c r="T270" s="787">
        <v>0.9</v>
      </c>
      <c r="U270" s="787">
        <v>0.7</v>
      </c>
      <c r="V270" s="787">
        <v>0.63</v>
      </c>
      <c r="W270" s="745"/>
      <c r="X270" s="770">
        <f>SUM(Y270:AI270)</f>
        <v>3.23</v>
      </c>
      <c r="Y270" s="771">
        <f>IF($Y$82&lt;=$L$269,L270,0)</f>
        <v>3.23</v>
      </c>
      <c r="Z270" s="772">
        <f>IF(AND($Y$82&gt;10,$Y$82&lt;20),L270+(M270-L270)*($Y$82-$L$269)/($M$269-$L$269),0)</f>
        <v>0</v>
      </c>
      <c r="AA270" s="772">
        <f>IF(AND($Y$82&gt;20,$Y$82&lt;50),M270+(N270-M270)*($Y$82-$M$269)/($N$269-$M$269),0)</f>
        <v>0</v>
      </c>
      <c r="AB270" s="772">
        <f>IF(AND($Y$82&gt;50,$Y$82&lt;100),N270+(O270-N270)*($Y$82-$N$269)/($O$269-$N$269),0)</f>
        <v>0</v>
      </c>
      <c r="AC270" s="772">
        <f>IF(AND($Y$82&gt;100,$Y$82&lt;200),O270+(P270-O270)*($Y$82-$O$269)/($P$269-$O$269),0)</f>
        <v>0</v>
      </c>
      <c r="AD270" s="772">
        <f>IF(AND($Y$82&gt;200,$Y$82&lt;500),P270+(Q270-P270)*($Y$82-$P$269)/($Q$269-$P$269),0)</f>
        <v>0</v>
      </c>
      <c r="AE270" s="772">
        <f>IF(AND($Y$82&gt;500,$Y$82&lt;1000),Q270+(R270-Q270)*($Y$82-$Q$269)/($R$269-$Q$269),0)</f>
        <v>0</v>
      </c>
      <c r="AF270" s="772">
        <f>IF(AND($Y$82&gt;1000,$Y$82&lt;2000),R270+(S270-R270)*($Y$82-$R$269)/($S$269-$R$269),0)</f>
        <v>0</v>
      </c>
      <c r="AG270" s="772">
        <f>IF(AND($Y$82&gt;2000,$Y$82&lt;5000),S270+(T270-S270)*($Y$82-$S$269)/($T$269-$S$269),0)</f>
        <v>0</v>
      </c>
      <c r="AH270" s="772">
        <f>IF(AND($Y$82&gt;5000,$Y$82&lt;8000),T270+(U270-T270)*($Y$82-$T$269)/($U$269-$T$269),0)</f>
        <v>0</v>
      </c>
      <c r="AI270" s="772">
        <f>IF(AND($Y$82&gt;8000,$Y$82&lt;10000),U270+(V270-U270)*($Y$82-$U$269)/($V$269-$U$269),0)</f>
        <v>0</v>
      </c>
    </row>
    <row r="271" spans="10:35" ht="15.6">
      <c r="J271" s="788">
        <v>2</v>
      </c>
      <c r="K271" s="786" t="s">
        <v>113</v>
      </c>
      <c r="L271" s="787">
        <v>3.01</v>
      </c>
      <c r="M271" s="787">
        <v>2.6300000000000101</v>
      </c>
      <c r="N271" s="787">
        <v>2.21</v>
      </c>
      <c r="O271" s="787">
        <v>1.99</v>
      </c>
      <c r="P271" s="787">
        <v>1.82</v>
      </c>
      <c r="Q271" s="787">
        <v>1.49</v>
      </c>
      <c r="R271" s="787">
        <v>1.28</v>
      </c>
      <c r="S271" s="787">
        <v>1.07</v>
      </c>
      <c r="T271" s="787">
        <v>0.79</v>
      </c>
      <c r="U271" s="787">
        <v>0.57999999999999996</v>
      </c>
      <c r="V271" s="787">
        <v>0.49</v>
      </c>
      <c r="W271" s="745"/>
      <c r="X271" s="770">
        <f>SUM(Y271:AI271)</f>
        <v>3.01</v>
      </c>
      <c r="Y271" s="771">
        <f>IF($Y$82&lt;=$L$269,L271,0)</f>
        <v>3.01</v>
      </c>
      <c r="Z271" s="772">
        <f>IF(AND($Y$82&gt;10,$Y$82&lt;20),L271+(M271-L271)*($Y$82-$L$269)/($M$269-$L$269),0)</f>
        <v>0</v>
      </c>
      <c r="AA271" s="772">
        <f>IF(AND($Y$82&gt;20,$Y$82&lt;50),M271+(N271-M271)*($Y$82-$M$269)/($N$269-$M$269),0)</f>
        <v>0</v>
      </c>
      <c r="AB271" s="772">
        <f>IF(AND($Y$82&gt;50,$Y$82&lt;100),N271+(O271-N271)*($Y$82-$N$269)/($O$269-$N$269),0)</f>
        <v>0</v>
      </c>
      <c r="AC271" s="772">
        <f>IF(AND($Y$82&gt;100,$Y$82&lt;200),O271+(P271-O271)*($Y$82-$O$269)/($P$269-$O$269),0)</f>
        <v>0</v>
      </c>
      <c r="AD271" s="772">
        <f>IF(AND($Y$82&gt;200,$Y$82&lt;500),P271+(Q271-P271)*($Y$82-$P$269)/($Q$269-$P$269),0)</f>
        <v>0</v>
      </c>
      <c r="AE271" s="772">
        <f>IF(AND($Y$82&gt;500,$Y$82&lt;1000),Q271+(R271-Q271)*($Y$82-$Q$269)/($R$269-$Q$269),0)</f>
        <v>0</v>
      </c>
      <c r="AF271" s="772">
        <f>IF(AND($Y$82&gt;1000,$Y$82&lt;2000),R271+(S271-R271)*($Y$82-$R$269)/($S$269-$R$269),0)</f>
        <v>0</v>
      </c>
      <c r="AG271" s="772">
        <f>IF(AND($Y$82&gt;2000,$Y$82&lt;5000),S271+(T271-S271)*($Y$82-$S$269)/($T$269-$S$269),0)</f>
        <v>0</v>
      </c>
      <c r="AH271" s="772">
        <f>IF(AND($Y$82&gt;5000,$Y$82&lt;8000),T271+(U271-T271)*($Y$82-$T$269)/($U$269-$T$269),0)</f>
        <v>0</v>
      </c>
      <c r="AI271" s="772">
        <f>IF(AND($Y$82&gt;8000,$Y$82&lt;10000),U271+(V271-U271)*($Y$82-$U$269)/($V$269-$U$269),0)</f>
        <v>0</v>
      </c>
    </row>
    <row r="272" spans="10:35" ht="15.6">
      <c r="J272" s="788">
        <v>3</v>
      </c>
      <c r="K272" s="786" t="s">
        <v>115</v>
      </c>
      <c r="L272" s="787">
        <v>2.68</v>
      </c>
      <c r="M272" s="787">
        <v>2.33</v>
      </c>
      <c r="N272" s="787">
        <v>1.97</v>
      </c>
      <c r="O272" s="787">
        <v>1.77</v>
      </c>
      <c r="P272" s="787">
        <v>1.58</v>
      </c>
      <c r="Q272" s="787">
        <v>1.32</v>
      </c>
      <c r="R272" s="787">
        <v>1.1399999999999999</v>
      </c>
      <c r="S272" s="787">
        <v>0.92</v>
      </c>
      <c r="T272" s="787">
        <v>0.7</v>
      </c>
      <c r="U272" s="787">
        <v>0.51</v>
      </c>
      <c r="V272" s="787">
        <v>0.43</v>
      </c>
      <c r="W272" s="745"/>
      <c r="X272" s="770">
        <f>SUM(Y272:AI272)</f>
        <v>2.68</v>
      </c>
      <c r="Y272" s="771">
        <f>IF($Y$82&lt;=$L$269,L272,0)</f>
        <v>2.68</v>
      </c>
      <c r="Z272" s="772">
        <f>IF(AND($Y$82&gt;10,$Y$82&lt;20),L272+(M272-L272)*($Y$82-$L$269)/($M$269-$L$269),0)</f>
        <v>0</v>
      </c>
      <c r="AA272" s="772">
        <f>IF(AND($Y$82&gt;20,$Y$82&lt;50),M272+(N272-M272)*($Y$82-$M$269)/($N$269-$M$269),0)</f>
        <v>0</v>
      </c>
      <c r="AB272" s="772">
        <f>IF(AND($Y$82&gt;50,$Y$82&lt;100),N272+(O272-N272)*($Y$82-$N$269)/($O$269-$N$269),0)</f>
        <v>0</v>
      </c>
      <c r="AC272" s="772">
        <f>IF(AND($Y$82&gt;100,$Y$82&lt;200),O272+(P272-O272)*($Y$82-$O$269)/($P$269-$O$269),0)</f>
        <v>0</v>
      </c>
      <c r="AD272" s="772">
        <f>IF(AND($Y$82&gt;200,$Y$82&lt;500),P272+(Q272-P272)*($Y$82-$P$269)/($Q$269-$P$269),0)</f>
        <v>0</v>
      </c>
      <c r="AE272" s="772">
        <f>IF(AND($Y$82&gt;500,$Y$82&lt;1000),Q272+(R272-Q272)*($Y$82-$Q$269)/($R$269-$Q$269),0)</f>
        <v>0</v>
      </c>
      <c r="AF272" s="772">
        <f>IF(AND($Y$82&gt;1000,$Y$82&lt;2000),R272+(S272-R272)*($Y$82-$R$269)/($S$269-$R$269),0)</f>
        <v>0</v>
      </c>
      <c r="AG272" s="772">
        <f>IF(AND($Y$82&gt;2000,$Y$82&lt;5000),S272+(T272-S272)*($Y$82-$S$269)/($T$269-$S$269),0)</f>
        <v>0</v>
      </c>
      <c r="AH272" s="772">
        <f>IF(AND($Y$82&gt;5000,$Y$82&lt;8000),T272+(U272-T272)*($Y$82-$T$269)/($U$269-$T$269),0)</f>
        <v>0</v>
      </c>
      <c r="AI272" s="772">
        <f>IF(AND($Y$82&gt;8000,$Y$82&lt;10000),U272+(V272-U272)*($Y$82-$U$269)/($V$269-$U$269),0)</f>
        <v>0</v>
      </c>
    </row>
    <row r="273" spans="10:35" ht="15.6">
      <c r="J273" s="788">
        <v>4</v>
      </c>
      <c r="K273" s="786" t="s">
        <v>117</v>
      </c>
      <c r="L273" s="787">
        <v>2.36</v>
      </c>
      <c r="M273" s="787">
        <v>2.0099999999999998</v>
      </c>
      <c r="N273" s="787">
        <v>1.72</v>
      </c>
      <c r="O273" s="787">
        <v>1.55</v>
      </c>
      <c r="P273" s="787">
        <v>1.39</v>
      </c>
      <c r="Q273" s="787">
        <v>1.1599999999999999</v>
      </c>
      <c r="R273" s="787">
        <v>1.02</v>
      </c>
      <c r="S273" s="787">
        <v>0.81</v>
      </c>
      <c r="T273" s="787">
        <v>0.61</v>
      </c>
      <c r="U273" s="787">
        <v>0.44</v>
      </c>
      <c r="V273" s="787">
        <v>0.36</v>
      </c>
      <c r="W273" s="745"/>
      <c r="X273" s="770">
        <f>SUM(Y273:AI273)</f>
        <v>2.36</v>
      </c>
      <c r="Y273" s="771">
        <f>IF($Y$82&lt;=$L$269,L273,0)</f>
        <v>2.36</v>
      </c>
      <c r="Z273" s="772">
        <f>IF(AND($Y$82&gt;10,$Y$82&lt;20),L273+(M273-L273)*($Y$82-$L$269)/($M$269-$L$269),0)</f>
        <v>0</v>
      </c>
      <c r="AA273" s="772">
        <f>IF(AND($Y$82&gt;20,$Y$82&lt;50),M273+(N273-M273)*($Y$82-$M$269)/($N$269-$M$269),0)</f>
        <v>0</v>
      </c>
      <c r="AB273" s="772">
        <f>IF(AND($Y$82&gt;50,$Y$82&lt;100),N273+(O273-N273)*($Y$82-$N$269)/($O$269-$N$269),0)</f>
        <v>0</v>
      </c>
      <c r="AC273" s="772">
        <f>IF(AND($Y$82&gt;100,$Y$82&lt;200),O273+(P273-O273)*($Y$82-$O$269)/($P$269-$O$269),0)</f>
        <v>0</v>
      </c>
      <c r="AD273" s="772">
        <f>IF(AND($Y$82&gt;200,$Y$82&lt;500),P273+(Q273-P273)*($Y$82-$P$269)/($Q$269-$P$269),0)</f>
        <v>0</v>
      </c>
      <c r="AE273" s="772">
        <f>IF(AND($Y$82&gt;500,$Y$82&lt;1000),Q273+(R273-Q273)*($Y$82-$Q$269)/($R$269-$Q$269),0)</f>
        <v>0</v>
      </c>
      <c r="AF273" s="772">
        <f>IF(AND($Y$82&gt;1000,$Y$82&lt;2000),R273+(S273-R273)*($Y$82-$R$269)/($S$269-$R$269),0)</f>
        <v>0</v>
      </c>
      <c r="AG273" s="772">
        <f>IF(AND($Y$82&gt;2000,$Y$82&lt;5000),S273+(T273-S273)*($Y$82-$S$269)/($T$269-$S$269),0)</f>
        <v>0</v>
      </c>
      <c r="AH273" s="772">
        <f>IF(AND($Y$82&gt;5000,$Y$82&lt;8000),T273+(U273-T273)*($Y$82-$T$269)/($U$269-$T$269),0)</f>
        <v>0</v>
      </c>
      <c r="AI273" s="772">
        <f>IF(AND($Y$82&gt;8000,$Y$82&lt;10000),U273+(V273-U273)*($Y$82-$U$269)/($V$269-$U$269),0)</f>
        <v>0</v>
      </c>
    </row>
    <row r="274" spans="10:35" ht="15.6">
      <c r="J274" s="788">
        <v>5</v>
      </c>
      <c r="K274" s="786" t="s">
        <v>92</v>
      </c>
      <c r="L274" s="787">
        <v>2.0699999999999998</v>
      </c>
      <c r="M274" s="787">
        <v>1.76</v>
      </c>
      <c r="N274" s="787">
        <v>1.49</v>
      </c>
      <c r="O274" s="787">
        <v>1.35</v>
      </c>
      <c r="P274" s="787">
        <v>1.1499999999999999</v>
      </c>
      <c r="Q274" s="787">
        <v>0.98</v>
      </c>
      <c r="R274" s="787"/>
      <c r="S274" s="787"/>
      <c r="T274" s="787"/>
      <c r="U274" s="787"/>
      <c r="V274" s="787"/>
      <c r="W274" s="745"/>
      <c r="X274" s="770">
        <f>SUM(Y274:AI274)</f>
        <v>2.0699999999999998</v>
      </c>
      <c r="Y274" s="771">
        <f>IF($Y$82&lt;=$L$269,L274,0)</f>
        <v>2.0699999999999998</v>
      </c>
      <c r="Z274" s="772">
        <f>IF(AND($Y$82&gt;10,$Y$82&lt;20),L274+(M274-L274)*($Y$82-$L$269)/($M$269-$L$269),0)</f>
        <v>0</v>
      </c>
      <c r="AA274" s="772">
        <f>IF(AND($Y$82&gt;20,$Y$82&lt;50),M274+(N274-M274)*($Y$82-$M$269)/($N$269-$M$269),0)</f>
        <v>0</v>
      </c>
      <c r="AB274" s="772">
        <f>IF(AND($Y$82&gt;50,$Y$82&lt;100),N274+(O274-N274)*($Y$82-$N$269)/($O$269-$N$269),0)</f>
        <v>0</v>
      </c>
      <c r="AC274" s="772">
        <f>IF(AND($Y$82&gt;100,$Y$82&lt;200),O274+(P274-O274)*($Y$82-$O$269)/($P$269-$O$269),0)</f>
        <v>0</v>
      </c>
      <c r="AD274" s="772">
        <f>IF(AND($Y$82&gt;200,$Y$82&lt;500),P274+(Q274-P274)*($Y$82-$P$269)/($Q$269-$P$269),0)</f>
        <v>0</v>
      </c>
      <c r="AE274" s="772">
        <f>IF(AND($Y$82&gt;500,$Y$82&lt;1000),Q274+(R274-Q274)*($Y$82-$Q$269)/($R$269-$Q$269),0)</f>
        <v>0</v>
      </c>
      <c r="AF274" s="772">
        <f>IF(AND($Y$82&gt;1000,$Y$82&lt;2000),R274+(S274-R274)*($Y$82-$R$269)/($S$269-$R$269),0)</f>
        <v>0</v>
      </c>
      <c r="AG274" s="772">
        <f>IF(AND($Y$82&gt;2000,$Y$82&lt;5000),S274+(T274-S274)*($Y$82-$S$269)/($T$269-$S$269),0)</f>
        <v>0</v>
      </c>
      <c r="AH274" s="772">
        <f>IF(AND($Y$82&gt;5000,$Y$82&lt;8000),T274+(U274-T274)*($Y$82-$T$269)/($U$269-$T$269),0)</f>
        <v>0</v>
      </c>
      <c r="AI274" s="772">
        <f>IF(AND($Y$82&gt;8000,$Y$82&lt;10000),U274+(V274-U274)*($Y$82-$U$269)/($V$269-$U$269),0)</f>
        <v>0</v>
      </c>
    </row>
    <row r="276" spans="10:35" ht="18">
      <c r="L276" s="807" t="s">
        <v>204</v>
      </c>
      <c r="M276" s="774"/>
      <c r="N276" s="774"/>
      <c r="O276" s="774"/>
      <c r="P276" s="774"/>
      <c r="Q276" s="774"/>
      <c r="R276" s="774"/>
      <c r="S276" s="774"/>
      <c r="T276" s="774"/>
    </row>
    <row r="277" spans="10:35" ht="18">
      <c r="L277" s="807"/>
      <c r="M277" s="774"/>
      <c r="N277" s="774"/>
      <c r="O277" s="774"/>
      <c r="P277" s="774"/>
      <c r="Q277" s="774"/>
      <c r="R277" s="774"/>
      <c r="S277" s="774"/>
      <c r="T277" s="774"/>
    </row>
    <row r="278" spans="10:35" ht="15.6">
      <c r="L278" s="797" t="s">
        <v>205</v>
      </c>
      <c r="M278" s="881" t="s">
        <v>161</v>
      </c>
      <c r="N278" s="882"/>
      <c r="O278" s="882"/>
      <c r="P278" s="882"/>
      <c r="Q278" s="882"/>
      <c r="R278" s="882"/>
      <c r="S278" s="882"/>
      <c r="T278" s="883"/>
    </row>
    <row r="279" spans="10:35" ht="15.6">
      <c r="L279" s="797"/>
      <c r="M279" s="783">
        <v>5</v>
      </c>
      <c r="N279" s="796">
        <v>10</v>
      </c>
      <c r="O279" s="796">
        <v>15</v>
      </c>
      <c r="P279" s="796">
        <v>25</v>
      </c>
      <c r="Q279" s="796">
        <v>50</v>
      </c>
      <c r="R279" s="796">
        <v>100</v>
      </c>
      <c r="S279" s="796">
        <v>200</v>
      </c>
      <c r="T279" s="796">
        <v>500</v>
      </c>
    </row>
    <row r="280" spans="10:35" ht="15.6">
      <c r="K280" s="801" t="s">
        <v>206</v>
      </c>
      <c r="L280" s="796">
        <v>1</v>
      </c>
      <c r="M280" s="796">
        <v>0.75</v>
      </c>
      <c r="N280" s="796">
        <v>0.6</v>
      </c>
      <c r="O280" s="796">
        <v>0.5</v>
      </c>
      <c r="P280" s="796">
        <v>0.45</v>
      </c>
      <c r="Q280" s="796">
        <v>0.35</v>
      </c>
      <c r="R280" s="796">
        <v>0.25</v>
      </c>
      <c r="S280" s="796">
        <v>0.15</v>
      </c>
    </row>
    <row r="281" spans="10:35" ht="31.2">
      <c r="K281" s="801" t="s">
        <v>207</v>
      </c>
      <c r="L281" s="796">
        <v>0.9</v>
      </c>
      <c r="M281" s="796">
        <v>0.7</v>
      </c>
      <c r="N281" s="796">
        <v>0.55000000000000004</v>
      </c>
      <c r="O281" s="796">
        <v>0.45</v>
      </c>
      <c r="P281" s="796">
        <v>0.4</v>
      </c>
      <c r="Q281" s="796">
        <v>0.3</v>
      </c>
      <c r="R281" s="796">
        <v>0.2</v>
      </c>
      <c r="S281" s="796">
        <v>0.1</v>
      </c>
    </row>
    <row r="282" spans="10:35" ht="15.6">
      <c r="K282" s="801" t="s">
        <v>208</v>
      </c>
      <c r="L282" s="796">
        <v>1.35</v>
      </c>
      <c r="M282" s="796">
        <v>0.8</v>
      </c>
      <c r="N282" s="796">
        <v>0.6</v>
      </c>
      <c r="O282" s="796">
        <v>0.5</v>
      </c>
      <c r="P282" s="796">
        <v>0.4</v>
      </c>
      <c r="Q282" s="796">
        <v>0.3</v>
      </c>
      <c r="R282" s="796">
        <v>0.2</v>
      </c>
      <c r="S282" s="796">
        <v>0.1</v>
      </c>
    </row>
    <row r="283" spans="10:35" ht="15.6">
      <c r="K283" s="801" t="s">
        <v>209</v>
      </c>
      <c r="L283" s="796">
        <v>1.7</v>
      </c>
      <c r="M283" s="796">
        <v>1.4</v>
      </c>
      <c r="N283" s="796">
        <v>1.3</v>
      </c>
      <c r="O283" s="796">
        <v>0.8</v>
      </c>
      <c r="P283" s="796">
        <v>0.6</v>
      </c>
      <c r="Q283" s="796">
        <v>0.45</v>
      </c>
      <c r="R283" s="796">
        <v>0.3</v>
      </c>
      <c r="S283" s="796">
        <v>0.15</v>
      </c>
    </row>
    <row r="284" spans="10:35" ht="15.6">
      <c r="K284" s="801" t="s">
        <v>210</v>
      </c>
      <c r="L284" s="796">
        <v>2.8</v>
      </c>
      <c r="M284" s="796">
        <v>1.75</v>
      </c>
      <c r="N284" s="796">
        <v>1.4</v>
      </c>
      <c r="O284" s="796">
        <v>0.9</v>
      </c>
      <c r="P284" s="796">
        <v>0.65</v>
      </c>
      <c r="Q284" s="796">
        <v>0.5</v>
      </c>
      <c r="R284" s="796">
        <v>0.35</v>
      </c>
      <c r="S284" s="796">
        <v>0.2</v>
      </c>
    </row>
    <row r="285" spans="10:35" ht="15.6">
      <c r="K285" s="801" t="s">
        <v>211</v>
      </c>
      <c r="L285" s="796">
        <v>1</v>
      </c>
      <c r="M285" s="796">
        <v>0.75</v>
      </c>
      <c r="N285" s="796">
        <v>0.6</v>
      </c>
      <c r="O285" s="796">
        <v>0.5</v>
      </c>
      <c r="P285" s="796">
        <v>0.4</v>
      </c>
      <c r="Q285" s="796">
        <v>0.3</v>
      </c>
      <c r="R285" s="796">
        <v>0.2</v>
      </c>
      <c r="S285" s="796">
        <v>0.1</v>
      </c>
    </row>
    <row r="286" spans="10:35" ht="15.6">
      <c r="K286" s="801" t="s">
        <v>212</v>
      </c>
      <c r="L286" s="796">
        <v>2.15</v>
      </c>
      <c r="M286" s="796">
        <v>1.05</v>
      </c>
      <c r="N286" s="796">
        <v>0.85</v>
      </c>
      <c r="O286" s="796">
        <v>0.65</v>
      </c>
      <c r="P286" s="796">
        <v>0.55000000000000004</v>
      </c>
      <c r="Q286" s="796">
        <v>0.35</v>
      </c>
      <c r="R286" s="796">
        <v>0.25</v>
      </c>
      <c r="S286" s="796">
        <v>0.2</v>
      </c>
    </row>
    <row r="287" spans="10:35" ht="31.2">
      <c r="L287" s="801" t="s">
        <v>213</v>
      </c>
      <c r="M287" s="796">
        <v>1.8</v>
      </c>
      <c r="N287" s="796">
        <v>1.3</v>
      </c>
      <c r="O287" s="796">
        <v>1.1000000000000001</v>
      </c>
      <c r="P287" s="796">
        <v>0.9</v>
      </c>
      <c r="Q287" s="796">
        <v>0.7</v>
      </c>
      <c r="R287" s="796">
        <v>0.5</v>
      </c>
      <c r="S287" s="796">
        <v>0.35</v>
      </c>
      <c r="T287" s="796">
        <v>0.2</v>
      </c>
    </row>
    <row r="288" spans="10:35" ht="31.2">
      <c r="L288" s="801" t="s">
        <v>214</v>
      </c>
      <c r="M288" s="796">
        <v>1.25</v>
      </c>
      <c r="N288" s="796">
        <v>0.7</v>
      </c>
      <c r="O288" s="796">
        <v>0.5</v>
      </c>
      <c r="P288" s="796">
        <v>0.35</v>
      </c>
      <c r="Q288" s="796">
        <v>0.3</v>
      </c>
      <c r="R288" s="796">
        <v>0.25</v>
      </c>
      <c r="S288" s="796">
        <v>0.2</v>
      </c>
      <c r="T288" s="796">
        <v>0.1</v>
      </c>
    </row>
    <row r="291" spans="10:36" ht="15.6">
      <c r="J291" s="773" t="s">
        <v>215</v>
      </c>
      <c r="K291" s="774"/>
      <c r="L291" s="774"/>
      <c r="M291" s="774"/>
      <c r="N291" s="803"/>
      <c r="O291" s="774"/>
      <c r="P291" s="774"/>
      <c r="Q291" s="774"/>
      <c r="R291" s="774"/>
      <c r="S291" s="774"/>
      <c r="T291" s="774"/>
      <c r="U291" s="774"/>
      <c r="V291" s="774"/>
      <c r="W291" s="774"/>
      <c r="X291" s="774"/>
    </row>
    <row r="292" spans="10:36" ht="15.6">
      <c r="J292" s="803"/>
      <c r="K292" s="774"/>
      <c r="L292" s="774"/>
      <c r="M292" s="774"/>
      <c r="N292" s="774"/>
      <c r="O292" s="774"/>
      <c r="P292" s="774"/>
      <c r="Q292" s="774"/>
      <c r="R292" s="774"/>
      <c r="S292" s="774"/>
      <c r="T292" s="774"/>
      <c r="U292" s="774"/>
      <c r="V292" s="774"/>
      <c r="W292" s="774"/>
      <c r="X292" s="775"/>
    </row>
    <row r="293" spans="10:36" ht="15.6">
      <c r="J293" s="792" t="s">
        <v>142</v>
      </c>
      <c r="K293" s="777" t="s">
        <v>143</v>
      </c>
      <c r="L293" s="778" t="s">
        <v>158</v>
      </c>
      <c r="M293" s="779"/>
      <c r="N293" s="779"/>
      <c r="O293" s="779"/>
      <c r="P293" s="779"/>
      <c r="Q293" s="779"/>
      <c r="R293" s="779"/>
      <c r="S293" s="779"/>
      <c r="T293" s="779"/>
      <c r="U293" s="779"/>
      <c r="V293" s="779"/>
      <c r="W293" s="780"/>
      <c r="X293" s="759"/>
      <c r="Y293" s="760"/>
      <c r="Z293" s="761"/>
      <c r="AA293" s="761"/>
      <c r="AB293" s="761"/>
      <c r="AC293" s="761"/>
      <c r="AD293" s="761"/>
      <c r="AE293" s="756"/>
      <c r="AF293" s="756"/>
      <c r="AG293" s="762"/>
      <c r="AH293" s="762"/>
      <c r="AI293" s="762"/>
    </row>
    <row r="294" spans="10:36" ht="15.6">
      <c r="J294" s="782"/>
      <c r="K294" s="781"/>
      <c r="L294" s="783">
        <v>15</v>
      </c>
      <c r="M294" s="784">
        <v>20</v>
      </c>
      <c r="N294" s="784">
        <v>50</v>
      </c>
      <c r="O294" s="784">
        <v>100</v>
      </c>
      <c r="P294" s="784">
        <v>200</v>
      </c>
      <c r="Q294" s="784">
        <v>500</v>
      </c>
      <c r="R294" s="784">
        <v>1000</v>
      </c>
      <c r="S294" s="784">
        <v>2000</v>
      </c>
      <c r="T294" s="784">
        <v>5000</v>
      </c>
      <c r="U294" s="784">
        <v>10000</v>
      </c>
      <c r="V294" s="784">
        <v>20000</v>
      </c>
      <c r="W294" s="784">
        <v>30000</v>
      </c>
      <c r="X294" s="759" t="s">
        <v>145</v>
      </c>
      <c r="Y294" s="767">
        <v>15</v>
      </c>
      <c r="Z294" s="768" t="s">
        <v>159</v>
      </c>
      <c r="AA294" s="768" t="s">
        <v>147</v>
      </c>
      <c r="AB294" s="768" t="s">
        <v>148</v>
      </c>
      <c r="AC294" s="768" t="s">
        <v>149</v>
      </c>
      <c r="AD294" s="768" t="s">
        <v>150</v>
      </c>
      <c r="AE294" s="768" t="s">
        <v>151</v>
      </c>
      <c r="AF294" s="768" t="s">
        <v>152</v>
      </c>
      <c r="AG294" s="768" t="s">
        <v>153</v>
      </c>
      <c r="AH294" s="768" t="s">
        <v>154</v>
      </c>
      <c r="AI294" s="768" t="s">
        <v>155</v>
      </c>
      <c r="AJ294" s="768" t="s">
        <v>156</v>
      </c>
    </row>
    <row r="295" spans="10:36" ht="15.6">
      <c r="J295" s="808">
        <v>1</v>
      </c>
      <c r="K295" s="786" t="s">
        <v>100</v>
      </c>
      <c r="L295" s="787">
        <v>7.0999999999999994E-2</v>
      </c>
      <c r="M295" s="787">
        <v>5.8999999999999997E-2</v>
      </c>
      <c r="N295" s="787">
        <v>4.8000000000000001E-2</v>
      </c>
      <c r="O295" s="787">
        <v>3.4000000000000002E-2</v>
      </c>
      <c r="P295" s="787">
        <v>2.5000000000000001E-2</v>
      </c>
      <c r="Q295" s="787">
        <v>1.6E-2</v>
      </c>
      <c r="R295" s="787">
        <v>1.4E-2</v>
      </c>
      <c r="S295" s="787">
        <v>1.2E-2</v>
      </c>
      <c r="T295" s="787">
        <v>8.9999999999999993E-3</v>
      </c>
      <c r="U295" s="787">
        <v>7.0000000000000001E-3</v>
      </c>
      <c r="V295" s="787">
        <v>5.0000000000000001E-3</v>
      </c>
      <c r="W295" s="787">
        <v>4.0000000000000001E-3</v>
      </c>
      <c r="X295" s="770">
        <f>SUM(Y295:AJ295)</f>
        <v>7.0999999999999994E-2</v>
      </c>
      <c r="Y295" s="771">
        <f>IF($Y$82&lt;=$L$294,L295,0)</f>
        <v>7.0999999999999994E-2</v>
      </c>
      <c r="Z295" s="772">
        <f>IF(AND($Y$82&gt;15,$Y$82&lt;20),L295+(M295-L295)*($Y$82-$L$294)/($M$294-$L$294),0)</f>
        <v>0</v>
      </c>
      <c r="AA295" s="772">
        <f>IF(AND($Y$82&gt;20,$Y$82&lt;50),M295+(N295-M295)*($Y$82-$M$294)/($N$294-$M$294),0)</f>
        <v>0</v>
      </c>
      <c r="AB295" s="772">
        <f>IF(AND($Y$82&gt;50,$Y$82&lt;100),N295+(O295-N295)*($Y$82-$N$294)/($O$294-$N$294),0)</f>
        <v>0</v>
      </c>
      <c r="AC295" s="772">
        <f>IF(AND($Y$82&gt;100,$Y$82&lt;200),O295+(P295-O295)*($Y$82-$O$294)/($P$294-$O$294),0)</f>
        <v>0</v>
      </c>
      <c r="AD295" s="772">
        <f>IF(AND($Y$82&gt;200,$Y$82&lt;500),P295+(Q295-P295)*($Y$82-$P$294)/($Q$294-$P$294),0)</f>
        <v>0</v>
      </c>
      <c r="AE295" s="772">
        <f>IF(AND($Y$82&gt;500,$Y$82&lt;1000),Q295+(R295-Q295)*($Y$82-$Q$294)/($R$294-$Q$294),0)</f>
        <v>0</v>
      </c>
      <c r="AF295" s="772">
        <f>IF(AND($Y$82&gt;1000,$Y$82&lt;2000),R295+(S295-R295)*($Y$82-$R$294)/($S$294-$R$294),0)</f>
        <v>0</v>
      </c>
      <c r="AG295" s="772">
        <f>IF(AND($Y$82&gt;2000,$Y$82&lt;5000),S295+(T295-S295)*($Y$82-$S$294)/($T$294-$S$294),0)</f>
        <v>0</v>
      </c>
      <c r="AH295" s="772">
        <f>IF(AND($Y$82&gt;5000,$Y$82&lt;10000),T295+(U295-T295)*($Y$82-$T$294)/($U$294-$T$294),0)</f>
        <v>0</v>
      </c>
      <c r="AI295" s="772">
        <f>IF(AND($Y$82&gt;10000,$Y$82&lt;20000),U295+(V295-U295)*($Y$82-$U$294)/($V$294-$U$294),0)</f>
        <v>0</v>
      </c>
      <c r="AJ295" s="772">
        <f>IF(AND($Y$82&gt;20000,$Y$82&lt;30000),V295+(W295-V295)*($Y$82-$V$294)/($W$294-$V$294),0)</f>
        <v>0</v>
      </c>
    </row>
    <row r="296" spans="10:36" ht="15.6">
      <c r="J296" s="808">
        <v>2</v>
      </c>
      <c r="K296" s="786" t="s">
        <v>103</v>
      </c>
      <c r="L296" s="787">
        <v>9.8000000000000004E-2</v>
      </c>
      <c r="M296" s="787">
        <v>8.3000000000000004E-2</v>
      </c>
      <c r="N296" s="787">
        <v>6.7000000000000004E-2</v>
      </c>
      <c r="O296" s="787">
        <v>4.9000000000000002E-2</v>
      </c>
      <c r="P296" s="787">
        <v>3.6999999999999998E-2</v>
      </c>
      <c r="Q296" s="787">
        <v>2.8000000000000001E-2</v>
      </c>
      <c r="R296" s="787">
        <v>2.5000000000000001E-2</v>
      </c>
      <c r="S296" s="787">
        <v>0.02</v>
      </c>
      <c r="T296" s="787">
        <v>1.4999999999999999E-2</v>
      </c>
      <c r="U296" s="787">
        <v>0.01</v>
      </c>
      <c r="V296" s="787">
        <v>7.0000000000000001E-3</v>
      </c>
      <c r="W296" s="787">
        <v>5.0000000000000001E-3</v>
      </c>
      <c r="X296" s="770">
        <f>SUM(Y296:AJ296)</f>
        <v>9.8000000000000004E-2</v>
      </c>
      <c r="Y296" s="771">
        <f>IF($Y$82&lt;=$L$294,L296,0)</f>
        <v>9.8000000000000004E-2</v>
      </c>
      <c r="Z296" s="772">
        <f>IF(AND($Y$82&gt;15,$Y$82&lt;20),L296+(M296-L296)*($Y$82-$L$294)/($M$294-$L$294),0)</f>
        <v>0</v>
      </c>
      <c r="AA296" s="772">
        <f>IF(AND($Y$82&gt;20,$Y$82&lt;50),M296+(N296-M296)*($Y$82-$M$294)/($N$294-$M$294),0)</f>
        <v>0</v>
      </c>
      <c r="AB296" s="772">
        <f>IF(AND($Y$82&gt;50,$Y$82&lt;100),N296+(O296-N296)*($Y$82-$N$294)/($O$294-$N$294),0)</f>
        <v>0</v>
      </c>
      <c r="AC296" s="772">
        <f>IF(AND($Y$82&gt;100,$Y$82&lt;200),O296+(P296-O296)*($Y$82-$O$294)/($P$294-$O$294),0)</f>
        <v>0</v>
      </c>
      <c r="AD296" s="772">
        <f>IF(AND($Y$82&gt;200,$Y$82&lt;500),P296+(Q296-P296)*($Y$82-$P$294)/($Q$294-$P$294),0)</f>
        <v>0</v>
      </c>
      <c r="AE296" s="772">
        <f>IF(AND($Y$82&gt;500,$Y$82&lt;1000),Q296+(R296-Q296)*($Y$82-$Q$294)/($R$294-$Q$294),0)</f>
        <v>0</v>
      </c>
      <c r="AF296" s="772">
        <f>IF(AND($Y$82&gt;1000,$Y$82&lt;2000),R296+(S296-R296)*($Y$82-$R$294)/($S$294-$R$294),0)</f>
        <v>0</v>
      </c>
      <c r="AG296" s="772">
        <f>IF(AND($Y$82&gt;2000,$Y$82&lt;5000),S296+(T296-S296)*($Y$82-$S$294)/($T$294-$S$294),0)</f>
        <v>0</v>
      </c>
      <c r="AH296" s="772">
        <f>IF(AND($Y$82&gt;5000,$Y$82&lt;10000),T296+(U296-T296)*($Y$82-$T$294)/($U$294-$T$294),0)</f>
        <v>0</v>
      </c>
      <c r="AI296" s="772">
        <f>IF(AND($Y$82&gt;10000,$Y$82&lt;20000),U296+(V296-U296)*($Y$82-$U$294)/($V$294-$U$294),0)</f>
        <v>0</v>
      </c>
      <c r="AJ296" s="772">
        <f>IF(AND($Y$82&gt;20000,$Y$82&lt;30000),V296+(W296-V296)*($Y$82-$V$294)/($W$294-$V$294),0)</f>
        <v>0</v>
      </c>
    </row>
    <row r="297" spans="10:36" ht="15.6">
      <c r="J297" s="808">
        <v>3</v>
      </c>
      <c r="K297" s="786" t="s">
        <v>89</v>
      </c>
      <c r="L297" s="787">
        <v>5.3999999999999999E-2</v>
      </c>
      <c r="M297" s="787">
        <v>4.9000000000000002E-2</v>
      </c>
      <c r="N297" s="787">
        <v>3.9E-2</v>
      </c>
      <c r="O297" s="787">
        <v>0.03</v>
      </c>
      <c r="P297" s="787">
        <v>0.02</v>
      </c>
      <c r="Q297" s="787">
        <v>1.2999999999999999E-2</v>
      </c>
      <c r="R297" s="787">
        <v>1.10000000000013E-2</v>
      </c>
      <c r="S297" s="787">
        <v>8.9999999999999993E-3</v>
      </c>
      <c r="T297" s="787">
        <v>7.0000000000000001E-3</v>
      </c>
      <c r="U297" s="787">
        <v>5.0000000000000001E-3</v>
      </c>
      <c r="V297" s="787">
        <v>4.0000000000000001E-3</v>
      </c>
      <c r="W297" s="787">
        <v>3.0000000000000001E-3</v>
      </c>
      <c r="X297" s="770">
        <f>SUM(Y297:AJ297)</f>
        <v>5.3999999999999999E-2</v>
      </c>
      <c r="Y297" s="771">
        <f>IF($Y$82&lt;=$L$294,L297,0)</f>
        <v>5.3999999999999999E-2</v>
      </c>
      <c r="Z297" s="772">
        <f>IF(AND($Y$82&gt;15,$Y$82&lt;20),L297+(M297-L297)*($Y$82-$L$294)/($M$294-$L$294),0)</f>
        <v>0</v>
      </c>
      <c r="AA297" s="772">
        <f>IF(AND($Y$82&gt;20,$Y$82&lt;50),M297+(N297-M297)*($Y$82-$M$294)/($N$294-$M$294),0)</f>
        <v>0</v>
      </c>
      <c r="AB297" s="772">
        <f>IF(AND($Y$82&gt;50,$Y$82&lt;100),N297+(O297-N297)*($Y$82-$N$294)/($O$294-$N$294),0)</f>
        <v>0</v>
      </c>
      <c r="AC297" s="772">
        <f>IF(AND($Y$82&gt;100,$Y$82&lt;200),O297+(P297-O297)*($Y$82-$O$294)/($P$294-$O$294),0)</f>
        <v>0</v>
      </c>
      <c r="AD297" s="772">
        <f>IF(AND($Y$82&gt;200,$Y$82&lt;500),P297+(Q297-P297)*($Y$82-$P$294)/($Q$294-$P$294),0)</f>
        <v>0</v>
      </c>
      <c r="AE297" s="772">
        <f>IF(AND($Y$82&gt;500,$Y$82&lt;1000),Q297+(R297-Q297)*($Y$82-$Q$294)/($R$294-$Q$294),0)</f>
        <v>0</v>
      </c>
      <c r="AF297" s="772">
        <f>IF(AND($Y$82&gt;1000,$Y$82&lt;2000),R297+(S297-R297)*($Y$82-$R$294)/($S$294-$R$294),0)</f>
        <v>0</v>
      </c>
      <c r="AG297" s="772">
        <f>IF(AND($Y$82&gt;2000,$Y$82&lt;5000),S297+(T297-S297)*($Y$82-$S$294)/($T$294-$S$294),0)</f>
        <v>0</v>
      </c>
      <c r="AH297" s="772">
        <f>IF(AND($Y$82&gt;5000,$Y$82&lt;10000),T297+(U297-T297)*($Y$82-$T$294)/($U$294-$T$294),0)</f>
        <v>0</v>
      </c>
      <c r="AI297" s="772">
        <f>IF(AND($Y$82&gt;10000,$Y$82&lt;20000),U297+(V297-U297)*($Y$82-$U$294)/($V$294-$U$294),0)</f>
        <v>0</v>
      </c>
      <c r="AJ297" s="772">
        <f>IF(AND($Y$82&gt;20000,$Y$82&lt;30000),V297+(W297-V297)*($Y$82-$V$294)/($W$294-$V$294),0)</f>
        <v>0</v>
      </c>
    </row>
    <row r="298" spans="10:36" ht="15.6">
      <c r="J298" s="808">
        <v>4</v>
      </c>
      <c r="K298" s="786" t="s">
        <v>106</v>
      </c>
      <c r="L298" s="787">
        <v>6.4000000000000001E-2</v>
      </c>
      <c r="M298" s="787">
        <v>5.8000000000000003E-2</v>
      </c>
      <c r="N298" s="787">
        <v>4.7E-2</v>
      </c>
      <c r="O298" s="787">
        <v>3.3000000000000002E-2</v>
      </c>
      <c r="P298" s="787">
        <v>2.4E-2</v>
      </c>
      <c r="Q298" s="787">
        <v>1.50000000000013E-2</v>
      </c>
      <c r="R298" s="787">
        <v>1.2999999999999999E-2</v>
      </c>
      <c r="S298" s="787">
        <v>1.0999999999999999E-2</v>
      </c>
      <c r="T298" s="787">
        <v>8.9999999999999993E-3</v>
      </c>
      <c r="U298" s="787">
        <v>6.0000000000000001E-3</v>
      </c>
      <c r="V298" s="787">
        <v>5.0000000000000001E-3</v>
      </c>
      <c r="W298" s="787">
        <v>4.0000000000000001E-3</v>
      </c>
      <c r="X298" s="770">
        <f>SUM(Y298:AJ298)</f>
        <v>6.4000000000000001E-2</v>
      </c>
      <c r="Y298" s="771">
        <f>IF($Y$82&lt;=$L$294,L298,0)</f>
        <v>6.4000000000000001E-2</v>
      </c>
      <c r="Z298" s="772">
        <f>IF(AND($Y$82&gt;15,$Y$82&lt;20),L298+(M298-L298)*($Y$82-$L$294)/($M$294-$L$294),0)</f>
        <v>0</v>
      </c>
      <c r="AA298" s="772">
        <f>IF(AND($Y$82&gt;20,$Y$82&lt;50),M298+(N298-M298)*($Y$82-$M$294)/($N$294-$M$294),0)</f>
        <v>0</v>
      </c>
      <c r="AB298" s="772">
        <f>IF(AND($Y$82&gt;50,$Y$82&lt;100),N298+(O298-N298)*($Y$82-$N$294)/($O$294-$N$294),0)</f>
        <v>0</v>
      </c>
      <c r="AC298" s="772">
        <f>IF(AND($Y$82&gt;100,$Y$82&lt;200),O298+(P298-O298)*($Y$82-$O$294)/($P$294-$O$294),0)</f>
        <v>0</v>
      </c>
      <c r="AD298" s="772">
        <f>IF(AND($Y$82&gt;200,$Y$82&lt;500),P298+(Q298-P298)*($Y$82-$P$294)/($Q$294-$P$294),0)</f>
        <v>0</v>
      </c>
      <c r="AE298" s="772">
        <f>IF(AND($Y$82&gt;500,$Y$82&lt;1000),Q298+(R298-Q298)*($Y$82-$Q$294)/($R$294-$Q$294),0)</f>
        <v>0</v>
      </c>
      <c r="AF298" s="772">
        <f>IF(AND($Y$82&gt;1000,$Y$82&lt;2000),R298+(S298-R298)*($Y$82-$R$294)/($S$294-$R$294),0)</f>
        <v>0</v>
      </c>
      <c r="AG298" s="772">
        <f>IF(AND($Y$82&gt;2000,$Y$82&lt;5000),S298+(T298-S298)*($Y$82-$S$294)/($T$294-$S$294),0)</f>
        <v>0</v>
      </c>
      <c r="AH298" s="772">
        <f>IF(AND($Y$82&gt;5000,$Y$82&lt;10000),T298+(U298-T298)*($Y$82-$T$294)/($U$294-$T$294),0)</f>
        <v>0</v>
      </c>
      <c r="AI298" s="772">
        <f>IF(AND($Y$82&gt;10000,$Y$82&lt;20000),U298+(V298-U298)*($Y$82-$U$294)/($V$294-$U$294),0)</f>
        <v>0</v>
      </c>
      <c r="AJ298" s="772">
        <f>IF(AND($Y$82&gt;20000,$Y$82&lt;30000),V298+(W298-V298)*($Y$82-$V$294)/($W$294-$V$294),0)</f>
        <v>0</v>
      </c>
    </row>
    <row r="299" spans="10:36" ht="15.6">
      <c r="J299" s="808">
        <v>5</v>
      </c>
      <c r="K299" s="786" t="s">
        <v>216</v>
      </c>
      <c r="L299" s="787">
        <v>5.6000000000000001E-2</v>
      </c>
      <c r="M299" s="787">
        <v>5.0999999999999997E-2</v>
      </c>
      <c r="N299" s="787">
        <v>4.1000000000000002E-2</v>
      </c>
      <c r="O299" s="787">
        <v>3.2000000000000001E-2</v>
      </c>
      <c r="P299" s="787">
        <v>2.1000000000000001E-2</v>
      </c>
      <c r="Q299" s="787">
        <v>1.2999999999999999E-2</v>
      </c>
      <c r="R299" s="787">
        <v>1.2E-2</v>
      </c>
      <c r="S299" s="787">
        <v>0.01</v>
      </c>
      <c r="T299" s="787">
        <v>8.0000000000000002E-3</v>
      </c>
      <c r="U299" s="787">
        <v>5.0000000000000001E-3</v>
      </c>
      <c r="V299" s="787">
        <v>4.0000000000000001E-3</v>
      </c>
      <c r="W299" s="787">
        <v>3.0000000000000001E-3</v>
      </c>
      <c r="X299" s="770">
        <f>SUM(Y299:AJ299)</f>
        <v>5.6000000000000001E-2</v>
      </c>
      <c r="Y299" s="771">
        <f>IF($Y$82&lt;=$L$294,L299,0)</f>
        <v>5.6000000000000001E-2</v>
      </c>
      <c r="Z299" s="772">
        <f>IF(AND($Y$82&gt;15,$Y$82&lt;20),L299+(M299-L299)*($Y$82-$L$294)/($M$294-$L$294),0)</f>
        <v>0</v>
      </c>
      <c r="AA299" s="772">
        <f>IF(AND($Y$82&gt;20,$Y$82&lt;50),M299+(N299-M299)*($Y$82-$M$294)/($N$294-$M$294),0)</f>
        <v>0</v>
      </c>
      <c r="AB299" s="772">
        <f>IF(AND($Y$82&gt;50,$Y$82&lt;100),N299+(O299-N299)*($Y$82-$N$294)/($O$294-$N$294),0)</f>
        <v>0</v>
      </c>
      <c r="AC299" s="772">
        <f>IF(AND($Y$82&gt;100,$Y$82&lt;200),O299+(P299-O299)*($Y$82-$O$294)/($P$294-$O$294),0)</f>
        <v>0</v>
      </c>
      <c r="AD299" s="772">
        <f>IF(AND($Y$82&gt;200,$Y$82&lt;500),P299+(Q299-P299)*($Y$82-$P$294)/($Q$294-$P$294),0)</f>
        <v>0</v>
      </c>
      <c r="AE299" s="772">
        <f>IF(AND($Y$82&gt;500,$Y$82&lt;1000),Q299+(R299-Q299)*($Y$82-$Q$294)/($R$294-$Q$294),0)</f>
        <v>0</v>
      </c>
      <c r="AF299" s="772">
        <f>IF(AND($Y$82&gt;1000,$Y$82&lt;2000),R299+(S299-R299)*($Y$82-$R$294)/($S$294-$R$294),0)</f>
        <v>0</v>
      </c>
      <c r="AG299" s="772">
        <f>IF(AND($Y$82&gt;2000,$Y$82&lt;5000),S299+(T299-S299)*($Y$82-$S$294)/($T$294-$S$294),0)</f>
        <v>0</v>
      </c>
      <c r="AH299" s="772">
        <f>IF(AND($Y$82&gt;5000,$Y$82&lt;10000),T299+(U299-T299)*($Y$82-$T$294)/($U$294-$T$294),0)</f>
        <v>0</v>
      </c>
      <c r="AI299" s="772">
        <f>IF(AND($Y$82&gt;10000,$Y$82&lt;20000),U299+(V299-U299)*($Y$82-$U$294)/($V$294-$U$294),0)</f>
        <v>0</v>
      </c>
      <c r="AJ299" s="772">
        <f>IF(AND($Y$82&gt;20000,$Y$82&lt;30000),V299+(W299-V299)*($Y$82-$V$294)/($W$294-$V$294),0)</f>
        <v>0</v>
      </c>
    </row>
    <row r="302" spans="10:36" ht="15.6">
      <c r="J302" s="773" t="s">
        <v>217</v>
      </c>
      <c r="K302" s="774"/>
      <c r="L302" s="774"/>
      <c r="M302" s="774"/>
      <c r="N302" s="803"/>
      <c r="O302" s="774"/>
      <c r="P302" s="774"/>
      <c r="Q302" s="774"/>
      <c r="R302" s="774"/>
      <c r="S302" s="774"/>
      <c r="T302" s="774"/>
      <c r="U302" s="774"/>
      <c r="V302" s="774"/>
      <c r="W302" s="774"/>
      <c r="X302" s="775"/>
    </row>
    <row r="303" spans="10:36" ht="15.6">
      <c r="J303" s="803"/>
      <c r="K303" s="774"/>
      <c r="L303" s="774"/>
      <c r="M303" s="774"/>
      <c r="N303" s="774"/>
      <c r="O303" s="774"/>
      <c r="P303" s="774"/>
      <c r="Q303" s="774"/>
      <c r="R303" s="774"/>
      <c r="S303" s="774"/>
      <c r="T303" s="774"/>
      <c r="U303" s="774"/>
      <c r="V303" s="774"/>
      <c r="W303" s="774"/>
      <c r="X303" s="775"/>
    </row>
    <row r="304" spans="10:36" ht="15.6">
      <c r="J304" s="792" t="s">
        <v>142</v>
      </c>
      <c r="K304" s="777" t="s">
        <v>143</v>
      </c>
      <c r="L304" s="778" t="s">
        <v>158</v>
      </c>
      <c r="M304" s="779"/>
      <c r="N304" s="779"/>
      <c r="O304" s="779"/>
      <c r="P304" s="779"/>
      <c r="Q304" s="779"/>
      <c r="R304" s="779"/>
      <c r="S304" s="779"/>
      <c r="T304" s="779"/>
      <c r="U304" s="779"/>
      <c r="V304" s="779"/>
      <c r="W304" s="780"/>
      <c r="X304" s="759"/>
      <c r="Y304" s="760"/>
      <c r="Z304" s="761"/>
      <c r="AA304" s="761"/>
      <c r="AB304" s="761"/>
      <c r="AC304" s="761"/>
      <c r="AD304" s="761"/>
      <c r="AE304" s="756"/>
      <c r="AF304" s="756"/>
      <c r="AG304" s="762"/>
      <c r="AH304" s="762"/>
      <c r="AI304" s="762"/>
    </row>
    <row r="305" spans="10:36" ht="15.6">
      <c r="J305" s="782"/>
      <c r="K305" s="781"/>
      <c r="L305" s="783">
        <v>15</v>
      </c>
      <c r="M305" s="784">
        <v>20</v>
      </c>
      <c r="N305" s="784">
        <v>50</v>
      </c>
      <c r="O305" s="784">
        <v>100</v>
      </c>
      <c r="P305" s="784">
        <v>200</v>
      </c>
      <c r="Q305" s="784">
        <v>500</v>
      </c>
      <c r="R305" s="784">
        <v>1000</v>
      </c>
      <c r="S305" s="784">
        <v>2000</v>
      </c>
      <c r="T305" s="784">
        <v>5000</v>
      </c>
      <c r="U305" s="784">
        <v>10000</v>
      </c>
      <c r="V305" s="784">
        <v>20000</v>
      </c>
      <c r="W305" s="784">
        <v>30000</v>
      </c>
      <c r="X305" s="759" t="s">
        <v>145</v>
      </c>
      <c r="Y305" s="767">
        <v>15</v>
      </c>
      <c r="Z305" s="768" t="s">
        <v>159</v>
      </c>
      <c r="AA305" s="768" t="s">
        <v>147</v>
      </c>
      <c r="AB305" s="768" t="s">
        <v>148</v>
      </c>
      <c r="AC305" s="768" t="s">
        <v>149</v>
      </c>
      <c r="AD305" s="768" t="s">
        <v>150</v>
      </c>
      <c r="AE305" s="768" t="s">
        <v>151</v>
      </c>
      <c r="AF305" s="768" t="s">
        <v>152</v>
      </c>
      <c r="AG305" s="768" t="s">
        <v>153</v>
      </c>
      <c r="AH305" s="768" t="s">
        <v>154</v>
      </c>
      <c r="AI305" s="768" t="s">
        <v>155</v>
      </c>
      <c r="AJ305" s="768" t="s">
        <v>156</v>
      </c>
    </row>
    <row r="306" spans="10:36" ht="15.6">
      <c r="J306" s="808">
        <v>1</v>
      </c>
      <c r="K306" s="786" t="s">
        <v>100</v>
      </c>
      <c r="L306" s="787">
        <v>0.20399999999999999</v>
      </c>
      <c r="M306" s="787">
        <v>0.16800000000000001</v>
      </c>
      <c r="N306" s="787">
        <v>0.13800000000000001</v>
      </c>
      <c r="O306" s="787">
        <v>9.7000000000000003E-2</v>
      </c>
      <c r="P306" s="787">
        <v>7.0000000000000007E-2</v>
      </c>
      <c r="Q306" s="787">
        <v>4.5999999999999999E-2</v>
      </c>
      <c r="R306" s="787">
        <v>4.1000000000000002E-2</v>
      </c>
      <c r="S306" s="787">
        <v>3.4000000000000002E-2</v>
      </c>
      <c r="T306" s="787">
        <v>2.5999999999999999E-2</v>
      </c>
      <c r="U306" s="787">
        <v>1.9E-2</v>
      </c>
      <c r="V306" s="787">
        <v>1.4999999999999999E-2</v>
      </c>
      <c r="W306" s="787">
        <v>1.2E-2</v>
      </c>
      <c r="X306" s="770">
        <f>SUM(Y306:AJ306)</f>
        <v>0.20399999999999999</v>
      </c>
      <c r="Y306" s="771">
        <f>IF($Y$82&lt;=$L$305,L306,0)</f>
        <v>0.20399999999999999</v>
      </c>
      <c r="Z306" s="772">
        <f>IF(AND($Y$82&gt;15,$Y$82&lt;20),L306+(M306-L306)*($Y$82-$L$305)/($M$305-$L$305),0)</f>
        <v>0</v>
      </c>
      <c r="AA306" s="772">
        <f>IF(AND($Y$82&gt;20,$Y$82&lt;50),M306+(N306-M306)*($Y$82-$M$305)/($N$305-$M$305),0)</f>
        <v>0</v>
      </c>
      <c r="AB306" s="772">
        <f>IF(AND($Y$82&gt;50,$Y$82&lt;100),N306+(O306-N306)*($Y$82-$N$305)/($O$305-$N$305),0)</f>
        <v>0</v>
      </c>
      <c r="AC306" s="772">
        <f>IF(AND($Y$82&gt;100,$Y$82&lt;200),O306+(P306-O306)*($Y$82-$O$305)/($P$305-$O$305),0)</f>
        <v>0</v>
      </c>
      <c r="AD306" s="772">
        <f>IF(AND($Y$82&gt;200,$Y$82&lt;500),P306+(Q306-P306)*($Y$82-$P$305)/($Q$305-$P$305),0)</f>
        <v>0</v>
      </c>
      <c r="AE306" s="772">
        <f>IF(AND($Y$82&gt;500,$Y$82&lt;1000),Q306+(R306-Q306)*($Y$82-$Q$305)/($R$305-$Q$305),0)</f>
        <v>0</v>
      </c>
      <c r="AF306" s="772">
        <f>IF(AND($Y$82&gt;1000,$Y$82&lt;2000),R306+(S306-R306)*($Y$82-$R$305)/($S$305-$R$305),0)</f>
        <v>0</v>
      </c>
      <c r="AG306" s="772">
        <f>IF(AND($Y$82&gt;2000,$Y$82&lt;5000),S306+(T306-S306)*($Y$82-$S$305)/($T$305-$S$305),0)</f>
        <v>0</v>
      </c>
      <c r="AH306" s="772">
        <f>IF(AND($Y$82&gt;5000,$Y$82&lt;10000),T306+(U306-T306)*($Y$82-$T$305)/($U$305-$T$305),0)</f>
        <v>0</v>
      </c>
      <c r="AI306" s="772">
        <f>IF(AND($Y$82&gt;10000,$Y$82&lt;20000),U306+(V306-U306)*($Y$82-$U$305)/($V$305-$U$305),0)</f>
        <v>0</v>
      </c>
      <c r="AJ306" s="772">
        <f>IF(AND($Y$82&gt;20000,$Y$82&lt;30000),V306+(W306-V306)*($Y$82-$V$305)/($W$305-$V$305),0)</f>
        <v>0</v>
      </c>
    </row>
    <row r="307" spans="10:36" ht="15.6">
      <c r="J307" s="808">
        <v>2</v>
      </c>
      <c r="K307" s="786" t="s">
        <v>103</v>
      </c>
      <c r="L307" s="787">
        <v>0.28100000000000003</v>
      </c>
      <c r="M307" s="787">
        <v>0.23799999999999999</v>
      </c>
      <c r="N307" s="787">
        <v>0.19</v>
      </c>
      <c r="O307" s="787">
        <v>0.14099999999999999</v>
      </c>
      <c r="P307" s="787">
        <v>0.107</v>
      </c>
      <c r="Q307" s="787">
        <v>8.0000000000013005E-2</v>
      </c>
      <c r="R307" s="787">
        <v>7.0000000000000007E-2</v>
      </c>
      <c r="S307" s="787">
        <v>5.6000000000000001E-2</v>
      </c>
      <c r="T307" s="787">
        <v>4.3999999999999997E-2</v>
      </c>
      <c r="U307" s="787">
        <v>2.9000000000000001E-2</v>
      </c>
      <c r="V307" s="787">
        <v>0.02</v>
      </c>
      <c r="W307" s="787">
        <v>1.4999999999999999E-2</v>
      </c>
      <c r="X307" s="770">
        <f>SUM(Y307:AJ307)</f>
        <v>0.28100000000000003</v>
      </c>
      <c r="Y307" s="771">
        <f>IF($Y$82&lt;=$L$305,L307,0)</f>
        <v>0.28100000000000003</v>
      </c>
      <c r="Z307" s="772">
        <f>IF(AND($Y$82&gt;15,$Y$82&lt;20),L307+(M307-L307)*($Y$82-$L$305)/($M$305-$L$305),0)</f>
        <v>0</v>
      </c>
      <c r="AA307" s="772">
        <f>IF(AND($Y$82&gt;20,$Y$82&lt;50),M307+(N307-M307)*($Y$82-$M$305)/($N$305-$M$305),0)</f>
        <v>0</v>
      </c>
      <c r="AB307" s="772">
        <f>IF(AND($Y$82&gt;50,$Y$82&lt;100),N307+(O307-N307)*($Y$82-$N$305)/($O$305-$N$305),0)</f>
        <v>0</v>
      </c>
      <c r="AC307" s="772">
        <f>IF(AND($Y$82&gt;100,$Y$82&lt;200),O307+(P307-O307)*($Y$82-$O$305)/($P$305-$O$305),0)</f>
        <v>0</v>
      </c>
      <c r="AD307" s="772">
        <f>IF(AND($Y$82&gt;200,$Y$82&lt;500),P307+(Q307-P307)*($Y$82-$P$305)/($Q$305-$P$305),0)</f>
        <v>0</v>
      </c>
      <c r="AE307" s="772">
        <f>IF(AND($Y$82&gt;500,$Y$82&lt;1000),Q307+(R307-Q307)*($Y$82-$Q$305)/($R$305-$Q$305),0)</f>
        <v>0</v>
      </c>
      <c r="AF307" s="772">
        <f>IF(AND($Y$82&gt;1000,$Y$82&lt;2000),R307+(S307-R307)*($Y$82-$R$305)/($S$305-$R$305),0)</f>
        <v>0</v>
      </c>
      <c r="AG307" s="772">
        <f>IF(AND($Y$82&gt;2000,$Y$82&lt;5000),S307+(T307-S307)*($Y$82-$S$305)/($T$305-$S$305),0)</f>
        <v>0</v>
      </c>
      <c r="AH307" s="772">
        <f>IF(AND($Y$82&gt;5000,$Y$82&lt;10000),T307+(U307-T307)*($Y$82-$T$305)/($U$305-$T$305),0)</f>
        <v>0</v>
      </c>
      <c r="AI307" s="772">
        <f>IF(AND($Y$82&gt;10000,$Y$82&lt;20000),U307+(V307-U307)*($Y$82-$U$305)/($V$305-$U$305),0)</f>
        <v>0</v>
      </c>
      <c r="AJ307" s="772">
        <f>IF(AND($Y$82&gt;20000,$Y$82&lt;30000),V307+(W307-V307)*($Y$82-$V$305)/($W$305-$V$305),0)</f>
        <v>0</v>
      </c>
    </row>
    <row r="308" spans="10:36" ht="15.6">
      <c r="J308" s="808">
        <v>3</v>
      </c>
      <c r="K308" s="786" t="s">
        <v>89</v>
      </c>
      <c r="L308" s="787">
        <v>0.153</v>
      </c>
      <c r="M308" s="787">
        <v>0.13900000000000001</v>
      </c>
      <c r="N308" s="787">
        <v>0.112</v>
      </c>
      <c r="O308" s="787">
        <v>8.6999999999999994E-2</v>
      </c>
      <c r="P308" s="787">
        <v>5.8000000000000003E-2</v>
      </c>
      <c r="Q308" s="787">
        <v>3.5999999999999997E-2</v>
      </c>
      <c r="R308" s="787">
        <v>3.2000000000000001E-2</v>
      </c>
      <c r="S308" s="787">
        <v>2.5999999999999999E-2</v>
      </c>
      <c r="T308" s="787">
        <v>0.02</v>
      </c>
      <c r="U308" s="787">
        <v>1.4E-2</v>
      </c>
      <c r="V308" s="787">
        <v>0.01</v>
      </c>
      <c r="W308" s="787">
        <v>8.9999999999999993E-3</v>
      </c>
      <c r="X308" s="770">
        <f>SUM(Y308:AJ308)</f>
        <v>0.153</v>
      </c>
      <c r="Y308" s="771">
        <f>IF($Y$82&lt;=$L$305,L308,0)</f>
        <v>0.153</v>
      </c>
      <c r="Z308" s="772">
        <f>IF(AND($Y$82&gt;15,$Y$82&lt;20),L308+(M308-L308)*($Y$82-$L$305)/($M$305-$L$305),0)</f>
        <v>0</v>
      </c>
      <c r="AA308" s="772">
        <f>IF(AND($Y$82&gt;20,$Y$82&lt;50),M308+(N308-M308)*($Y$82-$M$305)/($N$305-$M$305),0)</f>
        <v>0</v>
      </c>
      <c r="AB308" s="772">
        <f>IF(AND($Y$82&gt;50,$Y$82&lt;100),N308+(O308-N308)*($Y$82-$N$305)/($O$305-$N$305),0)</f>
        <v>0</v>
      </c>
      <c r="AC308" s="772">
        <f>IF(AND($Y$82&gt;100,$Y$82&lt;200),O308+(P308-O308)*($Y$82-$O$305)/($P$305-$O$305),0)</f>
        <v>0</v>
      </c>
      <c r="AD308" s="772">
        <f>IF(AND($Y$82&gt;200,$Y$82&lt;500),P308+(Q308-P308)*($Y$82-$P$305)/($Q$305-$P$305),0)</f>
        <v>0</v>
      </c>
      <c r="AE308" s="772">
        <f>IF(AND($Y$82&gt;500,$Y$82&lt;1000),Q308+(R308-Q308)*($Y$82-$Q$305)/($R$305-$Q$305),0)</f>
        <v>0</v>
      </c>
      <c r="AF308" s="772">
        <f>IF(AND($Y$82&gt;1000,$Y$82&lt;2000),R308+(S308-R308)*($Y$82-$R$305)/($S$305-$R$305),0)</f>
        <v>0</v>
      </c>
      <c r="AG308" s="772">
        <f>IF(AND($Y$82&gt;2000,$Y$82&lt;5000),S308+(T308-S308)*($Y$82-$S$305)/($T$305-$S$305),0)</f>
        <v>0</v>
      </c>
      <c r="AH308" s="772">
        <f>IF(AND($Y$82&gt;5000,$Y$82&lt;10000),T308+(U308-T308)*($Y$82-$T$305)/($U$305-$T$305),0)</f>
        <v>0</v>
      </c>
      <c r="AI308" s="772">
        <f>IF(AND($Y$82&gt;10000,$Y$82&lt;20000),U308+(V308-U308)*($Y$82-$U$305)/($V$305-$U$305),0)</f>
        <v>0</v>
      </c>
      <c r="AJ308" s="772">
        <f>IF(AND($Y$82&gt;20000,$Y$82&lt;30000),V308+(W308-V308)*($Y$82-$V$305)/($W$305-$V$305),0)</f>
        <v>0</v>
      </c>
    </row>
    <row r="309" spans="10:36" ht="15.6">
      <c r="J309" s="808">
        <v>4</v>
      </c>
      <c r="K309" s="786" t="s">
        <v>106</v>
      </c>
      <c r="L309" s="787">
        <v>0.182</v>
      </c>
      <c r="M309" s="787">
        <v>0.16700000000000001</v>
      </c>
      <c r="N309" s="787">
        <v>0.13300000000000001</v>
      </c>
      <c r="O309" s="787">
        <v>9.4E-2</v>
      </c>
      <c r="P309" s="787">
        <v>6.8000000000000005E-2</v>
      </c>
      <c r="Q309" s="787">
        <v>4.3999999999999997E-2</v>
      </c>
      <c r="R309" s="787">
        <v>3.6999999999999998E-2</v>
      </c>
      <c r="S309" s="787">
        <v>3.2000000000000001E-2</v>
      </c>
      <c r="T309" s="787">
        <v>2.5999999999999999E-2</v>
      </c>
      <c r="U309" s="787">
        <v>1.7000000000000001E-2</v>
      </c>
      <c r="V309" s="787">
        <v>1.4E-2</v>
      </c>
      <c r="W309" s="787">
        <v>0.01</v>
      </c>
      <c r="X309" s="770">
        <f>SUM(Y309:AJ309)</f>
        <v>0.182</v>
      </c>
      <c r="Y309" s="771">
        <f>IF($Y$82&lt;=$L$305,L309,0)</f>
        <v>0.182</v>
      </c>
      <c r="Z309" s="772">
        <f>IF(AND($Y$82&gt;15,$Y$82&lt;20),L309+(M309-L309)*($Y$82-$L$305)/($M$305-$L$305),0)</f>
        <v>0</v>
      </c>
      <c r="AA309" s="772">
        <f>IF(AND($Y$82&gt;20,$Y$82&lt;50),M309+(N309-M309)*($Y$82-$M$305)/($N$305-$M$305),0)</f>
        <v>0</v>
      </c>
      <c r="AB309" s="772">
        <f>IF(AND($Y$82&gt;50,$Y$82&lt;100),N309+(O309-N309)*($Y$82-$N$305)/($O$305-$N$305),0)</f>
        <v>0</v>
      </c>
      <c r="AC309" s="772">
        <f>IF(AND($Y$82&gt;100,$Y$82&lt;200),O309+(P309-O309)*($Y$82-$O$305)/($P$305-$O$305),0)</f>
        <v>0</v>
      </c>
      <c r="AD309" s="772">
        <f>IF(AND($Y$82&gt;200,$Y$82&lt;500),P309+(Q309-P309)*($Y$82-$P$305)/($Q$305-$P$305),0)</f>
        <v>0</v>
      </c>
      <c r="AE309" s="772">
        <f>IF(AND($Y$82&gt;500,$Y$82&lt;1000),Q309+(R309-Q309)*($Y$82-$Q$305)/($R$305-$Q$305),0)</f>
        <v>0</v>
      </c>
      <c r="AF309" s="772">
        <f>IF(AND($Y$82&gt;1000,$Y$82&lt;2000),R309+(S309-R309)*($Y$82-$R$305)/($S$305-$R$305),0)</f>
        <v>0</v>
      </c>
      <c r="AG309" s="772">
        <f>IF(AND($Y$82&gt;2000,$Y$82&lt;5000),S309+(T309-S309)*($Y$82-$S$305)/($T$305-$S$305),0)</f>
        <v>0</v>
      </c>
      <c r="AH309" s="772">
        <f>IF(AND($Y$82&gt;5000,$Y$82&lt;10000),T309+(U309-T309)*($Y$82-$T$305)/($U$305-$T$305),0)</f>
        <v>0</v>
      </c>
      <c r="AI309" s="772">
        <f>IF(AND($Y$82&gt;10000,$Y$82&lt;20000),U309+(V309-U309)*($Y$82-$U$305)/($V$305-$U$305),0)</f>
        <v>0</v>
      </c>
      <c r="AJ309" s="772">
        <f>IF(AND($Y$82&gt;20000,$Y$82&lt;30000),V309+(W309-V309)*($Y$82-$V$305)/($W$305-$V$305),0)</f>
        <v>0</v>
      </c>
    </row>
    <row r="310" spans="10:36" ht="15.6">
      <c r="J310" s="808">
        <v>5</v>
      </c>
      <c r="K310" s="786" t="s">
        <v>216</v>
      </c>
      <c r="L310" s="787">
        <v>0.16</v>
      </c>
      <c r="M310" s="787">
        <v>0.14499999999999999</v>
      </c>
      <c r="N310" s="787">
        <v>0.11600000000000001</v>
      </c>
      <c r="O310" s="787">
        <v>9.1999999999999998E-2</v>
      </c>
      <c r="P310" s="787">
        <v>0.06</v>
      </c>
      <c r="Q310" s="787">
        <v>3.6999999999999998E-2</v>
      </c>
      <c r="R310" s="787">
        <v>3.4000000000000002E-2</v>
      </c>
      <c r="S310" s="787">
        <v>2.9000000000000001E-2</v>
      </c>
      <c r="T310" s="787">
        <v>2.1999999999999999E-2</v>
      </c>
      <c r="U310" s="787">
        <v>1.4999999999999999E-2</v>
      </c>
      <c r="V310" s="787">
        <v>0.01</v>
      </c>
      <c r="W310" s="787">
        <v>8.9999999999999993E-3</v>
      </c>
      <c r="X310" s="770">
        <f>SUM(Y310:AJ310)</f>
        <v>0.16</v>
      </c>
      <c r="Y310" s="771">
        <f>IF($Y$82&lt;=$L$305,L310,0)</f>
        <v>0.16</v>
      </c>
      <c r="Z310" s="772">
        <f>IF(AND($Y$82&gt;15,$Y$82&lt;20),L310+(M310-L310)*($Y$82-$L$305)/($M$305-$L$305),0)</f>
        <v>0</v>
      </c>
      <c r="AA310" s="772">
        <f>IF(AND($Y$82&gt;20,$Y$82&lt;50),M310+(N310-M310)*($Y$82-$M$305)/($N$305-$M$305),0)</f>
        <v>0</v>
      </c>
      <c r="AB310" s="772">
        <f>IF(AND($Y$82&gt;50,$Y$82&lt;100),N310+(O310-N310)*($Y$82-$N$305)/($O$305-$N$305),0)</f>
        <v>0</v>
      </c>
      <c r="AC310" s="772">
        <f>IF(AND($Y$82&gt;100,$Y$82&lt;200),O310+(P310-O310)*($Y$82-$O$305)/($P$305-$O$305),0)</f>
        <v>0</v>
      </c>
      <c r="AD310" s="772">
        <f>IF(AND($Y$82&gt;200,$Y$82&lt;500),P310+(Q310-P310)*($Y$82-$P$305)/($Q$305-$P$305),0)</f>
        <v>0</v>
      </c>
      <c r="AE310" s="772">
        <f>IF(AND($Y$82&gt;500,$Y$82&lt;1000),Q310+(R310-Q310)*($Y$82-$Q$305)/($R$305-$Q$305),0)</f>
        <v>0</v>
      </c>
      <c r="AF310" s="772">
        <f>IF(AND($Y$82&gt;1000,$Y$82&lt;2000),R310+(S310-R310)*($Y$82-$R$305)/($S$305-$R$305),0)</f>
        <v>0</v>
      </c>
      <c r="AG310" s="772">
        <f>IF(AND($Y$82&gt;2000,$Y$82&lt;5000),S310+(T310-S310)*($Y$82-$S$305)/($T$305-$S$305),0)</f>
        <v>0</v>
      </c>
      <c r="AH310" s="772">
        <f>IF(AND($Y$82&gt;5000,$Y$82&lt;10000),T310+(U310-T310)*($Y$82-$T$305)/($U$305-$T$305),0)</f>
        <v>0</v>
      </c>
      <c r="AI310" s="772">
        <f>IF(AND($Y$82&gt;10000,$Y$82&lt;20000),U310+(V310-U310)*($Y$82-$U$305)/($V$305-$U$305),0)</f>
        <v>0</v>
      </c>
      <c r="AJ310" s="772">
        <f>IF(AND($Y$82&gt;20000,$Y$82&lt;30000),V310+(W310-V310)*($Y$82-$V$305)/($W$305-$V$305),0)</f>
        <v>0</v>
      </c>
    </row>
    <row r="313" spans="10:36" ht="15.6">
      <c r="J313" s="773" t="s">
        <v>218</v>
      </c>
      <c r="K313" s="774"/>
      <c r="L313" s="774"/>
      <c r="M313" s="774"/>
      <c r="N313" s="774"/>
      <c r="O313" s="774"/>
      <c r="P313" s="774"/>
      <c r="Q313" s="774"/>
      <c r="R313" s="774"/>
      <c r="S313" s="774"/>
      <c r="T313" s="774"/>
      <c r="U313" s="774"/>
      <c r="V313" s="774"/>
      <c r="W313" s="774"/>
    </row>
    <row r="314" spans="10:36" ht="15.6">
      <c r="J314" s="803"/>
      <c r="K314" s="774"/>
      <c r="L314" s="774"/>
      <c r="M314" s="774"/>
      <c r="N314" s="774"/>
      <c r="O314" s="774"/>
      <c r="P314" s="774"/>
      <c r="Q314" s="774"/>
      <c r="R314" s="774"/>
      <c r="S314" s="774"/>
      <c r="T314" s="774"/>
      <c r="U314" s="774"/>
      <c r="V314" s="791"/>
      <c r="W314" s="774"/>
    </row>
    <row r="315" spans="10:36" ht="15.6">
      <c r="J315" s="792" t="s">
        <v>142</v>
      </c>
      <c r="K315" s="777" t="s">
        <v>143</v>
      </c>
      <c r="L315" s="794" t="s">
        <v>219</v>
      </c>
      <c r="M315" s="784"/>
      <c r="N315" s="784"/>
      <c r="O315" s="784"/>
      <c r="P315" s="784"/>
      <c r="Q315" s="784"/>
      <c r="R315" s="784"/>
      <c r="S315" s="784"/>
      <c r="T315" s="784"/>
      <c r="U315" s="784"/>
      <c r="V315" s="784"/>
      <c r="W315" s="745"/>
      <c r="X315" s="759"/>
      <c r="Y315" s="760"/>
      <c r="Z315" s="761"/>
      <c r="AA315" s="761"/>
      <c r="AB315" s="761"/>
      <c r="AC315" s="761"/>
      <c r="AD315" s="761"/>
      <c r="AE315" s="756"/>
      <c r="AF315" s="756"/>
      <c r="AG315" s="762"/>
      <c r="AH315" s="762"/>
      <c r="AI315" s="762"/>
    </row>
    <row r="316" spans="10:36" ht="15.6">
      <c r="J316" s="782"/>
      <c r="K316" s="782"/>
      <c r="L316" s="783">
        <v>10</v>
      </c>
      <c r="M316" s="784">
        <v>20</v>
      </c>
      <c r="N316" s="784">
        <v>50</v>
      </c>
      <c r="O316" s="784">
        <v>100</v>
      </c>
      <c r="P316" s="784">
        <v>200</v>
      </c>
      <c r="Q316" s="784">
        <v>500</v>
      </c>
      <c r="R316" s="784">
        <v>1000</v>
      </c>
      <c r="S316" s="784">
        <v>2000</v>
      </c>
      <c r="T316" s="784">
        <v>5000</v>
      </c>
      <c r="U316" s="784">
        <v>8000</v>
      </c>
      <c r="V316" s="784">
        <v>10000</v>
      </c>
      <c r="W316" s="745"/>
      <c r="X316" s="759" t="s">
        <v>145</v>
      </c>
      <c r="Y316" s="767">
        <v>10</v>
      </c>
      <c r="Z316" s="768" t="s">
        <v>146</v>
      </c>
      <c r="AA316" s="768" t="s">
        <v>147</v>
      </c>
      <c r="AB316" s="768" t="s">
        <v>148</v>
      </c>
      <c r="AC316" s="768" t="s">
        <v>149</v>
      </c>
      <c r="AD316" s="768" t="s">
        <v>150</v>
      </c>
      <c r="AE316" s="768" t="s">
        <v>151</v>
      </c>
      <c r="AF316" s="768" t="s">
        <v>152</v>
      </c>
      <c r="AG316" s="768" t="s">
        <v>153</v>
      </c>
      <c r="AH316" s="768" t="s">
        <v>169</v>
      </c>
      <c r="AI316" s="768" t="s">
        <v>170</v>
      </c>
    </row>
    <row r="317" spans="10:36" ht="15.6">
      <c r="J317" s="808">
        <v>1</v>
      </c>
      <c r="K317" s="786" t="s">
        <v>100</v>
      </c>
      <c r="L317" s="787">
        <v>0.25800000000000001</v>
      </c>
      <c r="M317" s="787">
        <v>0.223</v>
      </c>
      <c r="N317" s="787">
        <v>0.17199999999999999</v>
      </c>
      <c r="O317" s="787">
        <v>0.14299999999999999</v>
      </c>
      <c r="P317" s="787">
        <v>0.108</v>
      </c>
      <c r="Q317" s="787">
        <v>8.3000000000000004E-2</v>
      </c>
      <c r="R317" s="787">
        <v>6.8000000000000005E-2</v>
      </c>
      <c r="S317" s="787">
        <v>4.3999999999999997E-2</v>
      </c>
      <c r="T317" s="787">
        <v>3.3000000000000002E-2</v>
      </c>
      <c r="U317" s="787">
        <v>2.8000000000000001E-2</v>
      </c>
      <c r="V317" s="787">
        <v>2.5999999999999999E-2</v>
      </c>
      <c r="W317" s="745"/>
      <c r="X317" s="770">
        <f>SUM(Y317:AI317)</f>
        <v>0.25800000000000001</v>
      </c>
      <c r="Y317" s="771">
        <f>IF($Y$82&lt;=$L$316,L317,0)</f>
        <v>0.25800000000000001</v>
      </c>
      <c r="Z317" s="772">
        <f>IF(AND($Y$82&gt;10,$Y$82&lt;20),L317+(M317-L317)*($Y$82-$L$316)/($M$316-$L$316),0)</f>
        <v>0</v>
      </c>
      <c r="AA317" s="772">
        <f>IF(AND($Y$82&gt;20,$Y$82&lt;50),M317+(N317-M317)*($Y$82-$M$316)/($N$316-$M$316),0)</f>
        <v>0</v>
      </c>
      <c r="AB317" s="772">
        <f>IF(AND($Y$82&gt;50,$Y$82&lt;100),N317+(O317-N317)*($Y$82-$N$316)/($O$316-$N$316),0)</f>
        <v>0</v>
      </c>
      <c r="AC317" s="772">
        <f>IF(AND($Y$82&gt;100,$Y$82&lt;200),O317+(P317-O317)*($Y$82-$O$316)/($P$316-$O$316),0)</f>
        <v>0</v>
      </c>
      <c r="AD317" s="772">
        <f>IF(AND($Y$82&gt;200,$Y$82&lt;500),P317+(Q317-P317)*($Y$82-$P$316)/($Q$316-$P$316),0)</f>
        <v>0</v>
      </c>
      <c r="AE317" s="772">
        <f>IF(AND($Y$82&gt;500,$Y$82&lt;1000),Q317+(R317-Q317)*($Y$82-$Q$316)/($R$316-$Q$316),0)</f>
        <v>0</v>
      </c>
      <c r="AF317" s="772">
        <f>IF(AND($Y$82&gt;1000,$Y$82&lt;2000),R317+(S317-R317)*($Y$82-$R$316)/($S$316-$R$316),0)</f>
        <v>0</v>
      </c>
      <c r="AG317" s="772">
        <f>IF(AND($Y$82&gt;2000,$Y$82&lt;5000),S317+(T317-S317)*($Y$82-$S$316)/($T$316-$S$316),0)</f>
        <v>0</v>
      </c>
      <c r="AH317" s="772">
        <f>IF(AND($Y$82&gt;5000,$Y$82&lt;8000),T317+(U317-T317)*($Y$82-$T$316)/($U$316-$T$316),0)</f>
        <v>0</v>
      </c>
      <c r="AI317" s="772">
        <f>IF(AND($Y$82&gt;8000,$Y$82&lt;10000),U317+(V317-U317)*($Y$82-$U$316)/($V$316-$U$316),0)</f>
        <v>0</v>
      </c>
    </row>
    <row r="318" spans="10:36" ht="15.6">
      <c r="J318" s="808">
        <v>2</v>
      </c>
      <c r="K318" s="786" t="s">
        <v>103</v>
      </c>
      <c r="L318" s="787">
        <v>0.28999999999999998</v>
      </c>
      <c r="M318" s="787">
        <v>0.252</v>
      </c>
      <c r="N318" s="787">
        <v>0.192</v>
      </c>
      <c r="O318" s="787">
        <v>0.14599999999999999</v>
      </c>
      <c r="P318" s="787">
        <v>0.113000000000001</v>
      </c>
      <c r="Q318" s="787">
        <v>8.6999999999999994E-2</v>
      </c>
      <c r="R318" s="787">
        <v>6.6000000000000003E-2</v>
      </c>
      <c r="S318" s="787">
        <v>5.2999999999999999E-2</v>
      </c>
      <c r="T318" s="787">
        <v>3.7999999999999999E-2</v>
      </c>
      <c r="U318" s="787">
        <v>3.1E-2</v>
      </c>
      <c r="V318" s="787">
        <v>2.8000000000000001E-2</v>
      </c>
      <c r="W318" s="745"/>
      <c r="X318" s="770">
        <f>SUM(Y318:AI318)</f>
        <v>0.28999999999999998</v>
      </c>
      <c r="Y318" s="771">
        <f>IF($Y$82&lt;=$L$316,L318,0)</f>
        <v>0.28999999999999998</v>
      </c>
      <c r="Z318" s="772">
        <f>IF(AND($Y$82&gt;10,$Y$82&lt;20),L318+(M318-L318)*($Y$82-$L$316)/($M$316-$L$316),0)</f>
        <v>0</v>
      </c>
      <c r="AA318" s="772">
        <f>IF(AND($Y$82&gt;20,$Y$82&lt;50),M318+(N318-M318)*($Y$82-$M$316)/($N$316-$M$316),0)</f>
        <v>0</v>
      </c>
      <c r="AB318" s="772">
        <f>IF(AND($Y$82&gt;50,$Y$82&lt;100),N318+(O318-N318)*($Y$82-$N$316)/($O$316-$N$316),0)</f>
        <v>0</v>
      </c>
      <c r="AC318" s="772">
        <f>IF(AND($Y$82&gt;100,$Y$82&lt;200),O318+(P318-O318)*($Y$82-$O$316)/($P$316-$O$316),0)</f>
        <v>0</v>
      </c>
      <c r="AD318" s="772">
        <f>IF(AND($Y$82&gt;200,$Y$82&lt;500),P318+(Q318-P318)*($Y$82-$P$316)/($Q$316-$P$316),0)</f>
        <v>0</v>
      </c>
      <c r="AE318" s="772">
        <f>IF(AND($Y$82&gt;500,$Y$82&lt;1000),Q318+(R318-Q318)*($Y$82-$Q$316)/($R$316-$Q$316),0)</f>
        <v>0</v>
      </c>
      <c r="AF318" s="772">
        <f>IF(AND($Y$82&gt;1000,$Y$82&lt;2000),R318+(S318-R318)*($Y$82-$R$316)/($S$316-$R$316),0)</f>
        <v>0</v>
      </c>
      <c r="AG318" s="772">
        <f>IF(AND($Y$82&gt;2000,$Y$82&lt;5000),S318+(T318-S318)*($Y$82-$S$316)/($T$316-$S$316),0)</f>
        <v>0</v>
      </c>
      <c r="AH318" s="772">
        <f>IF(AND($Y$82&gt;5000,$Y$82&lt;8000),T318+(U318-T318)*($Y$82-$T$316)/($U$316-$T$316),0)</f>
        <v>0</v>
      </c>
      <c r="AI318" s="772">
        <f>IF(AND($Y$82&gt;8000,$Y$82&lt;10000),U318+(V318-U318)*($Y$82-$U$316)/($V$316-$U$316),0)</f>
        <v>0</v>
      </c>
    </row>
    <row r="319" spans="10:36" ht="15.6">
      <c r="J319" s="808">
        <v>3</v>
      </c>
      <c r="K319" s="786" t="s">
        <v>89</v>
      </c>
      <c r="L319" s="787">
        <v>0.17</v>
      </c>
      <c r="M319" s="787">
        <v>0.14699999999999999</v>
      </c>
      <c r="N319" s="787">
        <v>0.113</v>
      </c>
      <c r="O319" s="787">
        <v>8.4000000000000005E-2</v>
      </c>
      <c r="P319" s="787">
        <v>7.2999999999999995E-2</v>
      </c>
      <c r="Q319" s="787">
        <v>5.5E-2</v>
      </c>
      <c r="R319" s="787">
        <v>4.2000000000000003E-2</v>
      </c>
      <c r="S319" s="787">
        <v>3.5000000000000003E-2</v>
      </c>
      <c r="T319" s="787">
        <v>2.4E-2</v>
      </c>
      <c r="U319" s="787">
        <v>0.02</v>
      </c>
      <c r="V319" s="787">
        <v>1.7000000000000001E-2</v>
      </c>
      <c r="W319" s="745"/>
      <c r="X319" s="770">
        <f>SUM(Y319:AI319)</f>
        <v>0.17</v>
      </c>
      <c r="Y319" s="771">
        <f>IF($Y$82&lt;=$L$316,L319,0)</f>
        <v>0.17</v>
      </c>
      <c r="Z319" s="772">
        <f>IF(AND($Y$82&gt;10,$Y$82&lt;20),L319+(M319-L319)*($Y$82-$L$316)/($M$316-$L$316),0)</f>
        <v>0</v>
      </c>
      <c r="AA319" s="772">
        <f>IF(AND($Y$82&gt;20,$Y$82&lt;50),M319+(N319-M319)*($Y$82-$M$316)/($N$316-$M$316),0)</f>
        <v>0</v>
      </c>
      <c r="AB319" s="772">
        <f>IF(AND($Y$82&gt;50,$Y$82&lt;100),N319+(O319-N319)*($Y$82-$N$316)/($O$316-$N$316),0)</f>
        <v>0</v>
      </c>
      <c r="AC319" s="772">
        <f>IF(AND($Y$82&gt;100,$Y$82&lt;200),O319+(P319-O319)*($Y$82-$O$316)/($P$316-$O$316),0)</f>
        <v>0</v>
      </c>
      <c r="AD319" s="772">
        <f>IF(AND($Y$82&gt;200,$Y$82&lt;500),P319+(Q319-P319)*($Y$82-$P$316)/($Q$316-$P$316),0)</f>
        <v>0</v>
      </c>
      <c r="AE319" s="772">
        <f>IF(AND($Y$82&gt;500,$Y$82&lt;1000),Q319+(R319-Q319)*($Y$82-$Q$316)/($R$316-$Q$316),0)</f>
        <v>0</v>
      </c>
      <c r="AF319" s="772">
        <f>IF(AND($Y$82&gt;1000,$Y$82&lt;2000),R319+(S319-R319)*($Y$82-$R$316)/($S$316-$R$316),0)</f>
        <v>0</v>
      </c>
      <c r="AG319" s="772">
        <f>IF(AND($Y$82&gt;2000,$Y$82&lt;5000),S319+(T319-S319)*($Y$82-$S$316)/($T$316-$S$316),0)</f>
        <v>0</v>
      </c>
      <c r="AH319" s="772">
        <f>IF(AND($Y$82&gt;5000,$Y$82&lt;8000),T319+(U319-T319)*($Y$82-$T$316)/($U$316-$T$316),0)</f>
        <v>0</v>
      </c>
      <c r="AI319" s="772">
        <f>IF(AND($Y$82&gt;8000,$Y$82&lt;10000),U319+(V319-U319)*($Y$82-$U$316)/($V$316-$U$316),0)</f>
        <v>0</v>
      </c>
    </row>
    <row r="320" spans="10:36" ht="15.6">
      <c r="J320" s="808">
        <v>4</v>
      </c>
      <c r="K320" s="786" t="s">
        <v>106</v>
      </c>
      <c r="L320" s="787">
        <v>0.189</v>
      </c>
      <c r="M320" s="787">
        <v>0.16300000000000001</v>
      </c>
      <c r="N320" s="787">
        <v>0.125</v>
      </c>
      <c r="O320" s="787">
        <v>9.2999999999999999E-2</v>
      </c>
      <c r="P320" s="787">
        <v>7.2999999999999995E-2</v>
      </c>
      <c r="Q320" s="787">
        <v>5.6000000000000001E-2</v>
      </c>
      <c r="R320" s="787">
        <v>4.2999999999999997E-2</v>
      </c>
      <c r="S320" s="787">
        <v>3.5000000000000003E-2</v>
      </c>
      <c r="T320" s="787">
        <v>2.5999999999999999E-2</v>
      </c>
      <c r="U320" s="787">
        <v>2.1999999999999999E-2</v>
      </c>
      <c r="V320" s="787">
        <v>1.9E-2</v>
      </c>
      <c r="W320" s="745"/>
      <c r="X320" s="770">
        <f>SUM(Y320:AI320)</f>
        <v>0.189</v>
      </c>
      <c r="Y320" s="771">
        <f>IF($Y$82&lt;=$L$316,L320,0)</f>
        <v>0.189</v>
      </c>
      <c r="Z320" s="772">
        <f>IF(AND($Y$82&gt;10,$Y$82&lt;20),L320+(M320-L320)*($Y$82-$L$316)/($M$316-$L$316),0)</f>
        <v>0</v>
      </c>
      <c r="AA320" s="772">
        <f>IF(AND($Y$82&gt;20,$Y$82&lt;50),M320+(N320-M320)*($Y$82-$M$316)/($N$316-$M$316),0)</f>
        <v>0</v>
      </c>
      <c r="AB320" s="772">
        <f>IF(AND($Y$82&gt;50,$Y$82&lt;100),N320+(O320-N320)*($Y$82-$N$316)/($O$316-$N$316),0)</f>
        <v>0</v>
      </c>
      <c r="AC320" s="772">
        <f>IF(AND($Y$82&gt;100,$Y$82&lt;200),O320+(P320-O320)*($Y$82-$O$316)/($P$316-$O$316),0)</f>
        <v>0</v>
      </c>
      <c r="AD320" s="772">
        <f>IF(AND($Y$82&gt;200,$Y$82&lt;500),P320+(Q320-P320)*($Y$82-$P$316)/($Q$316-$P$316),0)</f>
        <v>0</v>
      </c>
      <c r="AE320" s="772">
        <f>IF(AND($Y$82&gt;500,$Y$82&lt;1000),Q320+(R320-Q320)*($Y$82-$Q$316)/($R$316-$Q$316),0)</f>
        <v>0</v>
      </c>
      <c r="AF320" s="772">
        <f>IF(AND($Y$82&gt;1000,$Y$82&lt;2000),R320+(S320-R320)*($Y$82-$R$316)/($S$316-$R$316),0)</f>
        <v>0</v>
      </c>
      <c r="AG320" s="772">
        <f>IF(AND($Y$82&gt;2000,$Y$82&lt;5000),S320+(T320-S320)*($Y$82-$S$316)/($T$316-$S$316),0)</f>
        <v>0</v>
      </c>
      <c r="AH320" s="772">
        <f>IF(AND($Y$82&gt;5000,$Y$82&lt;8000),T320+(U320-T320)*($Y$82-$T$316)/($U$316-$T$316),0)</f>
        <v>0</v>
      </c>
      <c r="AI320" s="772">
        <f>IF(AND($Y$82&gt;8000,$Y$82&lt;10000),U320+(V320-U320)*($Y$82-$U$316)/($V$316-$U$316),0)</f>
        <v>0</v>
      </c>
    </row>
    <row r="321" spans="10:35" ht="15.6">
      <c r="J321" s="808">
        <v>5</v>
      </c>
      <c r="K321" s="786" t="s">
        <v>220</v>
      </c>
      <c r="L321" s="787">
        <v>0.19700000000000001</v>
      </c>
      <c r="M321" s="787">
        <v>0.17199999999999999</v>
      </c>
      <c r="N321" s="787">
        <v>0.13300000000000001</v>
      </c>
      <c r="O321" s="787">
        <v>9.9000000000000005E-2</v>
      </c>
      <c r="P321" s="787">
        <v>7.5999999999999998E-2</v>
      </c>
      <c r="Q321" s="787">
        <v>5.8999999999999997E-2</v>
      </c>
      <c r="R321" s="787">
        <v>4.5999999999999999E-2</v>
      </c>
      <c r="S321" s="787">
        <v>0.04</v>
      </c>
      <c r="T321" s="787">
        <v>2.9000000000000001E-2</v>
      </c>
      <c r="U321" s="787">
        <v>2.4E-2</v>
      </c>
      <c r="V321" s="787">
        <v>2.1000000000000001E-2</v>
      </c>
      <c r="W321" s="745"/>
      <c r="X321" s="770">
        <f>SUM(Y321:AI321)</f>
        <v>0.19700000000000001</v>
      </c>
      <c r="Y321" s="771">
        <f>IF($Y$82&lt;=$L$316,L321,0)</f>
        <v>0.19700000000000001</v>
      </c>
      <c r="Z321" s="772">
        <f>IF(AND($Y$82&gt;10,$Y$82&lt;20),L321+(M321-L321)*($Y$82-$L$316)/($M$316-$L$316),0)</f>
        <v>0</v>
      </c>
      <c r="AA321" s="772">
        <f>IF(AND($Y$82&gt;20,$Y$82&lt;50),M321+(N321-M321)*($Y$82-$M$316)/($N$316-$M$316),0)</f>
        <v>0</v>
      </c>
      <c r="AB321" s="772">
        <f>IF(AND($Y$82&gt;50,$Y$82&lt;100),N321+(O321-N321)*($Y$82-$N$316)/($O$316-$N$316),0)</f>
        <v>0</v>
      </c>
      <c r="AC321" s="772">
        <f>IF(AND($Y$82&gt;100,$Y$82&lt;200),O321+(P321-O321)*($Y$82-$O$316)/($P$316-$O$316),0)</f>
        <v>0</v>
      </c>
      <c r="AD321" s="772">
        <f>IF(AND($Y$82&gt;200,$Y$82&lt;500),P321+(Q321-P321)*($Y$82-$P$316)/($Q$316-$P$316),0)</f>
        <v>0</v>
      </c>
      <c r="AE321" s="772">
        <f>IF(AND($Y$82&gt;500,$Y$82&lt;1000),Q321+(R321-Q321)*($Y$82-$Q$316)/($R$316-$Q$316),0)</f>
        <v>0</v>
      </c>
      <c r="AF321" s="772">
        <f>IF(AND($Y$82&gt;1000,$Y$82&lt;2000),R321+(S321-R321)*($Y$82-$R$316)/($S$316-$R$316),0)</f>
        <v>0</v>
      </c>
      <c r="AG321" s="772">
        <f>IF(AND($Y$82&gt;2000,$Y$82&lt;5000),S321+(T321-S321)*($Y$82-$S$316)/($T$316-$S$316),0)</f>
        <v>0</v>
      </c>
      <c r="AH321" s="772">
        <f>IF(AND($Y$82&gt;5000,$Y$82&lt;8000),T321+(U321-T321)*($Y$82-$T$316)/($U$316-$T$316),0)</f>
        <v>0</v>
      </c>
      <c r="AI321" s="772">
        <f>IF(AND($Y$82&gt;8000,$Y$82&lt;10000),U321+(V321-U321)*($Y$82-$U$316)/($V$316-$U$316),0)</f>
        <v>0</v>
      </c>
    </row>
    <row r="323" spans="10:35" ht="15.6">
      <c r="K323" s="776"/>
      <c r="L323" s="776"/>
    </row>
    <row r="324" spans="10:35" ht="15.6">
      <c r="J324" s="773" t="s">
        <v>221</v>
      </c>
      <c r="K324" s="803"/>
      <c r="L324" s="803"/>
      <c r="M324" s="774"/>
      <c r="N324" s="774"/>
      <c r="O324" s="774"/>
      <c r="P324" s="774"/>
      <c r="Q324" s="774"/>
      <c r="R324" s="774"/>
      <c r="S324" s="774"/>
      <c r="T324" s="774"/>
      <c r="U324" s="774"/>
      <c r="V324" s="774"/>
      <c r="W324" s="774"/>
    </row>
    <row r="325" spans="10:35" ht="15.6">
      <c r="J325" s="803"/>
      <c r="K325" s="774"/>
      <c r="L325" s="774"/>
      <c r="M325" s="774"/>
      <c r="N325" s="774"/>
      <c r="O325" s="774"/>
      <c r="P325" s="774"/>
      <c r="Q325" s="774"/>
      <c r="R325" s="774"/>
      <c r="S325" s="774"/>
      <c r="T325" s="774"/>
      <c r="U325" s="774"/>
      <c r="V325" s="791"/>
      <c r="W325" s="774"/>
    </row>
    <row r="326" spans="10:35" ht="15.6">
      <c r="J326" s="792" t="s">
        <v>142</v>
      </c>
      <c r="K326" s="777" t="s">
        <v>143</v>
      </c>
      <c r="L326" s="794" t="s">
        <v>219</v>
      </c>
      <c r="M326" s="784"/>
      <c r="N326" s="784"/>
      <c r="O326" s="784"/>
      <c r="P326" s="784"/>
      <c r="Q326" s="784"/>
      <c r="R326" s="784"/>
      <c r="S326" s="784"/>
      <c r="T326" s="784"/>
      <c r="U326" s="784"/>
      <c r="V326" s="784"/>
      <c r="W326" s="745"/>
      <c r="X326" s="759"/>
      <c r="Y326" s="760"/>
      <c r="Z326" s="761"/>
      <c r="AA326" s="761"/>
      <c r="AB326" s="761"/>
      <c r="AC326" s="761"/>
      <c r="AD326" s="761"/>
      <c r="AE326" s="756"/>
      <c r="AF326" s="756"/>
      <c r="AG326" s="762"/>
      <c r="AH326" s="762"/>
      <c r="AI326" s="762"/>
    </row>
    <row r="327" spans="10:35" ht="15.6">
      <c r="J327" s="782"/>
      <c r="K327" s="782"/>
      <c r="L327" s="783">
        <v>10</v>
      </c>
      <c r="M327" s="784">
        <v>20</v>
      </c>
      <c r="N327" s="784">
        <v>50</v>
      </c>
      <c r="O327" s="784">
        <v>100</v>
      </c>
      <c r="P327" s="784">
        <v>200</v>
      </c>
      <c r="Q327" s="784">
        <v>500</v>
      </c>
      <c r="R327" s="784">
        <v>1000</v>
      </c>
      <c r="S327" s="784">
        <v>2000</v>
      </c>
      <c r="T327" s="784">
        <v>5000</v>
      </c>
      <c r="U327" s="784">
        <v>8000</v>
      </c>
      <c r="V327" s="784">
        <v>10000</v>
      </c>
      <c r="W327" s="745"/>
      <c r="X327" s="759" t="s">
        <v>145</v>
      </c>
      <c r="Y327" s="767">
        <v>10</v>
      </c>
      <c r="Z327" s="768" t="s">
        <v>146</v>
      </c>
      <c r="AA327" s="768" t="s">
        <v>147</v>
      </c>
      <c r="AB327" s="768" t="s">
        <v>148</v>
      </c>
      <c r="AC327" s="768" t="s">
        <v>149</v>
      </c>
      <c r="AD327" s="768" t="s">
        <v>150</v>
      </c>
      <c r="AE327" s="768" t="s">
        <v>151</v>
      </c>
      <c r="AF327" s="768" t="s">
        <v>152</v>
      </c>
      <c r="AG327" s="768" t="s">
        <v>153</v>
      </c>
      <c r="AH327" s="768" t="s">
        <v>169</v>
      </c>
      <c r="AI327" s="768" t="s">
        <v>170</v>
      </c>
    </row>
    <row r="328" spans="10:35" ht="15.6">
      <c r="J328" s="808">
        <v>1</v>
      </c>
      <c r="K328" s="786" t="s">
        <v>100</v>
      </c>
      <c r="L328" s="787">
        <v>0.25</v>
      </c>
      <c r="M328" s="787">
        <v>0.219</v>
      </c>
      <c r="N328" s="787">
        <v>0.16600000000000001</v>
      </c>
      <c r="O328" s="787">
        <v>0.14000000000000001</v>
      </c>
      <c r="P328" s="787">
        <v>0.105</v>
      </c>
      <c r="Q328" s="787">
        <v>7.6999999999999999E-2</v>
      </c>
      <c r="R328" s="787">
        <v>6.4000000000000001E-2</v>
      </c>
      <c r="S328" s="787">
        <v>4.2999999999999997E-2</v>
      </c>
      <c r="T328" s="787">
        <v>3.2000000000000001E-2</v>
      </c>
      <c r="U328" s="787">
        <v>2.7E-2</v>
      </c>
      <c r="V328" s="787">
        <v>2.5000000000000001E-2</v>
      </c>
      <c r="W328" s="745"/>
      <c r="X328" s="770">
        <f>SUM(Y328:AI328)</f>
        <v>0.25</v>
      </c>
      <c r="Y328" s="771">
        <f>IF($Y$82&lt;=$L$327,L328,0)</f>
        <v>0.25</v>
      </c>
      <c r="Z328" s="772">
        <f>IF(AND($Y$82&gt;10,$Y$82&lt;20),L328+(M328-L328)*($Y$82-$L$327)/($M$327-$L$327),0)</f>
        <v>0</v>
      </c>
      <c r="AA328" s="772">
        <f>IF(AND($Y$82&gt;20,$Y$82&lt;50),M328+(N328-M328)*($Y$82-$M$327)/($N$327-$M$327),0)</f>
        <v>0</v>
      </c>
      <c r="AB328" s="772">
        <f>IF(AND($Y$82&gt;50,$Y$82&lt;100),N328+(O328-N328)*($Y$82-$N$327)/($O$327-$N$327),0)</f>
        <v>0</v>
      </c>
      <c r="AC328" s="772">
        <f>IF(AND($Y$82&gt;100,$Y$82&lt;200),O328+(P328-O328)*($Y$82-$O$327)/($P$327-$O$327),0)</f>
        <v>0</v>
      </c>
      <c r="AD328" s="772">
        <f>IF(AND($Y$82&gt;200,$Y$82&lt;500),P328+(Q328-P328)*($Y$82-$P$327)/($Q$327-$P$327),0)</f>
        <v>0</v>
      </c>
      <c r="AE328" s="772">
        <f>IF(AND($Y$82&gt;500,$Y$82&lt;1000),Q328+(R328-Q328)*($Y$82-$Q$327)/($R$327-$Q$327),0)</f>
        <v>0</v>
      </c>
      <c r="AF328" s="772">
        <f>IF(AND($Y$82&gt;1000,$Y$82&lt;2000),R328+(S328-R328)*($Y$82-$R$327)/($S$327-$R$327),0)</f>
        <v>0</v>
      </c>
      <c r="AG328" s="772">
        <f>IF(AND($Y$82&gt;2000,$Y$82&lt;5000),S328+(T328-S328)*($Y$82-$S$327)/($T$327-$S$327),0)</f>
        <v>0</v>
      </c>
      <c r="AH328" s="772">
        <f>IF(AND($Y$82&gt;5000,$Y$82&lt;8000),T328+(U328-T328)*($Y$82-$T$327)/($U$327-$T$327),0)</f>
        <v>0</v>
      </c>
      <c r="AI328" s="772">
        <f>IF(AND($Y$82&gt;8000,$Y$82&lt;10000),U328+(V328-U328)*($Y$82-$U$327)/($V$327-$U$327),0)</f>
        <v>0</v>
      </c>
    </row>
    <row r="329" spans="10:35" ht="15.6">
      <c r="J329" s="808">
        <v>2</v>
      </c>
      <c r="K329" s="786" t="s">
        <v>103</v>
      </c>
      <c r="L329" s="787">
        <v>0.28199999999999997</v>
      </c>
      <c r="M329" s="787">
        <v>0.24399999999999999</v>
      </c>
      <c r="N329" s="787">
        <v>0.185</v>
      </c>
      <c r="O329" s="787">
        <v>0.14099999999999999</v>
      </c>
      <c r="P329" s="787">
        <v>0.108</v>
      </c>
      <c r="Q329" s="787">
        <v>8.3000000000000004E-2</v>
      </c>
      <c r="R329" s="787">
        <v>6.2E-2</v>
      </c>
      <c r="S329" s="787">
        <v>0.05</v>
      </c>
      <c r="T329" s="787">
        <v>3.4000000000000002E-2</v>
      </c>
      <c r="U329" s="787">
        <v>0.03</v>
      </c>
      <c r="V329" s="787">
        <v>2.7E-2</v>
      </c>
      <c r="W329" s="745"/>
      <c r="X329" s="770">
        <f>SUM(Y329:AI329)</f>
        <v>0.28199999999999997</v>
      </c>
      <c r="Y329" s="771">
        <f>IF($Y$82&lt;=$L$327,L329,0)</f>
        <v>0.28199999999999997</v>
      </c>
      <c r="Z329" s="772">
        <f>IF(AND($Y$82&gt;10,$Y$82&lt;20),L329+(M329-L329)*($Y$82-$L$327)/($M$327-$L$327),0)</f>
        <v>0</v>
      </c>
      <c r="AA329" s="772">
        <f>IF(AND($Y$82&gt;20,$Y$82&lt;50),M329+(N329-M329)*($Y$82-$M$327)/($N$327-$M$327),0)</f>
        <v>0</v>
      </c>
      <c r="AB329" s="772">
        <f>IF(AND($Y$82&gt;50,$Y$82&lt;100),N329+(O329-N329)*($Y$82-$N$327)/($O$327-$N$327),0)</f>
        <v>0</v>
      </c>
      <c r="AC329" s="772">
        <f>IF(AND($Y$82&gt;100,$Y$82&lt;200),O329+(P329-O329)*($Y$82-$O$327)/($P$327-$O$327),0)</f>
        <v>0</v>
      </c>
      <c r="AD329" s="772">
        <f>IF(AND($Y$82&gt;200,$Y$82&lt;500),P329+(Q329-P329)*($Y$82-$P$327)/($Q$327-$P$327),0)</f>
        <v>0</v>
      </c>
      <c r="AE329" s="772">
        <f>IF(AND($Y$82&gt;500,$Y$82&lt;1000),Q329+(R329-Q329)*($Y$82-$Q$327)/($R$327-$Q$327),0)</f>
        <v>0</v>
      </c>
      <c r="AF329" s="772">
        <f>IF(AND($Y$82&gt;1000,$Y$82&lt;2000),R329+(S329-R329)*($Y$82-$R$327)/($S$327-$R$327),0)</f>
        <v>0</v>
      </c>
      <c r="AG329" s="772">
        <f>IF(AND($Y$82&gt;2000,$Y$82&lt;5000),S329+(T329-S329)*($Y$82-$S$327)/($T$327-$S$327),0)</f>
        <v>0</v>
      </c>
      <c r="AH329" s="772">
        <f>IF(AND($Y$82&gt;5000,$Y$82&lt;8000),T329+(U329-T329)*($Y$82-$T$327)/($U$327-$T$327),0)</f>
        <v>0</v>
      </c>
      <c r="AI329" s="772">
        <f>IF(AND($Y$82&gt;8000,$Y$82&lt;10000),U329+(V329-U329)*($Y$82-$U$327)/($V$327-$U$327),0)</f>
        <v>0</v>
      </c>
    </row>
    <row r="330" spans="10:35" ht="15.6">
      <c r="J330" s="808">
        <v>3</v>
      </c>
      <c r="K330" s="786" t="s">
        <v>89</v>
      </c>
      <c r="L330" s="787">
        <v>0.16600000000000001</v>
      </c>
      <c r="M330" s="787">
        <v>0.14199999999999999</v>
      </c>
      <c r="N330" s="787">
        <v>0.106</v>
      </c>
      <c r="O330" s="787">
        <v>8.2000000000000003E-2</v>
      </c>
      <c r="P330" s="787">
        <v>6.9000000000000006E-2</v>
      </c>
      <c r="Q330" s="787">
        <v>5.1999999999999998E-2</v>
      </c>
      <c r="R330" s="787">
        <v>4.1000000000000002E-2</v>
      </c>
      <c r="S330" s="787">
        <v>3.4000000000000002E-2</v>
      </c>
      <c r="T330" s="787">
        <v>2.1000000000000001E-2</v>
      </c>
      <c r="U330" s="787">
        <v>1.7999999999999999E-2</v>
      </c>
      <c r="V330" s="787">
        <v>1.6E-2</v>
      </c>
      <c r="W330" s="745"/>
      <c r="X330" s="770">
        <f>SUM(Y330:AI330)</f>
        <v>0.16600000000000001</v>
      </c>
      <c r="Y330" s="771">
        <f>IF($Y$82&lt;=$L$327,L330,0)</f>
        <v>0.16600000000000001</v>
      </c>
      <c r="Z330" s="772">
        <f>IF(AND($Y$82&gt;10,$Y$82&lt;20),L330+(M330-L330)*($Y$82-$L$327)/($M$327-$L$327),0)</f>
        <v>0</v>
      </c>
      <c r="AA330" s="772">
        <f>IF(AND($Y$82&gt;20,$Y$82&lt;50),M330+(N330-M330)*($Y$82-$M$327)/($N$327-$M$327),0)</f>
        <v>0</v>
      </c>
      <c r="AB330" s="772">
        <f>IF(AND($Y$82&gt;50,$Y$82&lt;100),N330+(O330-N330)*($Y$82-$N$327)/($O$327-$N$327),0)</f>
        <v>0</v>
      </c>
      <c r="AC330" s="772">
        <f>IF(AND($Y$82&gt;100,$Y$82&lt;200),O330+(P330-O330)*($Y$82-$O$327)/($P$327-$O$327),0)</f>
        <v>0</v>
      </c>
      <c r="AD330" s="772">
        <f>IF(AND($Y$82&gt;200,$Y$82&lt;500),P330+(Q330-P330)*($Y$82-$P$327)/($Q$327-$P$327),0)</f>
        <v>0</v>
      </c>
      <c r="AE330" s="772">
        <f>IF(AND($Y$82&gt;500,$Y$82&lt;1000),Q330+(R330-Q330)*($Y$82-$Q$327)/($R$327-$Q$327),0)</f>
        <v>0</v>
      </c>
      <c r="AF330" s="772">
        <f>IF(AND($Y$82&gt;1000,$Y$82&lt;2000),R330+(S330-R330)*($Y$82-$R$327)/($S$327-$R$327),0)</f>
        <v>0</v>
      </c>
      <c r="AG330" s="772">
        <f>IF(AND($Y$82&gt;2000,$Y$82&lt;5000),S330+(T330-S330)*($Y$82-$S$327)/($T$327-$S$327),0)</f>
        <v>0</v>
      </c>
      <c r="AH330" s="772">
        <f>IF(AND($Y$82&gt;5000,$Y$82&lt;8000),T330+(U330-T330)*($Y$82-$T$327)/($U$327-$T$327),0)</f>
        <v>0</v>
      </c>
      <c r="AI330" s="772">
        <f>IF(AND($Y$82&gt;8000,$Y$82&lt;10000),U330+(V330-U330)*($Y$82-$U$327)/($V$327-$U$327),0)</f>
        <v>0</v>
      </c>
    </row>
    <row r="331" spans="10:35" ht="15.6">
      <c r="J331" s="808">
        <v>4</v>
      </c>
      <c r="K331" s="786" t="s">
        <v>106</v>
      </c>
      <c r="L331" s="787">
        <v>0.183</v>
      </c>
      <c r="M331" s="787">
        <v>0.158</v>
      </c>
      <c r="N331" s="787">
        <v>0.11899999999999999</v>
      </c>
      <c r="O331" s="787">
        <v>9.1999999999999998E-2</v>
      </c>
      <c r="P331" s="787">
        <v>7.0000000000000007E-2</v>
      </c>
      <c r="Q331" s="787">
        <v>5.2999999999999999E-2</v>
      </c>
      <c r="R331" s="787">
        <v>0.04</v>
      </c>
      <c r="S331" s="787">
        <v>3.4000000000000002E-2</v>
      </c>
      <c r="T331" s="787">
        <v>2.4E-2</v>
      </c>
      <c r="U331" s="787">
        <v>2.1000000000000001E-2</v>
      </c>
      <c r="V331" s="787">
        <v>1.7999999999999999E-2</v>
      </c>
      <c r="W331" s="745"/>
      <c r="X331" s="770">
        <f>SUM(Y331:AI331)</f>
        <v>0.183</v>
      </c>
      <c r="Y331" s="771">
        <f>IF($Y$82&lt;=$L$327,L331,0)</f>
        <v>0.183</v>
      </c>
      <c r="Z331" s="772">
        <f>IF(AND($Y$82&gt;10,$Y$82&lt;20),L331+(M331-L331)*($Y$82-$L$327)/($M$327-$L$327),0)</f>
        <v>0</v>
      </c>
      <c r="AA331" s="772">
        <f>IF(AND($Y$82&gt;20,$Y$82&lt;50),M331+(N331-M331)*($Y$82-$M$327)/($N$327-$M$327),0)</f>
        <v>0</v>
      </c>
      <c r="AB331" s="772">
        <f>IF(AND($Y$82&gt;50,$Y$82&lt;100),N331+(O331-N331)*($Y$82-$N$327)/($O$327-$N$327),0)</f>
        <v>0</v>
      </c>
      <c r="AC331" s="772">
        <f>IF(AND($Y$82&gt;100,$Y$82&lt;200),O331+(P331-O331)*($Y$82-$O$327)/($P$327-$O$327),0)</f>
        <v>0</v>
      </c>
      <c r="AD331" s="772">
        <f>IF(AND($Y$82&gt;200,$Y$82&lt;500),P331+(Q331-P331)*($Y$82-$P$327)/($Q$327-$P$327),0)</f>
        <v>0</v>
      </c>
      <c r="AE331" s="772">
        <f>IF(AND($Y$82&gt;500,$Y$82&lt;1000),Q331+(R331-Q331)*($Y$82-$Q$327)/($R$327-$Q$327),0)</f>
        <v>0</v>
      </c>
      <c r="AF331" s="772">
        <f>IF(AND($Y$82&gt;1000,$Y$82&lt;2000),R331+(S331-R331)*($Y$82-$R$327)/($S$327-$R$327),0)</f>
        <v>0</v>
      </c>
      <c r="AG331" s="772">
        <f>IF(AND($Y$82&gt;2000,$Y$82&lt;5000),S331+(T331-S331)*($Y$82-$S$327)/($T$327-$S$327),0)</f>
        <v>0</v>
      </c>
      <c r="AH331" s="772">
        <f>IF(AND($Y$82&gt;5000,$Y$82&lt;8000),T331+(U331-T331)*($Y$82-$T$327)/($U$327-$T$327),0)</f>
        <v>0</v>
      </c>
      <c r="AI331" s="772">
        <f>IF(AND($Y$82&gt;8000,$Y$82&lt;10000),U331+(V331-U331)*($Y$82-$U$327)/($V$327-$U$327),0)</f>
        <v>0</v>
      </c>
    </row>
    <row r="332" spans="10:35" ht="15.6">
      <c r="J332" s="808">
        <v>5</v>
      </c>
      <c r="K332" s="786" t="s">
        <v>108</v>
      </c>
      <c r="L332" s="787">
        <v>0.191</v>
      </c>
      <c r="M332" s="787">
        <v>0.16600000000000001</v>
      </c>
      <c r="N332" s="787">
        <v>0.128</v>
      </c>
      <c r="O332" s="787">
        <v>9.5000000000000001E-2</v>
      </c>
      <c r="P332" s="787">
        <v>7.1999999999999995E-2</v>
      </c>
      <c r="Q332" s="787">
        <v>5.6000000000000001E-2</v>
      </c>
      <c r="R332" s="787">
        <v>4.3999999999999997E-2</v>
      </c>
      <c r="S332" s="787">
        <v>3.6999999999999998E-2</v>
      </c>
      <c r="T332" s="787">
        <v>2.5999999999999999E-2</v>
      </c>
      <c r="U332" s="787">
        <v>2.1999999999999999E-2</v>
      </c>
      <c r="V332" s="787">
        <v>0.02</v>
      </c>
      <c r="W332" s="745"/>
      <c r="X332" s="770">
        <f>SUM(Y332:AI332)</f>
        <v>0.191</v>
      </c>
      <c r="Y332" s="771">
        <f>IF($Y$82&lt;=$L$327,L332,0)</f>
        <v>0.191</v>
      </c>
      <c r="Z332" s="772">
        <f>IF(AND($Y$82&gt;10,$Y$82&lt;20),L332+(M332-L332)*($Y$82-$L$327)/($M$327-$L$327),0)</f>
        <v>0</v>
      </c>
      <c r="AA332" s="772">
        <f>IF(AND($Y$82&gt;20,$Y$82&lt;50),M332+(N332-M332)*($Y$82-$M$327)/($N$327-$M$327),0)</f>
        <v>0</v>
      </c>
      <c r="AB332" s="772">
        <f>IF(AND($Y$82&gt;50,$Y$82&lt;100),N332+(O332-N332)*($Y$82-$N$327)/($O$327-$N$327),0)</f>
        <v>0</v>
      </c>
      <c r="AC332" s="772">
        <f>IF(AND($Y$82&gt;100,$Y$82&lt;200),O332+(P332-O332)*($Y$82-$O$327)/($P$327-$O$327),0)</f>
        <v>0</v>
      </c>
      <c r="AD332" s="772">
        <f>IF(AND($Y$82&gt;200,$Y$82&lt;500),P332+(Q332-P332)*($Y$82-$P$327)/($Q$327-$P$327),0)</f>
        <v>0</v>
      </c>
      <c r="AE332" s="772">
        <f>IF(AND($Y$82&gt;500,$Y$82&lt;1000),Q332+(R332-Q332)*($Y$82-$Q$327)/($R$327-$Q$327),0)</f>
        <v>0</v>
      </c>
      <c r="AF332" s="772">
        <f>IF(AND($Y$82&gt;1000,$Y$82&lt;2000),R332+(S332-R332)*($Y$82-$R$327)/($S$327-$R$327),0)</f>
        <v>0</v>
      </c>
      <c r="AG332" s="772">
        <f>IF(AND($Y$82&gt;2000,$Y$82&lt;5000),S332+(T332-S332)*($Y$82-$S$327)/($T$327-$S$327),0)</f>
        <v>0</v>
      </c>
      <c r="AH332" s="772">
        <f>IF(AND($Y$82&gt;5000,$Y$82&lt;8000),T332+(U332-T332)*($Y$82-$T$327)/($U$327-$T$327),0)</f>
        <v>0</v>
      </c>
      <c r="AI332" s="772">
        <f>IF(AND($Y$82&gt;8000,$Y$82&lt;10000),U332+(V332-U332)*($Y$82-$U$327)/($V$327-$U$327),0)</f>
        <v>0</v>
      </c>
    </row>
    <row r="335" spans="10:35" ht="15.6">
      <c r="J335" s="809" t="s">
        <v>222</v>
      </c>
      <c r="K335" s="800"/>
      <c r="L335" s="800"/>
      <c r="M335" s="800"/>
      <c r="N335" s="800"/>
      <c r="O335" s="800"/>
      <c r="P335" s="800"/>
      <c r="Q335" s="800"/>
      <c r="R335" s="810"/>
    </row>
    <row r="336" spans="10:35" ht="15.6">
      <c r="J336" s="810"/>
      <c r="K336" s="810"/>
      <c r="L336" s="811"/>
      <c r="M336" s="812"/>
      <c r="N336" s="812"/>
      <c r="O336" s="812"/>
      <c r="P336" s="812"/>
      <c r="Q336" s="812"/>
      <c r="R336" s="813" t="s">
        <v>141</v>
      </c>
    </row>
    <row r="337" spans="10:35" ht="31.2">
      <c r="J337" s="814" t="s">
        <v>142</v>
      </c>
      <c r="K337" s="815" t="s">
        <v>223</v>
      </c>
      <c r="L337" s="816">
        <v>1</v>
      </c>
      <c r="M337" s="817">
        <v>3</v>
      </c>
      <c r="N337" s="817">
        <v>5</v>
      </c>
      <c r="O337" s="817">
        <v>10</v>
      </c>
      <c r="P337" s="817">
        <v>20</v>
      </c>
      <c r="Q337" s="817">
        <v>50</v>
      </c>
      <c r="R337" s="817">
        <v>100</v>
      </c>
      <c r="S337" s="745"/>
      <c r="T337" s="745"/>
      <c r="U337" s="745"/>
      <c r="V337" s="745"/>
      <c r="W337" s="745"/>
      <c r="X337" s="745"/>
    </row>
    <row r="338" spans="10:35" ht="15.6">
      <c r="J338" s="818"/>
      <c r="K338" s="819" t="s">
        <v>173</v>
      </c>
      <c r="L338" s="820">
        <v>0.81599999999999995</v>
      </c>
      <c r="M338" s="820">
        <v>0.58299999999999996</v>
      </c>
      <c r="N338" s="820">
        <v>0.505</v>
      </c>
      <c r="O338" s="820">
        <v>0.38900000000000001</v>
      </c>
      <c r="P338" s="820">
        <v>0.311</v>
      </c>
      <c r="Q338" s="820">
        <v>0.17599999999999999</v>
      </c>
      <c r="R338" s="820">
        <v>0.14399999999999999</v>
      </c>
      <c r="S338" s="745"/>
      <c r="T338" s="745"/>
      <c r="U338" s="745"/>
      <c r="V338" s="745"/>
      <c r="W338" s="745"/>
      <c r="X338" s="745"/>
    </row>
    <row r="339" spans="10:35" ht="15.6">
      <c r="J339" s="800"/>
      <c r="K339" s="800"/>
      <c r="L339" s="800"/>
      <c r="M339" s="800"/>
      <c r="N339" s="800"/>
      <c r="O339" s="800"/>
      <c r="P339" s="800"/>
      <c r="Q339" s="800"/>
      <c r="R339" s="800"/>
    </row>
    <row r="341" spans="10:35" ht="15.6">
      <c r="J341" s="809" t="s">
        <v>224</v>
      </c>
      <c r="K341" s="800"/>
      <c r="L341" s="800"/>
      <c r="M341" s="800"/>
      <c r="N341" s="800"/>
      <c r="O341" s="800"/>
      <c r="P341" s="800"/>
      <c r="Q341" s="800"/>
      <c r="R341" s="800"/>
      <c r="S341" s="800"/>
      <c r="T341" s="800"/>
      <c r="U341" s="800"/>
      <c r="V341" s="800"/>
    </row>
    <row r="342" spans="10:35" ht="15.6">
      <c r="J342" s="810"/>
      <c r="K342" s="800"/>
      <c r="L342" s="800"/>
      <c r="M342" s="800"/>
      <c r="N342" s="800"/>
      <c r="O342" s="800"/>
      <c r="P342" s="800"/>
      <c r="Q342" s="800"/>
      <c r="R342" s="800"/>
      <c r="S342" s="800"/>
      <c r="T342" s="800"/>
      <c r="U342" s="813" t="s">
        <v>141</v>
      </c>
      <c r="V342" s="800"/>
    </row>
    <row r="343" spans="10:35" ht="15.6">
      <c r="J343" s="814" t="s">
        <v>142</v>
      </c>
      <c r="K343" s="814" t="s">
        <v>143</v>
      </c>
      <c r="L343" s="821" t="s">
        <v>225</v>
      </c>
      <c r="M343" s="819"/>
      <c r="N343" s="819"/>
      <c r="O343" s="819"/>
      <c r="P343" s="819"/>
      <c r="Q343" s="819"/>
      <c r="R343" s="819"/>
      <c r="S343" s="819"/>
      <c r="T343" s="819"/>
      <c r="U343" s="819"/>
      <c r="V343" s="819"/>
      <c r="W343" s="745"/>
      <c r="X343" s="745"/>
    </row>
    <row r="344" spans="10:35" ht="15.6">
      <c r="J344" s="822"/>
      <c r="K344" s="822"/>
      <c r="L344" s="816">
        <v>10</v>
      </c>
      <c r="M344" s="823">
        <v>20</v>
      </c>
      <c r="N344" s="823">
        <v>50</v>
      </c>
      <c r="O344" s="823">
        <v>100</v>
      </c>
      <c r="P344" s="823">
        <v>200</v>
      </c>
      <c r="Q344" s="823">
        <v>500</v>
      </c>
      <c r="R344" s="824">
        <v>1000</v>
      </c>
      <c r="S344" s="824">
        <v>2000</v>
      </c>
      <c r="T344" s="824"/>
      <c r="U344" s="824"/>
      <c r="V344" s="824"/>
      <c r="W344" s="745"/>
      <c r="X344" s="759" t="s">
        <v>145</v>
      </c>
      <c r="Y344" s="767">
        <v>10</v>
      </c>
      <c r="Z344" s="768" t="s">
        <v>146</v>
      </c>
      <c r="AA344" s="768" t="s">
        <v>147</v>
      </c>
      <c r="AB344" s="768" t="s">
        <v>148</v>
      </c>
      <c r="AC344" s="768" t="s">
        <v>149</v>
      </c>
      <c r="AD344" s="768" t="s">
        <v>150</v>
      </c>
      <c r="AE344" s="768" t="s">
        <v>151</v>
      </c>
      <c r="AF344" s="768" t="s">
        <v>152</v>
      </c>
      <c r="AG344" s="768" t="s">
        <v>153</v>
      </c>
      <c r="AH344" s="768" t="s">
        <v>169</v>
      </c>
      <c r="AI344" s="768" t="s">
        <v>170</v>
      </c>
    </row>
    <row r="345" spans="10:35" ht="15.6">
      <c r="J345" s="825">
        <v>1</v>
      </c>
      <c r="K345" s="786" t="s">
        <v>100</v>
      </c>
      <c r="L345" s="820">
        <v>0.432</v>
      </c>
      <c r="M345" s="820">
        <v>0.34599999999999997</v>
      </c>
      <c r="N345" s="820">
        <v>0.19500000000000001</v>
      </c>
      <c r="O345" s="820">
        <v>0.127</v>
      </c>
      <c r="P345" s="820">
        <v>7.8E-2</v>
      </c>
      <c r="Q345" s="820">
        <v>5.7000000000000002E-2</v>
      </c>
      <c r="R345" s="820">
        <v>0.04</v>
      </c>
      <c r="S345" s="820">
        <v>3.2000000000000001E-2</v>
      </c>
      <c r="T345" s="820"/>
      <c r="U345" s="820"/>
      <c r="V345" s="820"/>
      <c r="W345" s="745"/>
      <c r="X345" s="770">
        <f>SUM(Y345:AF345)</f>
        <v>0.432</v>
      </c>
      <c r="Y345" s="771">
        <f>IF($Y$82&lt;=$L$344,L345,0)</f>
        <v>0.432</v>
      </c>
      <c r="Z345" s="772">
        <f>IF(AND($Y$82&gt;10,$Y$82&lt;20),L345+(M345-L345)*($Y$82-$L$344)/($M$344-$L$344),0)</f>
        <v>0</v>
      </c>
      <c r="AA345" s="772">
        <f>IF(AND($Y$82&gt;20,$Y$82&lt;50),M345+(N345-M345)*($Y$82-$M$344)/($N$344-$M$344),0)</f>
        <v>0</v>
      </c>
      <c r="AB345" s="772">
        <f>IF(AND($Y$82&gt;50,$Y$82&lt;100),N345+(O345-N345)*($Y$82-$N$344)/($O$344-$N$344),0)</f>
        <v>0</v>
      </c>
      <c r="AC345" s="772">
        <f>IF(AND($Y$82&gt;100,$Y$82&lt;200),O345+(P345-O345)*($Y$82-$O$344)/($P$344-$O$344),0)</f>
        <v>0</v>
      </c>
      <c r="AD345" s="772">
        <f>IF(AND($Y$82&gt;200,$Y$82&lt;500),P345+(Q345-P345)*($Y$82-$P$344)/($Q$344-$P$344),0)</f>
        <v>0</v>
      </c>
      <c r="AE345" s="772">
        <f>IF(AND($Y$82&gt;500,$Y$82&lt;1000),Q345+(R345-Q345)*($Y$82-$Q$344)/($R$344-$Q$344),0)</f>
        <v>0</v>
      </c>
      <c r="AF345" s="772">
        <f>IF(AND($Y$82&gt;1000,$Y$82&lt;2000),R345+(S345-R345)*($Y$82-$R$344)/($S$344-$R$344),0)</f>
        <v>0</v>
      </c>
      <c r="AG345" s="772"/>
      <c r="AH345" s="772"/>
      <c r="AI345" s="772"/>
    </row>
    <row r="346" spans="10:35" ht="15.6">
      <c r="J346" s="825">
        <v>2</v>
      </c>
      <c r="K346" s="786" t="s">
        <v>103</v>
      </c>
      <c r="L346" s="820">
        <v>0.54900000000000004</v>
      </c>
      <c r="M346" s="820">
        <v>0.379</v>
      </c>
      <c r="N346" s="820">
        <v>0.21099999999999999</v>
      </c>
      <c r="O346" s="820">
        <v>0.14399999999999999</v>
      </c>
      <c r="P346" s="820">
        <v>9.6000000000000002E-2</v>
      </c>
      <c r="Q346" s="820">
        <v>6.7000000000000004E-2</v>
      </c>
      <c r="R346" s="820">
        <v>5.1999999999999998E-2</v>
      </c>
      <c r="S346" s="820">
        <v>4.1000000000000002E-2</v>
      </c>
      <c r="T346" s="820"/>
      <c r="U346" s="820"/>
      <c r="V346" s="820"/>
      <c r="W346" s="745"/>
      <c r="X346" s="770">
        <f>SUM(Y346:AF346)</f>
        <v>0.54900000000000004</v>
      </c>
      <c r="Y346" s="771">
        <f>IF($Y$82&lt;=$L$344,L346,0)</f>
        <v>0.54900000000000004</v>
      </c>
      <c r="Z346" s="772">
        <f>IF(AND($Y$82&gt;10,$Y$82&lt;20),L346+(M346-L346)*($Y$82-$L$344)/($M$344-$L$344),0)</f>
        <v>0</v>
      </c>
      <c r="AA346" s="772">
        <f>IF(AND($Y$82&gt;20,$Y$82&lt;50),M346+(N346-M346)*($Y$82-$M$344)/($N$344-$M$344),0)</f>
        <v>0</v>
      </c>
      <c r="AB346" s="772">
        <f>IF(AND($Y$82&gt;50,$Y$82&lt;100),N346+(O346-N346)*($Y$82-$N$344)/($O$344-$N$344),0)</f>
        <v>0</v>
      </c>
      <c r="AC346" s="772">
        <f>IF(AND($Y$82&gt;100,$Y$82&lt;200),O346+(P346-O346)*($Y$82-$O$344)/($P$344-$O$344),0)</f>
        <v>0</v>
      </c>
      <c r="AD346" s="772">
        <f>IF(AND($Y$82&gt;200,$Y$82&lt;500),P346+(Q346-P346)*($Y$82-$P$344)/($Q$344-$P$344),0)</f>
        <v>0</v>
      </c>
      <c r="AE346" s="772">
        <f>IF(AND($Y$82&gt;500,$Y$82&lt;1000),Q346+(R346-Q346)*($Y$82-$Q$344)/($R$344-$Q$344),0)</f>
        <v>0</v>
      </c>
      <c r="AF346" s="772">
        <f>IF(AND($Y$82&gt;1000,$Y$82&lt;2000),R346+(S346-R346)*($Y$82-$R$344)/($S$344-$R$344),0)</f>
        <v>0</v>
      </c>
      <c r="AG346" s="772"/>
      <c r="AH346" s="772"/>
      <c r="AI346" s="772"/>
    </row>
    <row r="347" spans="10:35" ht="15.6">
      <c r="J347" s="825">
        <v>3</v>
      </c>
      <c r="K347" s="786" t="s">
        <v>89</v>
      </c>
      <c r="L347" s="820">
        <v>0.34599999999999997</v>
      </c>
      <c r="M347" s="820">
        <v>0.23699999999999999</v>
      </c>
      <c r="N347" s="820">
        <v>0.151</v>
      </c>
      <c r="O347" s="820">
        <v>0.09</v>
      </c>
      <c r="P347" s="820">
        <v>5.7000000000000002E-2</v>
      </c>
      <c r="Q347" s="820">
        <v>4.2999999999999997E-2</v>
      </c>
      <c r="R347" s="820">
        <v>2.9000000000000001E-2</v>
      </c>
      <c r="S347" s="820">
        <v>2.3E-2</v>
      </c>
      <c r="T347" s="820"/>
      <c r="U347" s="820"/>
      <c r="V347" s="820"/>
      <c r="W347" s="745"/>
      <c r="X347" s="770">
        <f>SUM(Y347:AF347)</f>
        <v>0.34599999999999997</v>
      </c>
      <c r="Y347" s="771">
        <f>IF($Y$82&lt;=$L$344,L347,0)</f>
        <v>0.34599999999999997</v>
      </c>
      <c r="Z347" s="772">
        <f>IF(AND($Y$82&gt;10,$Y$82&lt;20),L347+(M347-L347)*($Y$82-$L$344)/($M$344-$L$344),0)</f>
        <v>0</v>
      </c>
      <c r="AA347" s="772">
        <f>IF(AND($Y$82&gt;20,$Y$82&lt;50),M347+(N347-M347)*($Y$82-$M$344)/($N$344-$M$344),0)</f>
        <v>0</v>
      </c>
      <c r="AB347" s="772">
        <f>IF(AND($Y$82&gt;50,$Y$82&lt;100),N347+(O347-N347)*($Y$82-$N$344)/($O$344-$N$344),0)</f>
        <v>0</v>
      </c>
      <c r="AC347" s="772">
        <f>IF(AND($Y$82&gt;100,$Y$82&lt;200),O347+(P347-O347)*($Y$82-$O$344)/($P$344-$O$344),0)</f>
        <v>0</v>
      </c>
      <c r="AD347" s="772">
        <f>IF(AND($Y$82&gt;200,$Y$82&lt;500),P347+(Q347-P347)*($Y$82-$P$344)/($Q$344-$P$344),0)</f>
        <v>0</v>
      </c>
      <c r="AE347" s="772">
        <f>IF(AND($Y$82&gt;500,$Y$82&lt;1000),Q347+(R347-Q347)*($Y$82-$Q$344)/($R$344-$Q$344),0)</f>
        <v>0</v>
      </c>
      <c r="AF347" s="772">
        <f>IF(AND($Y$82&gt;1000,$Y$82&lt;2000),R347+(S347-R347)*($Y$82-$R$344)/($S$344-$R$344),0)</f>
        <v>0</v>
      </c>
      <c r="AG347" s="772"/>
      <c r="AH347" s="772"/>
      <c r="AI347" s="772"/>
    </row>
    <row r="348" spans="10:35" ht="15.6">
      <c r="J348" s="825">
        <v>4</v>
      </c>
      <c r="K348" s="786" t="s">
        <v>106</v>
      </c>
      <c r="L348" s="820">
        <v>0.36099999999999999</v>
      </c>
      <c r="M348" s="820">
        <v>0.30199999999999999</v>
      </c>
      <c r="N348" s="820">
        <v>0.16600000000000001</v>
      </c>
      <c r="O348" s="820">
        <v>9.4E-2</v>
      </c>
      <c r="P348" s="820">
        <v>6.6000000000000003E-2</v>
      </c>
      <c r="Q348" s="820">
        <v>4.5999999999999999E-2</v>
      </c>
      <c r="R348" s="820">
        <v>3.1E-2</v>
      </c>
      <c r="S348" s="820">
        <v>2.5999999999999999E-2</v>
      </c>
      <c r="T348" s="820"/>
      <c r="U348" s="820"/>
      <c r="V348" s="820"/>
      <c r="W348" s="745"/>
      <c r="X348" s="770">
        <f>SUM(Y348:AF348)</f>
        <v>0.36099999999999999</v>
      </c>
      <c r="Y348" s="771">
        <f>IF($Y$82&lt;=$L$344,L348,0)</f>
        <v>0.36099999999999999</v>
      </c>
      <c r="Z348" s="772">
        <f>IF(AND($Y$82&gt;10,$Y$82&lt;20),L348+(M348-L348)*($Y$82-$L$344)/($M$344-$L$344),0)</f>
        <v>0</v>
      </c>
      <c r="AA348" s="772">
        <f>IF(AND($Y$82&gt;20,$Y$82&lt;50),M348+(N348-M348)*($Y$82-$M$344)/($N$344-$M$344),0)</f>
        <v>0</v>
      </c>
      <c r="AB348" s="772">
        <f>IF(AND($Y$82&gt;50,$Y$82&lt;100),N348+(O348-N348)*($Y$82-$N$344)/($O$344-$N$344),0)</f>
        <v>0</v>
      </c>
      <c r="AC348" s="772">
        <f>IF(AND($Y$82&gt;100,$Y$82&lt;200),O348+(P348-O348)*($Y$82-$O$344)/($P$344-$O$344),0)</f>
        <v>0</v>
      </c>
      <c r="AD348" s="772">
        <f>IF(AND($Y$82&gt;200,$Y$82&lt;500),P348+(Q348-P348)*($Y$82-$P$344)/($Q$344-$P$344),0)</f>
        <v>0</v>
      </c>
      <c r="AE348" s="772">
        <f>IF(AND($Y$82&gt;500,$Y$82&lt;1000),Q348+(R348-Q348)*($Y$82-$Q$344)/($R$344-$Q$344),0)</f>
        <v>0</v>
      </c>
      <c r="AF348" s="772">
        <f>IF(AND($Y$82&gt;1000,$Y$82&lt;2000),R348+(S348-R348)*($Y$82-$R$344)/($S$344-$R$344),0)</f>
        <v>0</v>
      </c>
      <c r="AG348" s="772"/>
      <c r="AH348" s="772"/>
      <c r="AI348" s="772"/>
    </row>
    <row r="349" spans="10:35" ht="15.6">
      <c r="J349" s="825">
        <v>5</v>
      </c>
      <c r="K349" s="786" t="s">
        <v>108</v>
      </c>
      <c r="L349" s="820">
        <v>0.38800000000000001</v>
      </c>
      <c r="M349" s="820">
        <v>0.32500000000000001</v>
      </c>
      <c r="N349" s="820">
        <v>0.17199999999999999</v>
      </c>
      <c r="O349" s="820">
        <v>0.106</v>
      </c>
      <c r="P349" s="820">
        <v>6.9000000000000006E-2</v>
      </c>
      <c r="Q349" s="820">
        <v>5.1999999999999998E-2</v>
      </c>
      <c r="R349" s="820">
        <v>3.7999999999999999E-2</v>
      </c>
      <c r="S349" s="820">
        <v>2.8000000000000001E-2</v>
      </c>
      <c r="T349" s="820"/>
      <c r="U349" s="820"/>
      <c r="V349" s="820"/>
      <c r="W349" s="745"/>
      <c r="X349" s="770">
        <f>SUM(Y349:AF349)</f>
        <v>0.38800000000000001</v>
      </c>
      <c r="Y349" s="771">
        <f>IF($Y$82&lt;=$L$344,L349,0)</f>
        <v>0.38800000000000001</v>
      </c>
      <c r="Z349" s="772">
        <f>IF(AND($Y$82&gt;10,$Y$82&lt;20),L349+(M349-L349)*($Y$82-$L$344)/($M$344-$L$344),0)</f>
        <v>0</v>
      </c>
      <c r="AA349" s="772">
        <f>IF(AND($Y$82&gt;20,$Y$82&lt;50),M349+(N349-M349)*($Y$82-$M$344)/($N$344-$M$344),0)</f>
        <v>0</v>
      </c>
      <c r="AB349" s="772">
        <f>IF(AND($Y$82&gt;50,$Y$82&lt;100),N349+(O349-N349)*($Y$82-$N$344)/($O$344-$N$344),0)</f>
        <v>0</v>
      </c>
      <c r="AC349" s="772">
        <f>IF(AND($Y$82&gt;100,$Y$82&lt;200),O349+(P349-O349)*($Y$82-$O$344)/($P$344-$O$344),0)</f>
        <v>0</v>
      </c>
      <c r="AD349" s="772">
        <f>IF(AND($Y$82&gt;200,$Y$82&lt;500),P349+(Q349-P349)*($Y$82-$P$344)/($Q$344-$P$344),0)</f>
        <v>0</v>
      </c>
      <c r="AE349" s="772">
        <f>IF(AND($Y$82&gt;500,$Y$82&lt;1000),Q349+(R349-Q349)*($Y$82-$Q$344)/($R$344-$Q$344),0)</f>
        <v>0</v>
      </c>
      <c r="AF349" s="772">
        <f>IF(AND($Y$82&gt;1000,$Y$82&lt;2000),R349+(S349-R349)*($Y$82-$R$344)/($S$344-$R$344),0)</f>
        <v>0</v>
      </c>
      <c r="AG349" s="772"/>
      <c r="AH349" s="772"/>
      <c r="AI349" s="772"/>
    </row>
    <row r="352" spans="10:35" ht="15.6">
      <c r="J352" s="809" t="s">
        <v>226</v>
      </c>
      <c r="K352" s="800"/>
      <c r="L352" s="800"/>
      <c r="M352" s="800"/>
      <c r="N352" s="800"/>
      <c r="O352" s="800"/>
      <c r="P352" s="800"/>
      <c r="Q352" s="800"/>
      <c r="R352" s="800"/>
      <c r="S352" s="800"/>
      <c r="T352" s="800"/>
      <c r="U352" s="800"/>
      <c r="V352" s="800"/>
    </row>
    <row r="353" spans="10:35" ht="15.6">
      <c r="J353" s="810"/>
      <c r="K353" s="800"/>
      <c r="L353" s="800"/>
      <c r="M353" s="800"/>
      <c r="N353" s="800"/>
      <c r="O353" s="800"/>
      <c r="P353" s="800"/>
      <c r="Q353" s="800"/>
      <c r="R353" s="800"/>
      <c r="S353" s="800"/>
      <c r="T353" s="800"/>
      <c r="U353" s="813" t="s">
        <v>141</v>
      </c>
      <c r="V353" s="800"/>
    </row>
    <row r="354" spans="10:35" ht="15.6">
      <c r="J354" s="814" t="s">
        <v>142</v>
      </c>
      <c r="K354" s="814" t="s">
        <v>143</v>
      </c>
      <c r="L354" s="821" t="s">
        <v>227</v>
      </c>
      <c r="M354" s="819"/>
      <c r="N354" s="819"/>
      <c r="O354" s="819"/>
      <c r="P354" s="819"/>
      <c r="Q354" s="819"/>
      <c r="R354" s="819"/>
      <c r="S354" s="819"/>
      <c r="T354" s="819"/>
      <c r="U354" s="819"/>
      <c r="V354" s="819"/>
      <c r="W354" s="745"/>
      <c r="X354" s="745"/>
    </row>
    <row r="355" spans="10:35" ht="15.6">
      <c r="J355" s="822"/>
      <c r="K355" s="822"/>
      <c r="L355" s="816">
        <v>10</v>
      </c>
      <c r="M355" s="823">
        <v>20</v>
      </c>
      <c r="N355" s="823">
        <v>50</v>
      </c>
      <c r="O355" s="823">
        <v>100</v>
      </c>
      <c r="P355" s="823">
        <v>200</v>
      </c>
      <c r="Q355" s="823">
        <v>500</v>
      </c>
      <c r="R355" s="824">
        <v>1000</v>
      </c>
      <c r="S355" s="824">
        <v>2000</v>
      </c>
      <c r="T355" s="824"/>
      <c r="U355" s="824"/>
      <c r="V355" s="824"/>
      <c r="W355" s="745"/>
      <c r="X355" s="759" t="s">
        <v>145</v>
      </c>
      <c r="Y355" s="767">
        <v>10</v>
      </c>
      <c r="Z355" s="768" t="s">
        <v>146</v>
      </c>
      <c r="AA355" s="768" t="s">
        <v>147</v>
      </c>
      <c r="AB355" s="768" t="s">
        <v>148</v>
      </c>
      <c r="AC355" s="768" t="s">
        <v>149</v>
      </c>
      <c r="AD355" s="768" t="s">
        <v>150</v>
      </c>
      <c r="AE355" s="768" t="s">
        <v>151</v>
      </c>
      <c r="AF355" s="768" t="s">
        <v>152</v>
      </c>
      <c r="AG355" s="768" t="s">
        <v>153</v>
      </c>
      <c r="AH355" s="768" t="s">
        <v>169</v>
      </c>
      <c r="AI355" s="768" t="s">
        <v>170</v>
      </c>
    </row>
    <row r="356" spans="10:35" ht="15.6">
      <c r="J356" s="825">
        <v>1</v>
      </c>
      <c r="K356" s="786" t="s">
        <v>100</v>
      </c>
      <c r="L356" s="826">
        <v>0.36699999999999999</v>
      </c>
      <c r="M356" s="826">
        <v>0.34599999999999997</v>
      </c>
      <c r="N356" s="826">
        <v>0.18099999999999999</v>
      </c>
      <c r="O356" s="826">
        <v>0.113</v>
      </c>
      <c r="P356" s="826">
        <v>0.10199999999999999</v>
      </c>
      <c r="Q356" s="826">
        <v>8.1000000000000003E-2</v>
      </c>
      <c r="R356" s="826">
        <v>5.5E-2</v>
      </c>
      <c r="S356" s="826">
        <v>4.2999999999999997E-2</v>
      </c>
      <c r="T356" s="826"/>
      <c r="U356" s="826"/>
      <c r="V356" s="826"/>
      <c r="W356" s="745"/>
      <c r="X356" s="770">
        <f>SUM(Y356:AF356)</f>
        <v>0.36699999999999999</v>
      </c>
      <c r="Y356" s="771">
        <f>IF($Y$82&lt;=$L$355,L356,0)</f>
        <v>0.36699999999999999</v>
      </c>
      <c r="Z356" s="772">
        <f>IF(AND($Y$82&gt;10,$Y$82&lt;20),L356+(M356-L356)*($Y$82-$L$355)/($M$355-$L$355),0)</f>
        <v>0</v>
      </c>
      <c r="AA356" s="772">
        <f>IF(AND($Y$82&gt;20,$Y$82&lt;50),M356+(N356-M356)*($Y$82-$M$355)/($N$355-$M$355),0)</f>
        <v>0</v>
      </c>
      <c r="AB356" s="772">
        <f>IF(AND($Y$82&gt;50,$Y$82&lt;100),N356+(O356-N356)*($Y$82-$N$355)/($O$355-$N$355),0)</f>
        <v>0</v>
      </c>
      <c r="AC356" s="772">
        <f>IF(AND($Y$82&gt;100,$Y$82&lt;200),O356+(P356-O356)*($Y$82-$O$355)/($P$355-$O$355),0)</f>
        <v>0</v>
      </c>
      <c r="AD356" s="772">
        <f>IF(AND($Y$82&gt;200,$Y$82&lt;500),P356+(Q356-P356)*($Y$82-$P$355)/($Q$355-$P$355),0)</f>
        <v>0</v>
      </c>
      <c r="AE356" s="772">
        <f>IF(AND($Y$82&gt;500,$Y$82&lt;1000),Q356+(R356-Q356)*($Y$82-$Q$355)/($R$355-$Q$355),0)</f>
        <v>0</v>
      </c>
      <c r="AF356" s="772">
        <f>IF(AND($Y$82&gt;1000,$Y$82&lt;2000),R356+(S356-R356)*($Y$82-$R$355)/($S$355-$R$355),0)</f>
        <v>0</v>
      </c>
      <c r="AG356" s="772"/>
      <c r="AH356" s="772"/>
      <c r="AI356" s="772"/>
    </row>
    <row r="357" spans="10:35" ht="15.6">
      <c r="J357" s="825">
        <v>2</v>
      </c>
      <c r="K357" s="786" t="s">
        <v>103</v>
      </c>
      <c r="L357" s="826">
        <v>0.54900000000000004</v>
      </c>
      <c r="M357" s="826">
        <v>0.49399999999999999</v>
      </c>
      <c r="N357" s="826">
        <v>0.28000000000000003</v>
      </c>
      <c r="O357" s="826">
        <v>0.17699999999999999</v>
      </c>
      <c r="P357" s="826">
        <v>0.152</v>
      </c>
      <c r="Q357" s="826">
        <v>0.123</v>
      </c>
      <c r="R357" s="826">
        <v>8.4000000000000005E-2</v>
      </c>
      <c r="S357" s="826">
        <v>6.6000000000000003E-2</v>
      </c>
      <c r="T357" s="826"/>
      <c r="U357" s="826"/>
      <c r="V357" s="826"/>
      <c r="W357" s="745"/>
      <c r="X357" s="770">
        <f>SUM(Y357:AF357)</f>
        <v>0.54900000000000004</v>
      </c>
      <c r="Y357" s="771">
        <f>IF($Y$82&lt;=$L$355,L357,0)</f>
        <v>0.54900000000000004</v>
      </c>
      <c r="Z357" s="772">
        <f>IF(AND($Y$82&gt;10,$Y$82&lt;20),L357+(M357-L357)*($Y$82-$L$355)/($M$355-$L$355),0)</f>
        <v>0</v>
      </c>
      <c r="AA357" s="772">
        <f>IF(AND($Y$82&gt;20,$Y$82&lt;50),M357+(N357-M357)*($Y$82-$M$355)/($N$355-$M$355),0)</f>
        <v>0</v>
      </c>
      <c r="AB357" s="772">
        <f>IF(AND($Y$82&gt;50,$Y$82&lt;100),N357+(O357-N357)*($Y$82-$N$355)/($O$355-$N$355),0)</f>
        <v>0</v>
      </c>
      <c r="AC357" s="772">
        <f>IF(AND($Y$82&gt;100,$Y$82&lt;200),O357+(P357-O357)*($Y$82-$O$355)/($P$355-$O$355),0)</f>
        <v>0</v>
      </c>
      <c r="AD357" s="772">
        <f>IF(AND($Y$82&gt;200,$Y$82&lt;500),P357+(Q357-P357)*($Y$82-$P$355)/($Q$355-$P$355),0)</f>
        <v>0</v>
      </c>
      <c r="AE357" s="772">
        <f>IF(AND($Y$82&gt;500,$Y$82&lt;1000),Q357+(R357-Q357)*($Y$82-$Q$355)/($R$355-$Q$355),0)</f>
        <v>0</v>
      </c>
      <c r="AF357" s="772">
        <f>IF(AND($Y$82&gt;1000,$Y$82&lt;2000),R357+(S357-R357)*($Y$82-$R$355)/($S$355-$R$355),0)</f>
        <v>0</v>
      </c>
      <c r="AG357" s="772"/>
      <c r="AH357" s="772"/>
      <c r="AI357" s="772"/>
    </row>
    <row r="358" spans="10:35" ht="15.6">
      <c r="J358" s="825">
        <v>3</v>
      </c>
      <c r="K358" s="786" t="s">
        <v>89</v>
      </c>
      <c r="L358" s="826">
        <v>0.26100000000000001</v>
      </c>
      <c r="M358" s="826">
        <v>0.23</v>
      </c>
      <c r="N358" s="826">
        <v>0.13100000000000001</v>
      </c>
      <c r="O358" s="826">
        <v>8.4000000000000005E-2</v>
      </c>
      <c r="P358" s="826">
        <v>7.3999999999999996E-2</v>
      </c>
      <c r="Q358" s="826">
        <v>5.6000000000000001E-2</v>
      </c>
      <c r="R358" s="826">
        <v>0.04</v>
      </c>
      <c r="S358" s="826">
        <v>3.2000000000000001E-2</v>
      </c>
      <c r="T358" s="826"/>
      <c r="U358" s="826"/>
      <c r="V358" s="826"/>
      <c r="W358" s="745"/>
      <c r="X358" s="770">
        <f>SUM(Y358:AF358)</f>
        <v>0.26100000000000001</v>
      </c>
      <c r="Y358" s="771">
        <f>IF($Y$82&lt;=$L$355,L358,0)</f>
        <v>0.26100000000000001</v>
      </c>
      <c r="Z358" s="772">
        <f>IF(AND($Y$82&gt;10,$Y$82&lt;20),L358+(M358-L358)*($Y$82-$L$355)/($M$355-$L$355),0)</f>
        <v>0</v>
      </c>
      <c r="AA358" s="772">
        <f>IF(AND($Y$82&gt;20,$Y$82&lt;50),M358+(N358-M358)*($Y$82-$M$355)/($N$355-$M$355),0)</f>
        <v>0</v>
      </c>
      <c r="AB358" s="772">
        <f>IF(AND($Y$82&gt;50,$Y$82&lt;100),N358+(O358-N358)*($Y$82-$N$355)/($O$355-$N$355),0)</f>
        <v>0</v>
      </c>
      <c r="AC358" s="772">
        <f>IF(AND($Y$82&gt;100,$Y$82&lt;200),O358+(P358-O358)*($Y$82-$O$355)/($P$355-$O$355),0)</f>
        <v>0</v>
      </c>
      <c r="AD358" s="772">
        <f>IF(AND($Y$82&gt;200,$Y$82&lt;500),P358+(Q358-P358)*($Y$82-$P$355)/($Q$355-$P$355),0)</f>
        <v>0</v>
      </c>
      <c r="AE358" s="772">
        <f>IF(AND($Y$82&gt;500,$Y$82&lt;1000),Q358+(R358-Q358)*($Y$82-$Q$355)/($R$355-$Q$355),0)</f>
        <v>0</v>
      </c>
      <c r="AF358" s="772">
        <f>IF(AND($Y$82&gt;1000,$Y$82&lt;2000),R358+(S358-R358)*($Y$82-$R$355)/($S$355-$R$355),0)</f>
        <v>0</v>
      </c>
      <c r="AG358" s="772"/>
      <c r="AH358" s="772"/>
      <c r="AI358" s="772"/>
    </row>
    <row r="359" spans="10:35" ht="15.6">
      <c r="J359" s="825">
        <v>4</v>
      </c>
      <c r="K359" s="786" t="s">
        <v>106</v>
      </c>
      <c r="L359" s="826">
        <v>0.28100000000000003</v>
      </c>
      <c r="M359" s="826">
        <v>0.245</v>
      </c>
      <c r="N359" s="826">
        <v>0.14000000000000001</v>
      </c>
      <c r="O359" s="826">
        <v>0.09</v>
      </c>
      <c r="P359" s="826">
        <v>7.8E-2</v>
      </c>
      <c r="Q359" s="826">
        <v>6.0999999999999999E-2</v>
      </c>
      <c r="R359" s="826">
        <v>0.05</v>
      </c>
      <c r="S359" s="826">
        <v>3.6999999999999998E-2</v>
      </c>
      <c r="T359" s="826"/>
      <c r="U359" s="826"/>
      <c r="V359" s="826"/>
      <c r="W359" s="745"/>
      <c r="X359" s="770">
        <f>SUM(Y359:AF359)</f>
        <v>0.28100000000000003</v>
      </c>
      <c r="Y359" s="771">
        <f>IF($Y$82&lt;=$L$355,L359,0)</f>
        <v>0.28100000000000003</v>
      </c>
      <c r="Z359" s="772">
        <f>IF(AND($Y$82&gt;10,$Y$82&lt;20),L359+(M359-L359)*($Y$82-$L$355)/($M$355-$L$355),0)</f>
        <v>0</v>
      </c>
      <c r="AA359" s="772">
        <f>IF(AND($Y$82&gt;20,$Y$82&lt;50),M359+(N359-M359)*($Y$82-$M$355)/($N$355-$M$355),0)</f>
        <v>0</v>
      </c>
      <c r="AB359" s="772">
        <f>IF(AND($Y$82&gt;50,$Y$82&lt;100),N359+(O359-N359)*($Y$82-$N$355)/($O$355-$N$355),0)</f>
        <v>0</v>
      </c>
      <c r="AC359" s="772">
        <f>IF(AND($Y$82&gt;100,$Y$82&lt;200),O359+(P359-O359)*($Y$82-$O$355)/($P$355-$O$355),0)</f>
        <v>0</v>
      </c>
      <c r="AD359" s="772">
        <f>IF(AND($Y$82&gt;200,$Y$82&lt;500),P359+(Q359-P359)*($Y$82-$P$355)/($Q$355-$P$355),0)</f>
        <v>0</v>
      </c>
      <c r="AE359" s="772">
        <f>IF(AND($Y$82&gt;500,$Y$82&lt;1000),Q359+(R359-Q359)*($Y$82-$Q$355)/($R$355-$Q$355),0)</f>
        <v>0</v>
      </c>
      <c r="AF359" s="772">
        <f>IF(AND($Y$82&gt;1000,$Y$82&lt;2000),R359+(S359-R359)*($Y$82-$R$355)/($S$355-$R$355),0)</f>
        <v>0</v>
      </c>
      <c r="AG359" s="772"/>
      <c r="AH359" s="772"/>
      <c r="AI359" s="772"/>
    </row>
    <row r="360" spans="10:35" ht="15.6">
      <c r="J360" s="825">
        <v>5</v>
      </c>
      <c r="K360" s="786" t="s">
        <v>108</v>
      </c>
      <c r="L360" s="826">
        <v>0.30199999999999999</v>
      </c>
      <c r="M360" s="826">
        <v>0.26</v>
      </c>
      <c r="N360" s="826">
        <v>0.156</v>
      </c>
      <c r="O360" s="826">
        <v>0.10199999999999999</v>
      </c>
      <c r="P360" s="826">
        <v>8.6999999999999994E-2</v>
      </c>
      <c r="Q360" s="826">
        <v>6.9000000000000006E-2</v>
      </c>
      <c r="R360" s="826">
        <v>5.3999999999999999E-2</v>
      </c>
      <c r="S360" s="826">
        <v>4.1000000000000002E-2</v>
      </c>
      <c r="T360" s="826"/>
      <c r="U360" s="826"/>
      <c r="V360" s="826"/>
      <c r="W360" s="745"/>
      <c r="X360" s="770">
        <f>SUM(Y360:AF360)</f>
        <v>0.30199999999999999</v>
      </c>
      <c r="Y360" s="771">
        <f>IF($Y$82&lt;=$L$355,L360,0)</f>
        <v>0.30199999999999999</v>
      </c>
      <c r="Z360" s="772">
        <f>IF(AND($Y$82&gt;10,$Y$82&lt;20),L360+(M360-L360)*($Y$82-$L$355)/($M$355-$L$355),0)</f>
        <v>0</v>
      </c>
      <c r="AA360" s="772">
        <f>IF(AND($Y$82&gt;20,$Y$82&lt;50),M360+(N360-M360)*($Y$82-$M$355)/($N$355-$M$355),0)</f>
        <v>0</v>
      </c>
      <c r="AB360" s="772">
        <f>IF(AND($Y$82&gt;50,$Y$82&lt;100),N360+(O360-N360)*($Y$82-$N$355)/($O$355-$N$355),0)</f>
        <v>0</v>
      </c>
      <c r="AC360" s="772">
        <f>IF(AND($Y$82&gt;100,$Y$82&lt;200),O360+(P360-O360)*($Y$82-$O$355)/($P$355-$O$355),0)</f>
        <v>0</v>
      </c>
      <c r="AD360" s="772">
        <f>IF(AND($Y$82&gt;200,$Y$82&lt;500),P360+(Q360-P360)*($Y$82-$P$355)/($Q$355-$P$355),0)</f>
        <v>0</v>
      </c>
      <c r="AE360" s="772">
        <f>IF(AND($Y$82&gt;500,$Y$82&lt;1000),Q360+(R360-Q360)*($Y$82-$Q$355)/($R$355-$Q$355),0)</f>
        <v>0</v>
      </c>
      <c r="AF360" s="772">
        <f>IF(AND($Y$82&gt;1000,$Y$82&lt;2000),R360+(S360-R360)*($Y$82-$R$355)/($S$355-$R$355),0)</f>
        <v>0</v>
      </c>
      <c r="AG360" s="772"/>
      <c r="AH360" s="772"/>
      <c r="AI360" s="772"/>
    </row>
    <row r="363" spans="10:35" ht="15.6">
      <c r="J363" s="773" t="s">
        <v>228</v>
      </c>
      <c r="K363" s="774"/>
      <c r="L363" s="774"/>
      <c r="M363" s="774"/>
      <c r="N363" s="774"/>
      <c r="O363" s="774"/>
      <c r="P363" s="774"/>
      <c r="Q363" s="774"/>
      <c r="R363" s="774"/>
      <c r="S363" s="774"/>
      <c r="T363" s="774"/>
      <c r="U363" s="774"/>
      <c r="V363" s="774"/>
      <c r="W363" s="774"/>
    </row>
    <row r="364" spans="10:35" ht="15.6">
      <c r="J364" s="774"/>
      <c r="K364" s="774"/>
      <c r="L364" s="774"/>
      <c r="M364" s="774"/>
      <c r="N364" s="774"/>
      <c r="O364" s="774"/>
      <c r="P364" s="774"/>
      <c r="Q364" s="774"/>
      <c r="R364" s="774"/>
      <c r="S364" s="774"/>
      <c r="T364" s="774"/>
      <c r="U364" s="774"/>
      <c r="V364" s="791"/>
      <c r="W364" s="774"/>
    </row>
    <row r="365" spans="10:35" ht="15.6">
      <c r="J365" s="792" t="s">
        <v>142</v>
      </c>
      <c r="K365" s="777" t="s">
        <v>143</v>
      </c>
      <c r="L365" s="794" t="s">
        <v>229</v>
      </c>
      <c r="M365" s="784"/>
      <c r="N365" s="784"/>
      <c r="O365" s="784"/>
      <c r="P365" s="784"/>
      <c r="Q365" s="784"/>
      <c r="R365" s="784"/>
      <c r="S365" s="784"/>
      <c r="T365" s="784"/>
      <c r="U365" s="784"/>
      <c r="V365" s="784"/>
      <c r="W365" s="745"/>
      <c r="X365" s="759"/>
      <c r="Y365" s="760"/>
      <c r="Z365" s="761"/>
      <c r="AA365" s="761"/>
      <c r="AB365" s="761"/>
      <c r="AC365" s="761"/>
      <c r="AD365" s="761"/>
      <c r="AE365" s="756"/>
      <c r="AF365" s="756"/>
      <c r="AG365" s="762"/>
      <c r="AH365" s="762"/>
      <c r="AI365" s="762"/>
    </row>
    <row r="366" spans="10:35" ht="15.6">
      <c r="J366" s="782"/>
      <c r="K366" s="781"/>
      <c r="L366" s="783">
        <v>10</v>
      </c>
      <c r="M366" s="784">
        <v>20</v>
      </c>
      <c r="N366" s="784">
        <v>50</v>
      </c>
      <c r="O366" s="784">
        <v>100</v>
      </c>
      <c r="P366" s="784">
        <v>200</v>
      </c>
      <c r="Q366" s="784">
        <v>500</v>
      </c>
      <c r="R366" s="784">
        <v>1000</v>
      </c>
      <c r="S366" s="784">
        <v>2000</v>
      </c>
      <c r="T366" s="784">
        <v>5000</v>
      </c>
      <c r="U366" s="784">
        <v>8000</v>
      </c>
      <c r="V366" s="784">
        <v>10000</v>
      </c>
      <c r="W366" s="745"/>
      <c r="X366" s="759" t="s">
        <v>145</v>
      </c>
      <c r="Y366" s="767">
        <v>10</v>
      </c>
      <c r="Z366" s="768" t="s">
        <v>146</v>
      </c>
      <c r="AA366" s="768" t="s">
        <v>147</v>
      </c>
      <c r="AB366" s="768" t="s">
        <v>148</v>
      </c>
      <c r="AC366" s="768" t="s">
        <v>149</v>
      </c>
      <c r="AD366" s="768" t="s">
        <v>150</v>
      </c>
      <c r="AE366" s="768" t="s">
        <v>151</v>
      </c>
      <c r="AF366" s="768" t="s">
        <v>152</v>
      </c>
      <c r="AG366" s="768" t="s">
        <v>153</v>
      </c>
      <c r="AH366" s="768" t="s">
        <v>169</v>
      </c>
      <c r="AI366" s="768" t="s">
        <v>170</v>
      </c>
    </row>
    <row r="367" spans="10:35" ht="15.6">
      <c r="J367" s="808">
        <v>1</v>
      </c>
      <c r="K367" s="786" t="s">
        <v>100</v>
      </c>
      <c r="L367" s="787">
        <v>3.2850000000000001</v>
      </c>
      <c r="M367" s="787">
        <v>2.8530000000000002</v>
      </c>
      <c r="N367" s="787">
        <v>2.4350000000000001</v>
      </c>
      <c r="O367" s="787">
        <v>1.845</v>
      </c>
      <c r="P367" s="787">
        <v>1.546</v>
      </c>
      <c r="Q367" s="787">
        <v>1.1879999999999999</v>
      </c>
      <c r="R367" s="787">
        <v>0.79700000000000004</v>
      </c>
      <c r="S367" s="787">
        <v>0.69399999999999995</v>
      </c>
      <c r="T367" s="787">
        <v>0.62</v>
      </c>
      <c r="U367" s="787">
        <v>0.53</v>
      </c>
      <c r="V367" s="787">
        <v>0.47799999999999998</v>
      </c>
      <c r="W367" s="745"/>
      <c r="X367" s="770">
        <f>SUM(Y367:AI367)</f>
        <v>3.2850000000000001</v>
      </c>
      <c r="Y367" s="771">
        <f>IF($Y$82&lt;=$L$366,L367,0)</f>
        <v>3.2850000000000001</v>
      </c>
      <c r="Z367" s="772">
        <f>IF(AND($Y$82&gt;10,$Y$82&lt;20),L367+(M367-L367)*($Y$82-$L$366)/($M$366-$L$366),0)</f>
        <v>0</v>
      </c>
      <c r="AA367" s="772">
        <f>IF(AND($Y$82&gt;20,$Y$82&lt;50),M367+(N367-M367)*($Y$82-$M$366)/($N$366-$M$366),0)</f>
        <v>0</v>
      </c>
      <c r="AB367" s="772">
        <f>IF(AND($Y$82&gt;50,$Y$82&lt;100),N367+(O367-N367)*($Y$82-$N$366)/($O$366-$N$366),0)</f>
        <v>0</v>
      </c>
      <c r="AC367" s="772">
        <f>IF(AND($Y$82&gt;100,$Y$82&lt;200),O367+(P367-O367)*($Y$82-$O$366)/($P$366-$O$366),0)</f>
        <v>0</v>
      </c>
      <c r="AD367" s="772">
        <f>IF(AND($Y$82&gt;200,$Y$82&lt;500),P367+(Q367-P367)*($Y$82-$P$366)/($Q$366-$P$366),0)</f>
        <v>0</v>
      </c>
      <c r="AE367" s="772">
        <f>IF(AND($Y$82&gt;500,$Y$82&lt;1000),Q367+(R367-Q367)*($Y$82-$Q$366)/($R$366-$Q$366),0)</f>
        <v>0</v>
      </c>
      <c r="AF367" s="772">
        <f>IF(AND($Y$82&gt;1000,$Y$82&lt;2000),R367+(S367-R367)*($Y$82-$R$366)/($S$366-$R$366),0)</f>
        <v>0</v>
      </c>
      <c r="AG367" s="772">
        <f>IF(AND($Y$82&gt;2000,$Y$82&lt;5000),S367+(T367-S367)*($Y$82-$S$366)/($T$366-$S$366),0)</f>
        <v>0</v>
      </c>
      <c r="AH367" s="772">
        <f>IF(AND($Y$82&gt;5000,$Y$82&lt;8000),T367+(U367-T367)*($Y$82-$T$366)/($U$366-$T$366),0)</f>
        <v>0</v>
      </c>
      <c r="AI367" s="772">
        <f>IF(AND($Y$82&gt;8000,$Y$82&lt;10000),U367+(V367-U367)*($Y$82-$U$366)/($V$366-$U$366),0)</f>
        <v>0</v>
      </c>
    </row>
    <row r="368" spans="10:35" ht="15.6">
      <c r="J368" s="808">
        <v>2</v>
      </c>
      <c r="K368" s="786" t="s">
        <v>103</v>
      </c>
      <c r="L368" s="787">
        <v>3.508</v>
      </c>
      <c r="M368" s="787">
        <v>3.137</v>
      </c>
      <c r="N368" s="787">
        <v>2.5590000000000002</v>
      </c>
      <c r="O368" s="787">
        <v>2.0739999999999998</v>
      </c>
      <c r="P368" s="787">
        <v>1.6040000000000001</v>
      </c>
      <c r="Q368" s="787">
        <v>1.3009999999999999</v>
      </c>
      <c r="R368" s="787">
        <v>0.82299999999999995</v>
      </c>
      <c r="S368" s="787">
        <v>0.71599999999999997</v>
      </c>
      <c r="T368" s="787">
        <v>0.64</v>
      </c>
      <c r="U368" s="787">
        <v>0.55000000000000004</v>
      </c>
      <c r="V368" s="787">
        <v>0.49299999999999999</v>
      </c>
      <c r="W368" s="745"/>
      <c r="X368" s="770">
        <f>SUM(Y368:AI368)</f>
        <v>3.508</v>
      </c>
      <c r="Y368" s="771">
        <f>IF($Y$82&lt;=$L$366,L368,0)</f>
        <v>3.508</v>
      </c>
      <c r="Z368" s="772">
        <f>IF(AND($Y$82&gt;10,$Y$82&lt;20),L368+(M368-L368)*($Y$82-$L$366)/($M$366-$L$366),0)</f>
        <v>0</v>
      </c>
      <c r="AA368" s="772">
        <f>IF(AND($Y$82&gt;20,$Y$82&lt;50),M368+(N368-M368)*($Y$82-$M$366)/($N$366-$M$366),0)</f>
        <v>0</v>
      </c>
      <c r="AB368" s="772">
        <f>IF(AND($Y$82&gt;50,$Y$82&lt;100),N368+(O368-N368)*($Y$82-$N$366)/($O$366-$N$366),0)</f>
        <v>0</v>
      </c>
      <c r="AC368" s="772">
        <f>IF(AND($Y$82&gt;100,$Y$82&lt;200),O368+(P368-O368)*($Y$82-$O$366)/($P$366-$O$366),0)</f>
        <v>0</v>
      </c>
      <c r="AD368" s="772">
        <f>IF(AND($Y$82&gt;200,$Y$82&lt;500),P368+(Q368-P368)*($Y$82-$P$366)/($Q$366-$P$366),0)</f>
        <v>0</v>
      </c>
      <c r="AE368" s="772">
        <f>IF(AND($Y$82&gt;500,$Y$82&lt;1000),Q368+(R368-Q368)*($Y$82-$Q$366)/($R$366-$Q$366),0)</f>
        <v>0</v>
      </c>
      <c r="AF368" s="772">
        <f>IF(AND($Y$82&gt;1000,$Y$82&lt;2000),R368+(S368-R368)*($Y$82-$R$366)/($S$366-$R$366),0)</f>
        <v>0</v>
      </c>
      <c r="AG368" s="772">
        <f>IF(AND($Y$82&gt;2000,$Y$82&lt;5000),S368+(T368-S368)*($Y$82-$S$366)/($T$366-$S$366),0)</f>
        <v>0</v>
      </c>
      <c r="AH368" s="772">
        <f>IF(AND($Y$82&gt;5000,$Y$82&lt;8000),T368+(U368-T368)*($Y$82-$T$366)/($U$366-$T$366),0)</f>
        <v>0</v>
      </c>
      <c r="AI368" s="772">
        <f>IF(AND($Y$82&gt;8000,$Y$82&lt;10000),U368+(V368-U368)*($Y$82-$U$327)/($V$327-$U$327),0)</f>
        <v>0</v>
      </c>
    </row>
    <row r="369" spans="10:35" ht="15.6">
      <c r="J369" s="808">
        <v>3</v>
      </c>
      <c r="K369" s="786" t="s">
        <v>89</v>
      </c>
      <c r="L369" s="787">
        <v>3.2029999999999998</v>
      </c>
      <c r="M369" s="787">
        <v>2.7</v>
      </c>
      <c r="N369" s="787">
        <v>2.3559999999999999</v>
      </c>
      <c r="O369" s="787">
        <v>1.714</v>
      </c>
      <c r="P369" s="787">
        <v>1.272</v>
      </c>
      <c r="Q369" s="787">
        <v>1.0029999999999999</v>
      </c>
      <c r="R369" s="787">
        <v>0.73099999999999998</v>
      </c>
      <c r="S369" s="787">
        <v>0.63600000000000001</v>
      </c>
      <c r="T369" s="787">
        <v>0.55000000000000004</v>
      </c>
      <c r="U369" s="787">
        <v>0.48</v>
      </c>
      <c r="V369" s="787">
        <v>0.438</v>
      </c>
      <c r="W369" s="745"/>
      <c r="X369" s="770">
        <f>SUM(Y369:AI369)</f>
        <v>3.2029999999999998</v>
      </c>
      <c r="Y369" s="771">
        <f>IF($Y$82&lt;=$L$366,L369,0)</f>
        <v>3.2029999999999998</v>
      </c>
      <c r="Z369" s="772">
        <f>IF(AND($Y$82&gt;10,$Y$82&lt;20),L369+(M369-L369)*($Y$82-$L$366)/($M$366-$L$366),0)</f>
        <v>0</v>
      </c>
      <c r="AA369" s="772">
        <f>IF(AND($Y$82&gt;20,$Y$82&lt;50),M369+(N369-M369)*($Y$82-$M$366)/($N$366-$M$366),0)</f>
        <v>0</v>
      </c>
      <c r="AB369" s="772">
        <f>IF(AND($Y$82&gt;50,$Y$82&lt;100),N369+(O369-N369)*($Y$82-$N$366)/($O$366-$N$366),0)</f>
        <v>0</v>
      </c>
      <c r="AC369" s="772">
        <f>IF(AND($Y$82&gt;100,$Y$82&lt;200),O369+(P369-O369)*($Y$82-$O$366)/($P$366-$O$366),0)</f>
        <v>0</v>
      </c>
      <c r="AD369" s="772">
        <f>IF(AND($Y$82&gt;200,$Y$82&lt;500),P369+(Q369-P369)*($Y$82-$P$366)/($Q$366-$P$366),0)</f>
        <v>0</v>
      </c>
      <c r="AE369" s="772">
        <f>IF(AND($Y$82&gt;500,$Y$82&lt;1000),Q369+(R369-Q369)*($Y$82-$Q$366)/($R$366-$Q$366),0)</f>
        <v>0</v>
      </c>
      <c r="AF369" s="772">
        <f>IF(AND($Y$82&gt;1000,$Y$82&lt;2000),R369+(S369-R369)*($Y$82-$R$366)/($S$366-$R$366),0)</f>
        <v>0</v>
      </c>
      <c r="AG369" s="772">
        <f>IF(AND($Y$82&gt;2000,$Y$82&lt;5000),S369+(T369-S369)*($Y$82-$S$366)/($T$366-$S$366),0)</f>
        <v>0</v>
      </c>
      <c r="AH369" s="772">
        <f>IF(AND($Y$82&gt;5000,$Y$82&lt;8000),T369+(U369-T369)*($Y$82-$T$366)/($U$366-$T$366),0)</f>
        <v>0</v>
      </c>
      <c r="AI369" s="772">
        <f>IF(AND($Y$82&gt;8000,$Y$82&lt;10000),U369+(V369-U369)*($Y$82-$U$327)/($V$327-$U$327),0)</f>
        <v>0</v>
      </c>
    </row>
    <row r="370" spans="10:35" ht="15.6">
      <c r="J370" s="808">
        <v>4</v>
      </c>
      <c r="K370" s="786" t="s">
        <v>106</v>
      </c>
      <c r="L370" s="787">
        <v>2.5979999999999999</v>
      </c>
      <c r="M370" s="787">
        <v>2.2919999999999998</v>
      </c>
      <c r="N370" s="787">
        <v>2.0750000000000002</v>
      </c>
      <c r="O370" s="787">
        <v>1.5449999999999999</v>
      </c>
      <c r="P370" s="787">
        <v>1.1890000000000001</v>
      </c>
      <c r="Q370" s="787">
        <v>0.95</v>
      </c>
      <c r="R370" s="787">
        <v>0.63100000000000001</v>
      </c>
      <c r="S370" s="787">
        <v>0.55000000000000004</v>
      </c>
      <c r="T370" s="787">
        <v>0.49</v>
      </c>
      <c r="U370" s="787">
        <v>0.42</v>
      </c>
      <c r="V370" s="787">
        <v>0.378000000000001</v>
      </c>
      <c r="W370" s="745"/>
      <c r="X370" s="770">
        <f>SUM(Y370:AI370)</f>
        <v>2.5979999999999999</v>
      </c>
      <c r="Y370" s="771">
        <f>IF($Y$82&lt;=$L$366,L370,0)</f>
        <v>2.5979999999999999</v>
      </c>
      <c r="Z370" s="772">
        <f>IF(AND($Y$82&gt;10,$Y$82&lt;20),L370+(M370-L370)*($Y$82-$L$366)/($M$366-$L$366),0)</f>
        <v>0</v>
      </c>
      <c r="AA370" s="772">
        <f>IF(AND($Y$82&gt;20,$Y$82&lt;50),M370+(N370-M370)*($Y$82-$M$366)/($N$366-$M$366),0)</f>
        <v>0</v>
      </c>
      <c r="AB370" s="772">
        <f>IF(AND($Y$82&gt;50,$Y$82&lt;100),N370+(O370-N370)*($Y$82-$N$366)/($O$366-$N$366),0)</f>
        <v>0</v>
      </c>
      <c r="AC370" s="772">
        <f>IF(AND($Y$82&gt;100,$Y$82&lt;200),O370+(P370-O370)*($Y$82-$O$366)/($P$366-$O$366),0)</f>
        <v>0</v>
      </c>
      <c r="AD370" s="772">
        <f>IF(AND($Y$82&gt;200,$Y$82&lt;500),P370+(Q370-P370)*($Y$82-$P$366)/($Q$366-$P$366),0)</f>
        <v>0</v>
      </c>
      <c r="AE370" s="772">
        <f>IF(AND($Y$82&gt;500,$Y$82&lt;1000),Q370+(R370-Q370)*($Y$82-$Q$366)/($R$366-$Q$366),0)</f>
        <v>0</v>
      </c>
      <c r="AF370" s="772">
        <f>IF(AND($Y$82&gt;1000,$Y$82&lt;2000),R370+(S370-R370)*($Y$82-$R$366)/($S$366-$R$366),0)</f>
        <v>0</v>
      </c>
      <c r="AG370" s="772">
        <f>IF(AND($Y$82&gt;2000,$Y$82&lt;5000),S370+(T370-S370)*($Y$82-$S$366)/($T$366-$S$366),0)</f>
        <v>0</v>
      </c>
      <c r="AH370" s="772">
        <f>IF(AND($Y$82&gt;5000,$Y$82&lt;8000),T370+(U370-T370)*($Y$82-$T$366)/($U$366-$T$366),0)</f>
        <v>0</v>
      </c>
      <c r="AI370" s="772">
        <f>IF(AND($Y$82&gt;8000,$Y$82&lt;10000),U370+(V370-U370)*($Y$82-$U$327)/($V$327-$U$327),0)</f>
        <v>0</v>
      </c>
    </row>
    <row r="371" spans="10:35" ht="15.6">
      <c r="J371" s="808">
        <v>5</v>
      </c>
      <c r="K371" s="786" t="s">
        <v>108</v>
      </c>
      <c r="L371" s="787">
        <v>2.5659999999999998</v>
      </c>
      <c r="M371" s="787">
        <v>2.2559999999999998</v>
      </c>
      <c r="N371" s="787">
        <v>1.984</v>
      </c>
      <c r="O371" s="787">
        <v>1.4610000000000001</v>
      </c>
      <c r="P371" s="787">
        <v>1.1419999999999999</v>
      </c>
      <c r="Q371" s="787">
        <v>0.91200000000000003</v>
      </c>
      <c r="R371" s="787">
        <v>0.58399999999999996</v>
      </c>
      <c r="S371" s="787">
        <v>0.50900000000000001</v>
      </c>
      <c r="T371" s="787">
        <v>0.45200000000000001</v>
      </c>
      <c r="U371" s="787">
        <v>0.39</v>
      </c>
      <c r="V371" s="787">
        <v>0.35</v>
      </c>
      <c r="W371" s="745"/>
      <c r="X371" s="770">
        <f>SUM(Y371:AI371)</f>
        <v>2.5659999999999998</v>
      </c>
      <c r="Y371" s="771">
        <f>IF($Y$82&lt;=$L$366,L371,0)</f>
        <v>2.5659999999999998</v>
      </c>
      <c r="Z371" s="772">
        <f>IF(AND($Y$82&gt;10,$Y$82&lt;20),L371+(M371-L371)*($Y$82-$L$366)/($M$366-$L$366),0)</f>
        <v>0</v>
      </c>
      <c r="AA371" s="772">
        <f>IF(AND($Y$82&gt;20,$Y$82&lt;50),M371+(N371-M371)*($Y$82-$M$366)/($N$366-$M$366),0)</f>
        <v>0</v>
      </c>
      <c r="AB371" s="772">
        <f>IF(AND($Y$82&gt;50,$Y$82&lt;100),N371+(O371-N371)*($Y$82-$N$366)/($O$366-$N$366),0)</f>
        <v>0</v>
      </c>
      <c r="AC371" s="772">
        <f>IF(AND($Y$82&gt;100,$Y$82&lt;200),O371+(P371-O371)*($Y$82-$O$366)/($P$366-$O$366),0)</f>
        <v>0</v>
      </c>
      <c r="AD371" s="772">
        <f>IF(AND($Y$82&gt;200,$Y$82&lt;500),P371+(Q371-P371)*($Y$82-$P$366)/($Q$366-$P$366),0)</f>
        <v>0</v>
      </c>
      <c r="AE371" s="772">
        <f>IF(AND($Y$82&gt;500,$Y$82&lt;1000),Q371+(R371-Q371)*($Y$82-$Q$366)/($R$366-$Q$366),0)</f>
        <v>0</v>
      </c>
      <c r="AF371" s="772">
        <f>IF(AND($Y$82&gt;1000,$Y$82&lt;2000),R371+(S371-R371)*($Y$82-$R$366)/($S$366-$R$366),0)</f>
        <v>0</v>
      </c>
      <c r="AG371" s="772">
        <f>IF(AND($Y$82&gt;2000,$Y$82&lt;5000),S371+(T371-S371)*($Y$82-$S$366)/($T$366-$S$366),0)</f>
        <v>0</v>
      </c>
      <c r="AH371" s="772">
        <f>IF(AND($Y$82&gt;5000,$Y$82&lt;8000),T371+(U371-T371)*($Y$82-$T$366)/($U$366-$T$366),0)</f>
        <v>0</v>
      </c>
      <c r="AI371" s="772">
        <f>IF(AND($Y$82&gt;8000,$Y$82&lt;10000),U371+(V371-U371)*($Y$82-$U$327)/($V$327-$U$327),0)</f>
        <v>0</v>
      </c>
    </row>
    <row r="374" spans="10:35" ht="15.6">
      <c r="J374" s="756" t="s">
        <v>230</v>
      </c>
      <c r="K374" s="478"/>
      <c r="L374" s="478"/>
      <c r="M374" s="478"/>
      <c r="N374" s="520"/>
      <c r="O374" s="478"/>
      <c r="P374" s="478"/>
      <c r="Q374" s="478"/>
      <c r="R374" s="478"/>
      <c r="S374" s="478"/>
      <c r="T374" s="478"/>
    </row>
    <row r="375" spans="10:35" ht="15.6">
      <c r="J375" s="756" t="s">
        <v>231</v>
      </c>
      <c r="K375" s="478"/>
      <c r="L375" s="478"/>
      <c r="M375" s="478"/>
      <c r="N375" s="520"/>
      <c r="O375" s="478"/>
      <c r="P375" s="478"/>
      <c r="Q375" s="478"/>
      <c r="R375" s="478"/>
      <c r="S375" s="478"/>
      <c r="T375" s="478"/>
    </row>
    <row r="376" spans="10:35" ht="15.6">
      <c r="J376" s="827" t="s">
        <v>232</v>
      </c>
      <c r="K376" s="827"/>
      <c r="L376" s="827"/>
      <c r="M376" s="827"/>
      <c r="N376" s="827"/>
      <c r="O376" s="827"/>
      <c r="P376" s="478"/>
      <c r="Q376" s="478"/>
      <c r="R376" s="478"/>
      <c r="S376" s="478"/>
      <c r="T376" s="519"/>
    </row>
    <row r="377" spans="10:35" ht="15.6">
      <c r="J377" s="763" t="s">
        <v>142</v>
      </c>
      <c r="K377" s="763" t="s">
        <v>143</v>
      </c>
      <c r="L377" s="871" t="s">
        <v>219</v>
      </c>
      <c r="M377" s="872"/>
      <c r="N377" s="872"/>
      <c r="O377" s="872"/>
      <c r="P377" s="872"/>
      <c r="Q377" s="872"/>
      <c r="R377" s="872"/>
      <c r="S377" s="872"/>
      <c r="T377" s="872"/>
      <c r="U377" s="872"/>
      <c r="V377" s="872"/>
      <c r="W377" s="873"/>
      <c r="X377" s="759"/>
      <c r="Y377" s="760"/>
      <c r="Z377" s="761"/>
      <c r="AA377" s="761"/>
      <c r="AB377" s="761"/>
      <c r="AC377" s="761"/>
      <c r="AD377" s="761"/>
      <c r="AE377" s="756"/>
      <c r="AF377" s="756"/>
      <c r="AG377" s="762"/>
      <c r="AH377" s="762"/>
      <c r="AI377" s="762"/>
    </row>
    <row r="378" spans="10:35" ht="15.6">
      <c r="J378" s="763"/>
      <c r="K378" s="763"/>
      <c r="L378" s="828">
        <v>15</v>
      </c>
      <c r="M378" s="763">
        <v>50</v>
      </c>
      <c r="N378" s="763">
        <v>100</v>
      </c>
      <c r="O378" s="763">
        <v>200</v>
      </c>
      <c r="P378" s="763">
        <v>500</v>
      </c>
      <c r="Q378" s="763">
        <v>1000</v>
      </c>
      <c r="R378" s="763">
        <v>2000</v>
      </c>
      <c r="S378" s="763">
        <v>5000</v>
      </c>
      <c r="T378" s="763">
        <v>8000</v>
      </c>
      <c r="U378" s="745"/>
      <c r="V378" s="745"/>
      <c r="W378" s="745"/>
      <c r="X378" s="759" t="s">
        <v>145</v>
      </c>
      <c r="Y378" s="767">
        <v>15</v>
      </c>
      <c r="Z378" s="768" t="s">
        <v>233</v>
      </c>
      <c r="AA378" s="768" t="s">
        <v>148</v>
      </c>
      <c r="AB378" s="768" t="s">
        <v>149</v>
      </c>
      <c r="AC378" s="768" t="s">
        <v>150</v>
      </c>
      <c r="AD378" s="768" t="s">
        <v>151</v>
      </c>
      <c r="AE378" s="768" t="s">
        <v>152</v>
      </c>
      <c r="AF378" s="768" t="s">
        <v>153</v>
      </c>
      <c r="AG378" s="768" t="s">
        <v>169</v>
      </c>
    </row>
    <row r="379" spans="10:35" ht="15.6">
      <c r="J379" s="763">
        <v>1</v>
      </c>
      <c r="K379" s="759" t="s">
        <v>100</v>
      </c>
      <c r="L379" s="829">
        <v>0.16500000000000001</v>
      </c>
      <c r="M379" s="829">
        <v>0.11</v>
      </c>
      <c r="N379" s="829">
        <v>8.5000000000000006E-2</v>
      </c>
      <c r="O379" s="829">
        <v>6.5000000000000002E-2</v>
      </c>
      <c r="P379" s="829">
        <v>0.05</v>
      </c>
      <c r="Q379" s="829">
        <v>4.1000000000000002E-2</v>
      </c>
      <c r="R379" s="829">
        <v>2.9000000000000001E-2</v>
      </c>
      <c r="S379" s="829">
        <v>2.1999999999999999E-2</v>
      </c>
      <c r="T379" s="829">
        <v>1.9E-2</v>
      </c>
      <c r="U379" s="745"/>
      <c r="V379" s="745"/>
      <c r="W379" s="745"/>
      <c r="X379" s="770">
        <f>SUM(Y379:AG379)</f>
        <v>0.16500000000000001</v>
      </c>
      <c r="Y379" s="771">
        <f>IF($Y$82&lt;=$L$378,L379,0)</f>
        <v>0.16500000000000001</v>
      </c>
      <c r="Z379" s="772">
        <f>IF(AND($Y$82&gt;15,$Y$82&lt;50),L379+(M379-L379)*($Y$82-$L$378)/($M$378-$L$378),0)</f>
        <v>0</v>
      </c>
      <c r="AA379" s="772">
        <f>IF(AND($Y$82&gt;50,$Y$82&lt;100),M379+(N379-M379)*($Y$82-$M$378)/($N$378-$M$378),0)</f>
        <v>0</v>
      </c>
      <c r="AB379" s="772">
        <f>IF(AND($Y$82&gt;100,$Y$82&lt;200),N379+(O379-N379)*($Y$82-$N$378)/($O$378-$N$378),0)</f>
        <v>0</v>
      </c>
      <c r="AC379" s="772">
        <f>IF(AND($Y$82&gt;200,$Y$82&lt;500),O379+(P379-O379)*($Y$82-$O$378)/($P$378-$O$378),0)</f>
        <v>0</v>
      </c>
      <c r="AD379" s="772">
        <f>IF(AND($Y$82&gt;500,$Y$82&lt;1000),P379+(Q379-P379)*($Y$82-$P$378)/($Q$378-$P$378),0)</f>
        <v>0</v>
      </c>
      <c r="AE379" s="772">
        <f>IF(AND($Y$82&gt;1000,$Y$82&lt;2000),Q379+(R379-Q379)*($Y$82-$Q$378)/($R$378-$Q$378),0)</f>
        <v>0</v>
      </c>
      <c r="AF379" s="772">
        <f>IF(AND($Y$82&gt;2000,$Y$82&lt;5000),R379+(S379-R379)*($Y$82-$R$378)/($S$378-$R$378),0)</f>
        <v>0</v>
      </c>
      <c r="AG379" s="772">
        <f>IF(AND($Y$82&gt;5000,$Y$82&lt;8000),S379+(T379-S379)*($Y$82-$S$378)/($T$378-$S$378),0)</f>
        <v>0</v>
      </c>
    </row>
    <row r="380" spans="10:35" ht="15.6">
      <c r="J380" s="763">
        <v>2</v>
      </c>
      <c r="K380" s="759" t="s">
        <v>103</v>
      </c>
      <c r="L380" s="829">
        <v>0.19</v>
      </c>
      <c r="M380" s="829">
        <v>0.126</v>
      </c>
      <c r="N380" s="829">
        <v>9.7000000000000003E-2</v>
      </c>
      <c r="O380" s="829">
        <v>7.4999999999999997E-2</v>
      </c>
      <c r="P380" s="829">
        <v>5.8000000000000003E-2</v>
      </c>
      <c r="Q380" s="829">
        <v>4.3999999999999997E-2</v>
      </c>
      <c r="R380" s="829">
        <v>3.5000000000000003E-2</v>
      </c>
      <c r="S380" s="829">
        <v>2.5999999999999999E-2</v>
      </c>
      <c r="T380" s="829">
        <v>2.1999999999999999E-2</v>
      </c>
      <c r="U380" s="745"/>
      <c r="V380" s="745"/>
      <c r="W380" s="745"/>
      <c r="X380" s="770">
        <f>SUM(Y380:AG380)</f>
        <v>0.19</v>
      </c>
      <c r="Y380" s="771">
        <f>IF($Y$82&lt;=$L$378,L380,0)</f>
        <v>0.19</v>
      </c>
      <c r="Z380" s="772">
        <f>IF(AND($Y$82&gt;15,$Y$82&lt;50),L380+(M380-L380)*($Y$82-$L$378)/($M$378-$L$378),0)</f>
        <v>0</v>
      </c>
      <c r="AA380" s="772">
        <f>IF(AND($Y$82&gt;50,$Y$82&lt;100),M380+(N380-M380)*($Y$82-$M$378)/($N$378-$M$378),0)</f>
        <v>0</v>
      </c>
      <c r="AB380" s="772">
        <f>IF(AND($Y$82&gt;100,$Y$82&lt;200),N380+(O380-N380)*($Y$82-$N$378)/($O$378-$N$378),0)</f>
        <v>0</v>
      </c>
      <c r="AC380" s="772">
        <f>IF(AND($Y$82&gt;200,$Y$82&lt;500),O380+(P380-O380)*($Y$82-$O$378)/($P$378-$O$378),0)</f>
        <v>0</v>
      </c>
      <c r="AD380" s="772">
        <f>IF(AND($Y$82&gt;500,$Y$82&lt;1000),P380+(Q380-P380)*($Y$82-$P$378)/($Q$378-$P$378),0)</f>
        <v>0</v>
      </c>
      <c r="AE380" s="772">
        <f>IF(AND($Y$82&gt;1000,$Y$82&lt;2000),Q380+(R380-Q380)*($Y$82-$Q$378)/($R$378-$Q$378),0)</f>
        <v>0</v>
      </c>
      <c r="AF380" s="772">
        <f>IF(AND($Y$82&gt;2000,$Y$82&lt;5000),R380+(S380-R380)*($Y$82-$R$378)/($S$378-$R$378),0)</f>
        <v>0</v>
      </c>
      <c r="AG380" s="772">
        <f>IF(AND($Y$82&gt;5000,$Y$82&lt;8000),S380+(T380-S380)*($Y$82-$S$378)/($T$378-$S$378),0)</f>
        <v>0</v>
      </c>
    </row>
    <row r="381" spans="10:35" ht="15.6">
      <c r="J381" s="763">
        <v>3</v>
      </c>
      <c r="K381" s="759" t="s">
        <v>89</v>
      </c>
      <c r="L381" s="829">
        <v>0.109</v>
      </c>
      <c r="M381" s="829">
        <v>7.1999999999999995E-2</v>
      </c>
      <c r="N381" s="829">
        <v>5.5E-2</v>
      </c>
      <c r="O381" s="829">
        <v>4.2999999999999997E-2</v>
      </c>
      <c r="P381" s="829">
        <v>3.3000000000000002E-2</v>
      </c>
      <c r="Q381" s="829">
        <v>2.5000000000000001E-2</v>
      </c>
      <c r="R381" s="829">
        <v>2.1000000000000001E-2</v>
      </c>
      <c r="S381" s="829">
        <v>1.6E-2</v>
      </c>
      <c r="T381" s="829">
        <v>1.4E-2</v>
      </c>
      <c r="U381" s="745"/>
      <c r="V381" s="745"/>
      <c r="W381" s="745"/>
      <c r="X381" s="770">
        <f>SUM(Y381:AG381)</f>
        <v>0.109</v>
      </c>
      <c r="Y381" s="771">
        <f>IF($Y$82&lt;=$L$378,L381,0)</f>
        <v>0.109</v>
      </c>
      <c r="Z381" s="772">
        <f>IF(AND($Y$82&gt;15,$Y$82&lt;50),L381+(M381-L381)*($Y$82-$L$378)/($M$378-$L$378),0)</f>
        <v>0</v>
      </c>
      <c r="AA381" s="772">
        <f>IF(AND($Y$82&gt;50,$Y$82&lt;100),M381+(N381-M381)*($Y$82-$M$378)/($N$378-$M$378),0)</f>
        <v>0</v>
      </c>
      <c r="AB381" s="772">
        <f>IF(AND($Y$82&gt;100,$Y$82&lt;200),N381+(O381-N381)*($Y$82-$N$378)/($O$378-$N$378),0)</f>
        <v>0</v>
      </c>
      <c r="AC381" s="772">
        <f>IF(AND($Y$82&gt;200,$Y$82&lt;500),O381+(P381-O381)*($Y$82-$O$378)/($P$378-$O$378),0)</f>
        <v>0</v>
      </c>
      <c r="AD381" s="772">
        <f>IF(AND($Y$82&gt;500,$Y$82&lt;1000),P381+(Q381-P381)*($Y$82-$P$378)/($Q$378-$P$378),0)</f>
        <v>0</v>
      </c>
      <c r="AE381" s="772">
        <f>IF(AND($Y$82&gt;1000,$Y$82&lt;2000),Q381+(R381-Q381)*($Y$82-$Q$378)/($R$378-$Q$378),0)</f>
        <v>0</v>
      </c>
      <c r="AF381" s="772">
        <f>IF(AND($Y$82&gt;2000,$Y$82&lt;5000),R381+(S381-R381)*($Y$82-$R$378)/($S$378-$R$378),0)</f>
        <v>0</v>
      </c>
      <c r="AG381" s="772">
        <f>IF(AND($Y$82&gt;5000,$Y$82&lt;8000),S381+(T381-S381)*($Y$82-$S$378)/($T$378-$S$378),0)</f>
        <v>0</v>
      </c>
    </row>
    <row r="382" spans="10:35" ht="15.6">
      <c r="J382" s="763">
        <v>4</v>
      </c>
      <c r="K382" s="759" t="s">
        <v>106</v>
      </c>
      <c r="L382" s="829">
        <v>0.121</v>
      </c>
      <c r="M382" s="829">
        <v>0.08</v>
      </c>
      <c r="N382" s="829">
        <v>6.0999999999999999E-2</v>
      </c>
      <c r="O382" s="829">
        <v>4.8000000000000001E-2</v>
      </c>
      <c r="P382" s="829">
        <v>3.6999999999999998E-2</v>
      </c>
      <c r="Q382" s="829">
        <v>2.8000000000000001E-2</v>
      </c>
      <c r="R382" s="829">
        <v>2.3E-2</v>
      </c>
      <c r="S382" s="829">
        <v>1.7000000000000001E-2</v>
      </c>
      <c r="T382" s="829">
        <v>1.4E-2</v>
      </c>
      <c r="U382" s="745"/>
      <c r="V382" s="745"/>
      <c r="W382" s="745"/>
      <c r="X382" s="770">
        <f>SUM(Y382:AG382)</f>
        <v>0.121</v>
      </c>
      <c r="Y382" s="771">
        <f>IF($Y$82&lt;=$L$378,L382,0)</f>
        <v>0.121</v>
      </c>
      <c r="Z382" s="772">
        <f>IF(AND($Y$82&gt;15,$Y$82&lt;50),L382+(M382-L382)*($Y$82-$L$378)/($M$378-$L$378),0)</f>
        <v>0</v>
      </c>
      <c r="AA382" s="772">
        <f>IF(AND($Y$82&gt;50,$Y$82&lt;100),M382+(N382-M382)*($Y$82-$M$378)/($N$378-$M$378),0)</f>
        <v>0</v>
      </c>
      <c r="AB382" s="772">
        <f>IF(AND($Y$82&gt;100,$Y$82&lt;200),N382+(O382-N382)*($Y$82-$N$378)/($O$378-$N$378),0)</f>
        <v>0</v>
      </c>
      <c r="AC382" s="772">
        <f>IF(AND($Y$82&gt;200,$Y$82&lt;500),O382+(P382-O382)*($Y$82-$O$378)/($P$378-$O$378),0)</f>
        <v>0</v>
      </c>
      <c r="AD382" s="772">
        <f>IF(AND($Y$82&gt;500,$Y$82&lt;1000),P382+(Q382-P382)*($Y$82-$P$378)/($Q$378-$P$378),0)</f>
        <v>0</v>
      </c>
      <c r="AE382" s="772">
        <f>IF(AND($Y$82&gt;1000,$Y$82&lt;2000),Q382+(R382-Q382)*($Y$82-$Q$378)/($R$378-$Q$378),0)</f>
        <v>0</v>
      </c>
      <c r="AF382" s="772">
        <f>IF(AND($Y$82&gt;2000,$Y$82&lt;5000),R382+(S382-R382)*($Y$82-$R$378)/($S$378-$R$378),0)</f>
        <v>0</v>
      </c>
      <c r="AG382" s="772">
        <f>IF(AND($Y$82&gt;5000,$Y$82&lt;8000),S382+(T382-S382)*($Y$82-$S$378)/($T$378-$S$378),0)</f>
        <v>0</v>
      </c>
    </row>
    <row r="383" spans="10:35" ht="15.6">
      <c r="J383" s="763">
        <v>5</v>
      </c>
      <c r="K383" s="759" t="s">
        <v>108</v>
      </c>
      <c r="L383" s="829">
        <v>0.126</v>
      </c>
      <c r="M383" s="829">
        <v>8.5000000000000006E-2</v>
      </c>
      <c r="N383" s="829">
        <v>6.5000000000000002E-2</v>
      </c>
      <c r="O383" s="829">
        <v>0.05</v>
      </c>
      <c r="P383" s="829">
        <v>3.9E-2</v>
      </c>
      <c r="Q383" s="829">
        <v>0.03</v>
      </c>
      <c r="R383" s="829">
        <v>2.5999999999999999E-2</v>
      </c>
      <c r="S383" s="829">
        <v>1.9E-2</v>
      </c>
      <c r="T383" s="829">
        <v>1.7000000000000001E-2</v>
      </c>
      <c r="U383" s="745"/>
      <c r="V383" s="745"/>
      <c r="W383" s="745"/>
      <c r="X383" s="770">
        <f>SUM(Y383:AG383)</f>
        <v>0.126</v>
      </c>
      <c r="Y383" s="771">
        <f>IF($Y$82&lt;=$L$378,L383,0)</f>
        <v>0.126</v>
      </c>
      <c r="Z383" s="772">
        <f>IF(AND($Y$82&gt;15,$Y$82&lt;50),L383+(M383-L383)*($Y$82-$L$378)/($M$378-$L$378),0)</f>
        <v>0</v>
      </c>
      <c r="AA383" s="772">
        <f>IF(AND($Y$82&gt;50,$Y$82&lt;100),M383+(N383-M383)*($Y$82-$M$378)/($N$378-$M$378),0)</f>
        <v>0</v>
      </c>
      <c r="AB383" s="772">
        <f>IF(AND($Y$82&gt;100,$Y$82&lt;200),N383+(O383-N383)*($Y$82-$N$378)/($O$378-$N$378),0)</f>
        <v>0</v>
      </c>
      <c r="AC383" s="772">
        <f>IF(AND($Y$82&gt;200,$Y$82&lt;500),O383+(P383-O383)*($Y$82-$O$378)/($P$378-$O$378),0)</f>
        <v>0</v>
      </c>
      <c r="AD383" s="772">
        <f>IF(AND($Y$82&gt;500,$Y$82&lt;1000),P383+(Q383-P383)*($Y$82-$P$378)/($Q$378-$P$378),0)</f>
        <v>0</v>
      </c>
      <c r="AE383" s="772">
        <f>IF(AND($Y$82&gt;1000,$Y$82&lt;2000),Q383+(R383-Q383)*($Y$82-$Q$378)/($R$378-$Q$378),0)</f>
        <v>0</v>
      </c>
      <c r="AF383" s="772">
        <f>IF(AND($Y$82&gt;2000,$Y$82&lt;5000),R383+(S383-R383)*($Y$82-$R$378)/($S$378-$R$378),0)</f>
        <v>0</v>
      </c>
      <c r="AG383" s="772">
        <f>IF(AND($Y$82&gt;5000,$Y$82&lt;8000),S383+(T383-S383)*($Y$82-$S$378)/($T$378-$S$378),0)</f>
        <v>0</v>
      </c>
    </row>
    <row r="384" spans="10:35" ht="15.6">
      <c r="J384" s="830"/>
      <c r="K384" s="831"/>
      <c r="L384" s="830"/>
      <c r="M384" s="830"/>
      <c r="N384" s="830"/>
      <c r="O384" s="830"/>
      <c r="P384" s="830"/>
      <c r="Q384" s="830"/>
      <c r="R384" s="830"/>
      <c r="S384" s="830"/>
      <c r="T384" s="830"/>
    </row>
    <row r="385" spans="10:33" ht="15.6">
      <c r="J385" s="830"/>
      <c r="K385" s="831"/>
      <c r="L385" s="830"/>
      <c r="M385" s="830"/>
      <c r="N385" s="830"/>
      <c r="O385" s="830"/>
      <c r="P385" s="830"/>
      <c r="Q385" s="830"/>
      <c r="R385" s="830"/>
      <c r="S385" s="830"/>
      <c r="T385" s="830"/>
    </row>
    <row r="386" spans="10:33" ht="15.6">
      <c r="J386" s="827" t="s">
        <v>234</v>
      </c>
      <c r="K386" s="827"/>
      <c r="L386" s="827"/>
      <c r="M386" s="827"/>
      <c r="N386" s="827"/>
      <c r="O386" s="827"/>
      <c r="P386" s="478"/>
      <c r="Q386" s="478"/>
      <c r="R386" s="478"/>
      <c r="S386" s="478"/>
      <c r="T386" s="478"/>
    </row>
    <row r="387" spans="10:33" ht="15.6">
      <c r="J387" s="763" t="s">
        <v>142</v>
      </c>
      <c r="K387" s="763" t="s">
        <v>143</v>
      </c>
      <c r="L387" s="871" t="s">
        <v>219</v>
      </c>
      <c r="M387" s="872"/>
      <c r="N387" s="872"/>
      <c r="O387" s="872"/>
      <c r="P387" s="872"/>
      <c r="Q387" s="872"/>
      <c r="R387" s="872"/>
      <c r="S387" s="872"/>
      <c r="T387" s="872"/>
      <c r="U387" s="872"/>
      <c r="V387" s="872"/>
      <c r="W387" s="873"/>
      <c r="X387" s="759"/>
      <c r="Y387" s="760"/>
      <c r="Z387" s="761"/>
      <c r="AA387" s="761"/>
      <c r="AB387" s="761"/>
      <c r="AC387" s="761"/>
      <c r="AD387" s="761"/>
      <c r="AE387" s="756"/>
      <c r="AF387" s="756"/>
      <c r="AG387" s="762"/>
    </row>
    <row r="388" spans="10:33" ht="15.6">
      <c r="J388" s="763"/>
      <c r="K388" s="763"/>
      <c r="L388" s="828">
        <v>15</v>
      </c>
      <c r="M388" s="763">
        <v>50</v>
      </c>
      <c r="N388" s="763">
        <v>100</v>
      </c>
      <c r="O388" s="763">
        <v>200</v>
      </c>
      <c r="P388" s="763">
        <v>500</v>
      </c>
      <c r="Q388" s="763">
        <v>1000</v>
      </c>
      <c r="R388" s="763">
        <v>2000</v>
      </c>
      <c r="S388" s="763">
        <v>5000</v>
      </c>
      <c r="T388" s="763">
        <v>8000</v>
      </c>
      <c r="U388" s="745"/>
      <c r="V388" s="745"/>
      <c r="W388" s="745"/>
      <c r="X388" s="759" t="s">
        <v>145</v>
      </c>
      <c r="Y388" s="767">
        <v>15</v>
      </c>
      <c r="Z388" s="768" t="s">
        <v>233</v>
      </c>
      <c r="AA388" s="768" t="s">
        <v>148</v>
      </c>
      <c r="AB388" s="768" t="s">
        <v>149</v>
      </c>
      <c r="AC388" s="768" t="s">
        <v>150</v>
      </c>
      <c r="AD388" s="768" t="s">
        <v>151</v>
      </c>
      <c r="AE388" s="768" t="s">
        <v>152</v>
      </c>
      <c r="AF388" s="768" t="s">
        <v>153</v>
      </c>
      <c r="AG388" s="768" t="s">
        <v>169</v>
      </c>
    </row>
    <row r="389" spans="10:33" ht="15.6">
      <c r="J389" s="763">
        <v>1</v>
      </c>
      <c r="K389" s="759" t="s">
        <v>100</v>
      </c>
      <c r="L389" s="832">
        <v>0.16</v>
      </c>
      <c r="M389" s="832">
        <v>0.106</v>
      </c>
      <c r="N389" s="832">
        <v>8.3000000000000004E-2</v>
      </c>
      <c r="O389" s="832">
        <v>6.2E-2</v>
      </c>
      <c r="P389" s="832">
        <v>4.5999999999999999E-2</v>
      </c>
      <c r="Q389" s="832">
        <v>3.7999999999999999E-2</v>
      </c>
      <c r="R389" s="832">
        <v>2.8000000000000001E-2</v>
      </c>
      <c r="S389" s="832">
        <v>2.1000000000000001E-2</v>
      </c>
      <c r="T389" s="832">
        <v>1.7999999999999999E-2</v>
      </c>
      <c r="U389" s="745"/>
      <c r="V389" s="745"/>
      <c r="W389" s="745"/>
      <c r="X389" s="770">
        <f>SUM(Y389:AG389)</f>
        <v>0.16</v>
      </c>
      <c r="Y389" s="771">
        <f>IF($Y$82&lt;=$L$388,L389,0)</f>
        <v>0.16</v>
      </c>
      <c r="Z389" s="772">
        <f>IF(AND($Y$82&gt;15,$Y$82&lt;50),L389+(M389-L389)*($Y$82-$L$388)/($M$388-$L$388),0)</f>
        <v>0</v>
      </c>
      <c r="AA389" s="772">
        <f>IF(AND($Y$82&gt;50,$Y$82&lt;100),M389+(N389-M389)*($Y$82-$M$388)/($N$388-$M$388),0)</f>
        <v>0</v>
      </c>
      <c r="AB389" s="772">
        <f>IF(AND($Y$82&gt;100,$Y$82&lt;200),N389+(O389-N389)*($Y$82-$N$388)/($O$388-$N$388),0)</f>
        <v>0</v>
      </c>
      <c r="AC389" s="772">
        <f>IF(AND($Y$82&gt;200,$Y$82&lt;500),O389+(P389-O389)*($Y$82-$O$388)/($P$388-$O$388),0)</f>
        <v>0</v>
      </c>
      <c r="AD389" s="772">
        <f>IF(AND($Y$82&gt;500,$Y$82&lt;1000),P389+(Q389-P389)*($Y$82-$P$388)/($Q$388-$P$388),0)</f>
        <v>0</v>
      </c>
      <c r="AE389" s="772">
        <f>IF(AND($Y$82&gt;1000,$Y$82&lt;2000),Q389+(R389-Q389)*($Y$82-$Q$388)/($R$388-$Q$388),0)</f>
        <v>0</v>
      </c>
      <c r="AF389" s="772">
        <f>IF(AND($Y$82&gt;2000,$Y$82&lt;5000),R389+(S389-R389)*($Y$82-$R$388)/($S$388-$R$388),0)</f>
        <v>0</v>
      </c>
      <c r="AG389" s="772">
        <f>IF(AND($Y$82&gt;5000,$Y$82&lt;8000),S389+(T389-S389)*($Y$82-$S$388)/($T$388-$S$388),0)</f>
        <v>0</v>
      </c>
    </row>
    <row r="390" spans="10:33" ht="15.6">
      <c r="J390" s="763">
        <v>2</v>
      </c>
      <c r="K390" s="759" t="s">
        <v>103</v>
      </c>
      <c r="L390" s="832">
        <v>0.185</v>
      </c>
      <c r="M390" s="832">
        <v>0.121</v>
      </c>
      <c r="N390" s="832">
        <v>9.4E-2</v>
      </c>
      <c r="O390" s="832">
        <v>7.1999999999999995E-2</v>
      </c>
      <c r="P390" s="832">
        <v>5.5E-2</v>
      </c>
      <c r="Q390" s="832">
        <v>4.1000000000000002E-2</v>
      </c>
      <c r="R390" s="832">
        <v>3.3000000000000002E-2</v>
      </c>
      <c r="S390" s="832">
        <v>2.3E-2</v>
      </c>
      <c r="T390" s="832">
        <v>0.02</v>
      </c>
      <c r="U390" s="745"/>
      <c r="V390" s="745"/>
      <c r="W390" s="745"/>
      <c r="X390" s="770">
        <f>SUM(Y390:AG390)</f>
        <v>0.185</v>
      </c>
      <c r="Y390" s="771">
        <f>IF($Y$82&lt;=$L$388,L390,0)</f>
        <v>0.185</v>
      </c>
      <c r="Z390" s="772">
        <f>IF(AND($Y$82&gt;15,$Y$82&lt;50),L390+(M390-L390)*($Y$82-$L$388)/($M$388-$L$388),0)</f>
        <v>0</v>
      </c>
      <c r="AA390" s="772">
        <f>IF(AND($Y$82&gt;50,$Y$82&lt;100),M390+(N390-M390)*($Y$82-$M$388)/($N$388-$M$388),0)</f>
        <v>0</v>
      </c>
      <c r="AB390" s="772">
        <f>IF(AND($Y$82&gt;100,$Y$82&lt;200),N390+(O390-N390)*($Y$82-$N$388)/($O$388-$N$388),0)</f>
        <v>0</v>
      </c>
      <c r="AC390" s="772">
        <f>IF(AND($Y$82&gt;200,$Y$82&lt;500),O390+(P390-O390)*($Y$82-$O$388)/($P$388-$O$388),0)</f>
        <v>0</v>
      </c>
      <c r="AD390" s="772">
        <f>IF(AND($Y$82&gt;500,$Y$82&lt;1000),P390+(Q390-P390)*($Y$82-$P$388)/($Q$388-$P$388),0)</f>
        <v>0</v>
      </c>
      <c r="AE390" s="772">
        <f>IF(AND($Y$82&gt;1000,$Y$82&lt;2000),Q390+(R390-Q390)*($Y$82-$Q$388)/($R$388-$Q$388),0)</f>
        <v>0</v>
      </c>
      <c r="AF390" s="772">
        <f>IF(AND($Y$82&gt;2000,$Y$82&lt;5000),R390+(S390-R390)*($Y$82-$R$388)/($S$388-$R$388),0)</f>
        <v>0</v>
      </c>
      <c r="AG390" s="772">
        <f>IF(AND($Y$82&gt;5000,$Y$82&lt;8000),S390+(T390-S390)*($Y$82-$S$388)/($T$388-$S$388),0)</f>
        <v>0</v>
      </c>
    </row>
    <row r="391" spans="10:33" ht="15.6">
      <c r="J391" s="763">
        <v>3</v>
      </c>
      <c r="K391" s="759" t="s">
        <v>89</v>
      </c>
      <c r="L391" s="832">
        <v>0.106</v>
      </c>
      <c r="M391" s="832">
        <v>6.8000000000000005E-2</v>
      </c>
      <c r="N391" s="832">
        <v>5.3999999999999999E-2</v>
      </c>
      <c r="O391" s="832">
        <v>4.1000000000000002E-2</v>
      </c>
      <c r="P391" s="832">
        <v>3.1E-2</v>
      </c>
      <c r="Q391" s="832">
        <v>2.4E-2</v>
      </c>
      <c r="R391" s="832">
        <v>0.02</v>
      </c>
      <c r="S391" s="832">
        <v>1.4E-2</v>
      </c>
      <c r="T391" s="832">
        <v>1.2E-2</v>
      </c>
      <c r="U391" s="745"/>
      <c r="V391" s="745"/>
      <c r="W391" s="745"/>
      <c r="X391" s="770">
        <f>SUM(Y391:AG391)</f>
        <v>0.106</v>
      </c>
      <c r="Y391" s="771">
        <f>IF($Y$82&lt;=$L$388,L391,0)</f>
        <v>0.106</v>
      </c>
      <c r="Z391" s="772">
        <f>IF(AND($Y$82&gt;15,$Y$82&lt;50),L391+(M391-L391)*($Y$82-$L$388)/($M$388-$L$388),0)</f>
        <v>0</v>
      </c>
      <c r="AA391" s="772">
        <f>IF(AND($Y$82&gt;50,$Y$82&lt;100),M391+(N391-M391)*($Y$82-$M$388)/($N$388-$M$388),0)</f>
        <v>0</v>
      </c>
      <c r="AB391" s="772">
        <f>IF(AND($Y$82&gt;100,$Y$82&lt;200),N391+(O391-N391)*($Y$82-$N$388)/($O$388-$N$388),0)</f>
        <v>0</v>
      </c>
      <c r="AC391" s="772">
        <f>IF(AND($Y$82&gt;200,$Y$82&lt;500),O391+(P391-O391)*($Y$82-$O$388)/($P$388-$O$388),0)</f>
        <v>0</v>
      </c>
      <c r="AD391" s="772">
        <f>IF(AND($Y$82&gt;500,$Y$82&lt;1000),P391+(Q391-P391)*($Y$82-$P$388)/($Q$388-$P$388),0)</f>
        <v>0</v>
      </c>
      <c r="AE391" s="772">
        <f>IF(AND($Y$82&gt;1000,$Y$82&lt;2000),Q391+(R391-Q391)*($Y$82-$Q$388)/($R$388-$Q$388),0)</f>
        <v>0</v>
      </c>
      <c r="AF391" s="772">
        <f>IF(AND($Y$82&gt;2000,$Y$82&lt;5000),R391+(S391-R391)*($Y$82-$R$388)/($S$388-$R$388),0)</f>
        <v>0</v>
      </c>
      <c r="AG391" s="772">
        <f>IF(AND($Y$82&gt;5000,$Y$82&lt;8000),S391+(T391-S391)*($Y$82-$S$388)/($T$388-$S$388),0)</f>
        <v>0</v>
      </c>
    </row>
    <row r="392" spans="10:33" ht="15.6">
      <c r="J392" s="763">
        <v>4</v>
      </c>
      <c r="K392" s="759" t="s">
        <v>106</v>
      </c>
      <c r="L392" s="832">
        <v>0.11700000000000001</v>
      </c>
      <c r="M392" s="832">
        <v>7.5999999999999998E-2</v>
      </c>
      <c r="N392" s="832">
        <v>0.06</v>
      </c>
      <c r="O392" s="832">
        <v>4.5999999999999999E-2</v>
      </c>
      <c r="P392" s="832">
        <v>3.5000000000000003E-2</v>
      </c>
      <c r="Q392" s="832">
        <v>2.5999999999999999E-2</v>
      </c>
      <c r="R392" s="832">
        <v>2.1999999999999999E-2</v>
      </c>
      <c r="S392" s="832">
        <v>1.6E-2</v>
      </c>
      <c r="T392" s="832">
        <v>1.4E-2</v>
      </c>
      <c r="U392" s="745"/>
      <c r="V392" s="745"/>
      <c r="W392" s="745"/>
      <c r="X392" s="770">
        <f>SUM(Y392:AG392)</f>
        <v>0.11700000000000001</v>
      </c>
      <c r="Y392" s="771">
        <f>IF($Y$82&lt;=$L$388,L392,0)</f>
        <v>0.11700000000000001</v>
      </c>
      <c r="Z392" s="772">
        <f>IF(AND($Y$82&gt;15,$Y$82&lt;50),L392+(M392-L392)*($Y$82-$L$388)/($M$388-$L$388),0)</f>
        <v>0</v>
      </c>
      <c r="AA392" s="772">
        <f>IF(AND($Y$82&gt;50,$Y$82&lt;100),M392+(N392-M392)*($Y$82-$M$388)/($N$388-$M$388),0)</f>
        <v>0</v>
      </c>
      <c r="AB392" s="772">
        <f>IF(AND($Y$82&gt;100,$Y$82&lt;200),N392+(O392-N392)*($Y$82-$N$388)/($O$388-$N$388),0)</f>
        <v>0</v>
      </c>
      <c r="AC392" s="772">
        <f>IF(AND($Y$82&gt;200,$Y$82&lt;500),O392+(P392-O392)*($Y$82-$O$388)/($P$388-$O$388),0)</f>
        <v>0</v>
      </c>
      <c r="AD392" s="772">
        <f>IF(AND($Y$82&gt;500,$Y$82&lt;1000),P392+(Q392-P392)*($Y$82-$P$388)/($Q$388-$P$388),0)</f>
        <v>0</v>
      </c>
      <c r="AE392" s="772">
        <f>IF(AND($Y$82&gt;1000,$Y$82&lt;2000),Q392+(R392-Q392)*($Y$82-$Q$388)/($R$388-$Q$388),0)</f>
        <v>0</v>
      </c>
      <c r="AF392" s="772">
        <f>IF(AND($Y$82&gt;2000,$Y$82&lt;5000),R392+(S392-R392)*($Y$82-$R$388)/($S$388-$R$388),0)</f>
        <v>0</v>
      </c>
      <c r="AG392" s="772">
        <f>IF(AND($Y$82&gt;5000,$Y$82&lt;8000),S392+(T392-S392)*($Y$82-$S$388)/($T$388-$S$388),0)</f>
        <v>0</v>
      </c>
    </row>
    <row r="393" spans="10:33" ht="15.6">
      <c r="J393" s="763">
        <v>5</v>
      </c>
      <c r="K393" s="759" t="s">
        <v>108</v>
      </c>
      <c r="L393" s="832">
        <v>0.122</v>
      </c>
      <c r="M393" s="832">
        <v>8.2000000000000003E-2</v>
      </c>
      <c r="N393" s="832">
        <v>6.2E-2</v>
      </c>
      <c r="O393" s="832">
        <v>4.7E-2</v>
      </c>
      <c r="P393" s="832">
        <v>3.6999999999999998E-2</v>
      </c>
      <c r="Q393" s="832">
        <v>2.9000000000000001E-2</v>
      </c>
      <c r="R393" s="832">
        <v>2.4E-2</v>
      </c>
      <c r="S393" s="832">
        <v>1.7000000000000001E-2</v>
      </c>
      <c r="T393" s="832">
        <v>1.4E-2</v>
      </c>
      <c r="U393" s="745"/>
      <c r="V393" s="745"/>
      <c r="W393" s="745"/>
      <c r="X393" s="770">
        <f>SUM(Y393:AG393)</f>
        <v>0.122</v>
      </c>
      <c r="Y393" s="771">
        <f>IF($Y$82&lt;=$L$388,L393,0)</f>
        <v>0.122</v>
      </c>
      <c r="Z393" s="772">
        <f>IF(AND($Y$82&gt;15,$Y$82&lt;50),L393+(M393-L393)*($Y$82-$L$388)/($M$388-$L$388),0)</f>
        <v>0</v>
      </c>
      <c r="AA393" s="772">
        <f>IF(AND($Y$82&gt;50,$Y$82&lt;100),M393+(N393-M393)*($Y$82-$M$388)/($N$388-$M$388),0)</f>
        <v>0</v>
      </c>
      <c r="AB393" s="772">
        <f>IF(AND($Y$82&gt;100,$Y$82&lt;200),N393+(O393-N393)*($Y$82-$N$388)/($O$388-$N$388),0)</f>
        <v>0</v>
      </c>
      <c r="AC393" s="772">
        <f>IF(AND($Y$82&gt;200,$Y$82&lt;500),O393+(P393-O393)*($Y$82-$O$388)/($P$388-$O$388),0)</f>
        <v>0</v>
      </c>
      <c r="AD393" s="772">
        <f>IF(AND($Y$82&gt;500,$Y$82&lt;1000),P393+(Q393-P393)*($Y$82-$P$388)/($Q$388-$P$388),0)</f>
        <v>0</v>
      </c>
      <c r="AE393" s="772">
        <f>IF(AND($Y$82&gt;1000,$Y$82&lt;2000),Q393+(R393-Q393)*($Y$82-$Q$388)/($R$388-$Q$388),0)</f>
        <v>0</v>
      </c>
      <c r="AF393" s="772">
        <f>IF(AND($Y$82&gt;2000,$Y$82&lt;5000),R393+(S393-R393)*($Y$82-$R$388)/($S$388-$R$388),0)</f>
        <v>0</v>
      </c>
      <c r="AG393" s="772">
        <f>IF(AND($Y$82&gt;5000,$Y$82&lt;8000),S393+(T393-S393)*($Y$82-$S$388)/($T$388-$S$388),0)</f>
        <v>0</v>
      </c>
    </row>
    <row r="395" spans="10:33" ht="15.6">
      <c r="J395" s="756" t="s">
        <v>235</v>
      </c>
    </row>
    <row r="396" spans="10:33" ht="15.6">
      <c r="J396" s="478" t="s">
        <v>236</v>
      </c>
      <c r="K396" s="478"/>
      <c r="L396" s="478"/>
      <c r="M396" s="478"/>
      <c r="N396" s="520"/>
      <c r="O396" s="478"/>
      <c r="P396" s="478"/>
      <c r="Q396" s="478"/>
      <c r="R396" s="478"/>
      <c r="S396" s="478"/>
      <c r="T396" s="478"/>
    </row>
    <row r="397" spans="10:33" ht="15.6">
      <c r="J397" s="763" t="s">
        <v>142</v>
      </c>
      <c r="K397" s="763" t="s">
        <v>143</v>
      </c>
      <c r="L397" s="871" t="s">
        <v>219</v>
      </c>
      <c r="M397" s="872"/>
      <c r="N397" s="872"/>
      <c r="O397" s="872"/>
      <c r="P397" s="872"/>
      <c r="Q397" s="872"/>
      <c r="R397" s="872"/>
      <c r="S397" s="872"/>
      <c r="T397" s="872"/>
      <c r="U397" s="872"/>
      <c r="V397" s="872"/>
      <c r="W397" s="873"/>
      <c r="X397" s="759"/>
      <c r="Y397" s="760"/>
      <c r="Z397" s="761"/>
      <c r="AA397" s="761"/>
      <c r="AB397" s="761"/>
      <c r="AC397" s="761"/>
      <c r="AD397" s="761"/>
      <c r="AE397" s="756"/>
      <c r="AF397" s="756"/>
      <c r="AG397" s="762"/>
    </row>
    <row r="398" spans="10:33" ht="15.6">
      <c r="J398" s="763"/>
      <c r="K398" s="763"/>
      <c r="L398" s="833">
        <v>15</v>
      </c>
      <c r="M398" s="834">
        <v>50</v>
      </c>
      <c r="N398" s="834">
        <v>100</v>
      </c>
      <c r="O398" s="834">
        <v>200</v>
      </c>
      <c r="P398" s="834">
        <v>500</v>
      </c>
      <c r="Q398" s="834">
        <v>1000</v>
      </c>
      <c r="R398" s="834">
        <v>2000</v>
      </c>
      <c r="S398" s="834">
        <v>5000</v>
      </c>
      <c r="T398" s="834">
        <v>8000</v>
      </c>
      <c r="U398" s="745"/>
      <c r="V398" s="745"/>
      <c r="W398" s="745"/>
      <c r="X398" s="759" t="s">
        <v>145</v>
      </c>
      <c r="Y398" s="767">
        <v>15</v>
      </c>
      <c r="Z398" s="768" t="s">
        <v>233</v>
      </c>
      <c r="AA398" s="768" t="s">
        <v>148</v>
      </c>
      <c r="AB398" s="768" t="s">
        <v>149</v>
      </c>
      <c r="AC398" s="768" t="s">
        <v>150</v>
      </c>
      <c r="AD398" s="768" t="s">
        <v>151</v>
      </c>
      <c r="AE398" s="768" t="s">
        <v>152</v>
      </c>
      <c r="AF398" s="768" t="s">
        <v>153</v>
      </c>
      <c r="AG398" s="768" t="s">
        <v>169</v>
      </c>
    </row>
    <row r="399" spans="10:33" ht="15.6">
      <c r="J399" s="763">
        <v>1</v>
      </c>
      <c r="K399" s="835" t="s">
        <v>100</v>
      </c>
      <c r="L399" s="832">
        <v>4.9500000000000002E-2</v>
      </c>
      <c r="M399" s="832">
        <v>3.3000000000000002E-2</v>
      </c>
      <c r="N399" s="832">
        <v>2.5499999999999998E-2</v>
      </c>
      <c r="O399" s="832">
        <v>1.95E-2</v>
      </c>
      <c r="P399" s="832">
        <v>1.4999999999999999E-2</v>
      </c>
      <c r="Q399" s="832">
        <v>1.23E-2</v>
      </c>
      <c r="R399" s="832">
        <v>8.6999999999999994E-3</v>
      </c>
      <c r="S399" s="832">
        <v>6.6E-3</v>
      </c>
      <c r="T399" s="832">
        <v>5.7000000000000002E-3</v>
      </c>
      <c r="U399" s="836"/>
      <c r="V399" s="745"/>
      <c r="W399" s="745"/>
      <c r="X399" s="837">
        <f>SUM(Y399:AG399)</f>
        <v>4.9500000000000002E-2</v>
      </c>
      <c r="Y399" s="838">
        <f>IF($Y$82&lt;=$L$398,L399,0)</f>
        <v>4.9500000000000002E-2</v>
      </c>
      <c r="Z399" s="839">
        <f>IF(AND($Y$82&gt;15,$Y$82&lt;50),L399+(M399-L399)*($Y$82-$L$398)/($M$398-$L$398),0)</f>
        <v>0</v>
      </c>
      <c r="AA399" s="839">
        <f>IF(AND($Y$82&gt;50,$Y$82&lt;100),M399+(N399-M399)*($Y$82-$M$398)/($N$398-$M$398),0)</f>
        <v>0</v>
      </c>
      <c r="AB399" s="839">
        <f>IF(AND($Y$82&gt;100,$Y$82&lt;200),N399+(O399-N399)*($Y$82-$N$398)/($O$398-$N$398),0)</f>
        <v>0</v>
      </c>
      <c r="AC399" s="839">
        <f>IF(AND($Y$82&gt;200,$Y$82&lt;500),O399+(P399-O399)*($Y$82-$O$398)/($P$398-$O$398),0)</f>
        <v>0</v>
      </c>
      <c r="AD399" s="839">
        <f>IF(AND($Y$82&gt;500,$Y$82&lt;1000),P399+(Q399-P399)*($Y$82-$P$398)/($Q$398-$P$398),0)</f>
        <v>0</v>
      </c>
      <c r="AE399" s="839">
        <f>IF(AND($Y$82&gt;1000,$Y$82&lt;2000),Q399+(R399-Q399)*($Y$82-$Q$398)/($R$398-$Q$398),0)</f>
        <v>0</v>
      </c>
      <c r="AF399" s="839">
        <f>IF(AND($Y$82&gt;2000,$Y$82&lt;5000),R399+(S399-R399)*($Y$82-$R$398)/($S$398-$R$398),0)</f>
        <v>0</v>
      </c>
      <c r="AG399" s="839">
        <f>IF(AND($Y$82&gt;5000,$Y$82&lt;8000),S399+(T399-S399)*($Y$82-$S$398)/($T$398-$S$398),0)</f>
        <v>0</v>
      </c>
    </row>
    <row r="400" spans="10:33" ht="15.6">
      <c r="J400" s="763">
        <v>2</v>
      </c>
      <c r="K400" s="835" t="s">
        <v>103</v>
      </c>
      <c r="L400" s="832">
        <v>5.7000000000000002E-2</v>
      </c>
      <c r="M400" s="832">
        <v>3.78E-2</v>
      </c>
      <c r="N400" s="832">
        <v>2.9100000000000001E-2</v>
      </c>
      <c r="O400" s="832">
        <v>2.2499999999999999E-2</v>
      </c>
      <c r="P400" s="832">
        <v>1.7399999999999999E-2</v>
      </c>
      <c r="Q400" s="832">
        <v>1.32E-2</v>
      </c>
      <c r="R400" s="832">
        <v>1.0500000000000001E-2</v>
      </c>
      <c r="S400" s="832">
        <v>7.7999999999999996E-3</v>
      </c>
      <c r="T400" s="832">
        <v>6.6E-3</v>
      </c>
      <c r="U400" s="836"/>
      <c r="V400" s="745"/>
      <c r="W400" s="745"/>
      <c r="X400" s="837">
        <f>SUM(Y400:AG400)</f>
        <v>5.7000000000000002E-2</v>
      </c>
      <c r="Y400" s="838">
        <f>IF($Y$82&lt;=$L$398,L400,0)</f>
        <v>5.7000000000000002E-2</v>
      </c>
      <c r="Z400" s="839">
        <f>IF(AND($Y$82&gt;15,$Y$82&lt;50),L400+(M400-L400)*($Y$82-$L$398)/($M$398-$L$398),0)</f>
        <v>0</v>
      </c>
      <c r="AA400" s="839">
        <f>IF(AND($Y$82&gt;50,$Y$82&lt;100),M400+(N400-M400)*($Y$82-$M$398)/($N$398-$M$398),0)</f>
        <v>0</v>
      </c>
      <c r="AB400" s="839">
        <f>IF(AND($Y$82&gt;100,$Y$82&lt;200),N400+(O400-N400)*($Y$82-$N$398)/($O$398-$N$398),0)</f>
        <v>0</v>
      </c>
      <c r="AC400" s="839">
        <f>IF(AND($Y$82&gt;200,$Y$82&lt;500),O400+(P400-O400)*($Y$82-$O$398)/($P$398-$O$398),0)</f>
        <v>0</v>
      </c>
      <c r="AD400" s="839">
        <f>IF(AND($Y$82&gt;500,$Y$82&lt;1000),P400+(Q400-P400)*($Y$82-$P$398)/($Q$398-$P$398),0)</f>
        <v>0</v>
      </c>
      <c r="AE400" s="839">
        <f>IF(AND($Y$82&gt;1000,$Y$82&lt;2000),Q400+(R400-Q400)*($Y$82-$Q$398)/($R$398-$Q$398),0)</f>
        <v>0</v>
      </c>
      <c r="AF400" s="839">
        <f>IF(AND($Y$82&gt;2000,$Y$82&lt;5000),R400+(S400-R400)*($Y$82-$R$398)/($S$398-$R$398),0)</f>
        <v>0</v>
      </c>
      <c r="AG400" s="839">
        <f>IF(AND($Y$82&gt;5000,$Y$82&lt;8000),S400+(T400-S400)*($Y$82-$S$398)/($T$398-$S$398),0)</f>
        <v>0</v>
      </c>
    </row>
    <row r="401" spans="10:35" ht="15.6">
      <c r="J401" s="763">
        <v>3</v>
      </c>
      <c r="K401" s="835" t="s">
        <v>89</v>
      </c>
      <c r="L401" s="832">
        <v>3.27E-2</v>
      </c>
      <c r="M401" s="832">
        <v>2.1600000000000001E-2</v>
      </c>
      <c r="N401" s="832">
        <v>1.6500000000000001E-2</v>
      </c>
      <c r="O401" s="832">
        <v>1.29E-2</v>
      </c>
      <c r="P401" s="832">
        <v>9.9000000000000008E-3</v>
      </c>
      <c r="Q401" s="832">
        <v>7.4999999999999997E-3</v>
      </c>
      <c r="R401" s="832">
        <v>6.3E-3</v>
      </c>
      <c r="S401" s="832">
        <v>4.7999999999999996E-3</v>
      </c>
      <c r="T401" s="832">
        <v>4.1999999999999997E-3</v>
      </c>
      <c r="U401" s="836"/>
      <c r="V401" s="745"/>
      <c r="W401" s="745"/>
      <c r="X401" s="837">
        <f>SUM(Y401:AG401)</f>
        <v>3.27E-2</v>
      </c>
      <c r="Y401" s="838">
        <f>IF($Y$82&lt;=$L$398,L401,0)</f>
        <v>3.27E-2</v>
      </c>
      <c r="Z401" s="839">
        <f>IF(AND($Y$82&gt;15,$Y$82&lt;50),L401+(M401-L401)*($Y$82-$L$398)/($M$398-$L$398),0)</f>
        <v>0</v>
      </c>
      <c r="AA401" s="839">
        <f>IF(AND($Y$82&gt;50,$Y$82&lt;100),M401+(N401-M401)*($Y$82-$M$398)/($N$398-$M$398),0)</f>
        <v>0</v>
      </c>
      <c r="AB401" s="839">
        <f>IF(AND($Y$82&gt;100,$Y$82&lt;200),N401+(O401-N401)*($Y$82-$N$398)/($O$398-$N$398),0)</f>
        <v>0</v>
      </c>
      <c r="AC401" s="839">
        <f>IF(AND($Y$82&gt;200,$Y$82&lt;500),O401+(P401-O401)*($Y$82-$O$398)/($P$398-$O$398),0)</f>
        <v>0</v>
      </c>
      <c r="AD401" s="839">
        <f>IF(AND($Y$82&gt;500,$Y$82&lt;1000),P401+(Q401-P401)*($Y$82-$P$398)/($Q$398-$P$398),0)</f>
        <v>0</v>
      </c>
      <c r="AE401" s="839">
        <f>IF(AND($Y$82&gt;1000,$Y$82&lt;2000),Q401+(R401-Q401)*($Y$82-$Q$398)/($R$398-$Q$398),0)</f>
        <v>0</v>
      </c>
      <c r="AF401" s="839">
        <f>IF(AND($Y$82&gt;2000,$Y$82&lt;5000),R401+(S401-R401)*($Y$82-$R$398)/($S$398-$R$398),0)</f>
        <v>0</v>
      </c>
      <c r="AG401" s="839">
        <f>IF(AND($Y$82&gt;5000,$Y$82&lt;8000),S401+(T401-S401)*($Y$82-$S$398)/($T$398-$S$398),0)</f>
        <v>0</v>
      </c>
    </row>
    <row r="402" spans="10:35" ht="15.6">
      <c r="J402" s="763">
        <v>4</v>
      </c>
      <c r="K402" s="835" t="s">
        <v>106</v>
      </c>
      <c r="L402" s="832">
        <v>3.6299999999999999E-2</v>
      </c>
      <c r="M402" s="832">
        <v>2.4E-2</v>
      </c>
      <c r="N402" s="832">
        <v>1.83E-2</v>
      </c>
      <c r="O402" s="832">
        <v>1.44E-2</v>
      </c>
      <c r="P402" s="832">
        <v>1.11E-2</v>
      </c>
      <c r="Q402" s="832">
        <v>8.3999999999999995E-3</v>
      </c>
      <c r="R402" s="832">
        <v>6.8999999999999999E-3</v>
      </c>
      <c r="S402" s="832">
        <v>5.1000000000000004E-3</v>
      </c>
      <c r="T402" s="832">
        <v>4.1999999999999997E-3</v>
      </c>
      <c r="U402" s="836"/>
      <c r="V402" s="745"/>
      <c r="W402" s="745"/>
      <c r="X402" s="837">
        <f>SUM(Y402:AG402)</f>
        <v>3.6299999999999999E-2</v>
      </c>
      <c r="Y402" s="838">
        <f>IF($Y$82&lt;=$L$398,L402,0)</f>
        <v>3.6299999999999999E-2</v>
      </c>
      <c r="Z402" s="839">
        <f>IF(AND($Y$82&gt;15,$Y$82&lt;50),L402+(M402-L402)*($Y$82-$L$398)/($M$398-$L$398),0)</f>
        <v>0</v>
      </c>
      <c r="AA402" s="839">
        <f>IF(AND($Y$82&gt;50,$Y$82&lt;100),M402+(N402-M402)*($Y$82-$M$398)/($N$398-$M$398),0)</f>
        <v>0</v>
      </c>
      <c r="AB402" s="839">
        <f>IF(AND($Y$82&gt;100,$Y$82&lt;200),N402+(O402-N402)*($Y$82-$N$398)/($O$398-$N$398),0)</f>
        <v>0</v>
      </c>
      <c r="AC402" s="839">
        <f>IF(AND($Y$82&gt;200,$Y$82&lt;500),O402+(P402-O402)*($Y$82-$O$398)/($P$398-$O$398),0)</f>
        <v>0</v>
      </c>
      <c r="AD402" s="839">
        <f>IF(AND($Y$82&gt;500,$Y$82&lt;1000),P402+(Q402-P402)*($Y$82-$P$398)/($Q$398-$P$398),0)</f>
        <v>0</v>
      </c>
      <c r="AE402" s="839">
        <f>IF(AND($Y$82&gt;1000,$Y$82&lt;2000),Q402+(R402-Q402)*($Y$82-$Q$398)/($R$398-$Q$398),0)</f>
        <v>0</v>
      </c>
      <c r="AF402" s="839">
        <f>IF(AND($Y$82&gt;2000,$Y$82&lt;5000),R402+(S402-R402)*($Y$82-$R$398)/($S$398-$R$398),0)</f>
        <v>0</v>
      </c>
      <c r="AG402" s="839">
        <f>IF(AND($Y$82&gt;5000,$Y$82&lt;8000),S402+(T402-S402)*($Y$82-$S$398)/($T$398-$S$398),0)</f>
        <v>0</v>
      </c>
    </row>
    <row r="403" spans="10:35" ht="15.6">
      <c r="J403" s="763">
        <v>5</v>
      </c>
      <c r="K403" s="835" t="s">
        <v>108</v>
      </c>
      <c r="L403" s="832">
        <v>3.78E-2</v>
      </c>
      <c r="M403" s="832">
        <v>2.5499999999999998E-2</v>
      </c>
      <c r="N403" s="832">
        <v>1.95E-2</v>
      </c>
      <c r="O403" s="832">
        <v>1.4999999999999999E-2</v>
      </c>
      <c r="P403" s="832">
        <v>1.17E-2</v>
      </c>
      <c r="Q403" s="832">
        <v>8.9999999999999993E-3</v>
      </c>
      <c r="R403" s="832">
        <v>7.8E-2</v>
      </c>
      <c r="S403" s="832">
        <v>5.7000000000000002E-3</v>
      </c>
      <c r="T403" s="832">
        <v>5.1000000000000004E-3</v>
      </c>
      <c r="U403" s="836"/>
      <c r="V403" s="745"/>
      <c r="W403" s="745"/>
      <c r="X403" s="837">
        <f>SUM(Y403:AG403)</f>
        <v>3.78E-2</v>
      </c>
      <c r="Y403" s="838">
        <f>IF($Y$82&lt;=$L$398,L403,0)</f>
        <v>3.78E-2</v>
      </c>
      <c r="Z403" s="839">
        <f>IF(AND($Y$82&gt;15,$Y$82&lt;50),L403+(M403-L403)*($Y$82-$L$398)/($M$398-$L$398),0)</f>
        <v>0</v>
      </c>
      <c r="AA403" s="839">
        <f>IF(AND($Y$82&gt;50,$Y$82&lt;100),M403+(N403-M403)*($Y$82-$M$398)/($N$398-$M$398),0)</f>
        <v>0</v>
      </c>
      <c r="AB403" s="839">
        <f>IF(AND($Y$82&gt;100,$Y$82&lt;200),N403+(O403-N403)*($Y$82-$N$398)/($O$398-$N$398),0)</f>
        <v>0</v>
      </c>
      <c r="AC403" s="839">
        <f>IF(AND($Y$82&gt;200,$Y$82&lt;500),O403+(P403-O403)*($Y$82-$O$398)/($P$398-$O$398),0)</f>
        <v>0</v>
      </c>
      <c r="AD403" s="839">
        <f>IF(AND($Y$82&gt;500,$Y$82&lt;1000),P403+(Q403-P403)*($Y$82-$P$398)/($Q$398-$P$398),0)</f>
        <v>0</v>
      </c>
      <c r="AE403" s="839">
        <f>IF(AND($Y$82&gt;1000,$Y$82&lt;2000),Q403+(R403-Q403)*($Y$82-$Q$398)/($R$398-$Q$398),0)</f>
        <v>0</v>
      </c>
      <c r="AF403" s="839">
        <f>IF(AND($Y$82&gt;2000,$Y$82&lt;5000),R403+(S403-R403)*($Y$82-$R$398)/($S$398-$R$398),0)</f>
        <v>0</v>
      </c>
      <c r="AG403" s="839">
        <f>IF(AND($Y$82&gt;5000,$Y$82&lt;8000),S403+(T403-S403)*($Y$82-$S$398)/($T$398-$S$398),0)</f>
        <v>0</v>
      </c>
    </row>
    <row r="404" spans="10:35" ht="15.6">
      <c r="J404" s="830"/>
      <c r="K404" s="831"/>
      <c r="L404" s="830"/>
      <c r="M404" s="830"/>
      <c r="N404" s="830"/>
      <c r="O404" s="830"/>
      <c r="P404" s="830"/>
      <c r="Q404" s="830"/>
      <c r="R404" s="830"/>
      <c r="S404" s="830"/>
      <c r="T404" s="830"/>
    </row>
    <row r="405" spans="10:35" ht="15.6">
      <c r="J405" s="478" t="s">
        <v>237</v>
      </c>
      <c r="K405" s="478"/>
      <c r="L405" s="478"/>
      <c r="M405" s="478"/>
      <c r="N405" s="520"/>
      <c r="O405" s="478"/>
      <c r="P405" s="478"/>
      <c r="Q405" s="478"/>
      <c r="R405" s="478"/>
      <c r="S405" s="478"/>
      <c r="T405" s="478"/>
    </row>
    <row r="406" spans="10:35" ht="15.6">
      <c r="J406" s="763" t="s">
        <v>142</v>
      </c>
      <c r="K406" s="763" t="s">
        <v>143</v>
      </c>
      <c r="L406" s="871" t="s">
        <v>219</v>
      </c>
      <c r="M406" s="872"/>
      <c r="N406" s="872"/>
      <c r="O406" s="872"/>
      <c r="P406" s="872"/>
      <c r="Q406" s="872"/>
      <c r="R406" s="872"/>
      <c r="S406" s="872"/>
      <c r="T406" s="872"/>
      <c r="U406" s="872"/>
      <c r="V406" s="872"/>
      <c r="W406" s="873"/>
      <c r="X406" s="759"/>
      <c r="Y406" s="760"/>
      <c r="Z406" s="761"/>
      <c r="AA406" s="761"/>
      <c r="AB406" s="761"/>
      <c r="AC406" s="761"/>
      <c r="AD406" s="761"/>
      <c r="AE406" s="756"/>
      <c r="AF406" s="756"/>
      <c r="AG406" s="762"/>
    </row>
    <row r="407" spans="10:35" ht="15.6">
      <c r="J407" s="763"/>
      <c r="K407" s="763"/>
      <c r="L407" s="828">
        <v>15</v>
      </c>
      <c r="M407" s="763">
        <v>50</v>
      </c>
      <c r="N407" s="763">
        <v>100</v>
      </c>
      <c r="O407" s="763">
        <v>200</v>
      </c>
      <c r="P407" s="763">
        <v>500</v>
      </c>
      <c r="Q407" s="763">
        <v>1000</v>
      </c>
      <c r="R407" s="763">
        <v>2000</v>
      </c>
      <c r="S407" s="763">
        <v>5000</v>
      </c>
      <c r="T407" s="763">
        <v>8000</v>
      </c>
      <c r="U407" s="745"/>
      <c r="V407" s="745"/>
      <c r="W407" s="745"/>
      <c r="X407" s="759" t="s">
        <v>145</v>
      </c>
      <c r="Y407" s="767">
        <v>15</v>
      </c>
      <c r="Z407" s="768" t="s">
        <v>233</v>
      </c>
      <c r="AA407" s="768" t="s">
        <v>148</v>
      </c>
      <c r="AB407" s="768" t="s">
        <v>149</v>
      </c>
      <c r="AC407" s="768" t="s">
        <v>150</v>
      </c>
      <c r="AD407" s="768" t="s">
        <v>151</v>
      </c>
      <c r="AE407" s="768" t="s">
        <v>152</v>
      </c>
      <c r="AF407" s="768" t="s">
        <v>153</v>
      </c>
      <c r="AG407" s="768" t="s">
        <v>169</v>
      </c>
    </row>
    <row r="408" spans="10:35" ht="15.6">
      <c r="J408" s="763">
        <v>1</v>
      </c>
      <c r="K408" s="759" t="s">
        <v>100</v>
      </c>
      <c r="L408" s="832">
        <v>4.8000000000000001E-2</v>
      </c>
      <c r="M408" s="832">
        <v>3.1800000000000002E-2</v>
      </c>
      <c r="N408" s="832">
        <v>2.4899999999999999E-2</v>
      </c>
      <c r="O408" s="832">
        <v>1.8599999999999998E-2</v>
      </c>
      <c r="P408" s="832">
        <v>1.38E-2</v>
      </c>
      <c r="Q408" s="832">
        <v>1.14E-2</v>
      </c>
      <c r="R408" s="832">
        <v>8.3999999999999995E-3</v>
      </c>
      <c r="S408" s="832">
        <v>6.3E-3</v>
      </c>
      <c r="T408" s="832">
        <v>5.4000000000000003E-3</v>
      </c>
      <c r="U408" s="836"/>
      <c r="V408" s="745"/>
      <c r="W408" s="745"/>
      <c r="X408" s="837">
        <f>SUM(Y408:AG408)</f>
        <v>4.8000000000000001E-2</v>
      </c>
      <c r="Y408" s="838">
        <f>IF($Y$82&lt;=$L$407,L408,0)</f>
        <v>4.8000000000000001E-2</v>
      </c>
      <c r="Z408" s="839">
        <f>IF(AND($Y$82&gt;15,$Y$82&lt;50),L408+(M408-L408)*($Y$82-$L$407)/($M$407-$L$407),0)</f>
        <v>0</v>
      </c>
      <c r="AA408" s="839">
        <f>IF(AND($Y$82&gt;50,$Y$82&lt;100),M408+(N408-M408)*($Y$82-$M$407)/($N$407-$M$407),0)</f>
        <v>0</v>
      </c>
      <c r="AB408" s="839">
        <f>IF(AND($Y$82&gt;100,$Y$82&lt;200),N408+(O408-N408)*($Y$82-$N$407)/($O$407-$N$407),0)</f>
        <v>0</v>
      </c>
      <c r="AC408" s="839">
        <f>IF(AND($Y$82&gt;200,$Y$82&lt;500),O408+(P408-O408)*($Y$82-$O$407)/($P$407-$O$407),0)</f>
        <v>0</v>
      </c>
      <c r="AD408" s="839">
        <f>IF(AND($Y$82&gt;500,$Y$82&lt;1000),P408+(Q408-P408)*($Y$82-$P$407)/($Q$407-$P$407),0)</f>
        <v>0</v>
      </c>
      <c r="AE408" s="839">
        <f>IF(AND($Y$82&gt;1000,$Y$82&lt;2000),Q408+(R408-Q408)*($Y$82-$Q$407)/($R$407-$Q$407),0)</f>
        <v>0</v>
      </c>
      <c r="AF408" s="839">
        <f>IF(AND($Y$82&gt;2000,$Y$82&lt;5000),R408+(S408-R408)*($Y$82-$R$407)/($S$407-$R$407),0)</f>
        <v>0</v>
      </c>
      <c r="AG408" s="839">
        <f>IF(AND($Y$82&gt;5000,$Y$82&lt;8000),S408+(T408-S408)*($Y$82-$S$407)/($T$407-$S$407),0)</f>
        <v>0</v>
      </c>
    </row>
    <row r="409" spans="10:35" ht="15.6">
      <c r="J409" s="763">
        <v>2</v>
      </c>
      <c r="K409" s="759" t="s">
        <v>103</v>
      </c>
      <c r="L409" s="832">
        <v>5.5500000000000001E-2</v>
      </c>
      <c r="M409" s="832">
        <v>3.6299999999999999E-2</v>
      </c>
      <c r="N409" s="832">
        <v>2.8199999999999999E-2</v>
      </c>
      <c r="O409" s="832">
        <v>2.1600000000000001E-2</v>
      </c>
      <c r="P409" s="832">
        <v>1.6500000000000001E-2</v>
      </c>
      <c r="Q409" s="832">
        <v>1.23E-2</v>
      </c>
      <c r="R409" s="832">
        <v>9.9000000000000008E-3</v>
      </c>
      <c r="S409" s="832">
        <v>6.8999999999999999E-3</v>
      </c>
      <c r="T409" s="832">
        <v>6.0000000000000001E-3</v>
      </c>
      <c r="U409" s="836"/>
      <c r="V409" s="745"/>
      <c r="W409" s="745"/>
      <c r="X409" s="837">
        <f>SUM(Y409:AG409)</f>
        <v>5.5500000000000001E-2</v>
      </c>
      <c r="Y409" s="838">
        <f>IF($Y$82&lt;=$L$407,L409,0)</f>
        <v>5.5500000000000001E-2</v>
      </c>
      <c r="Z409" s="839">
        <f>IF(AND($Y$82&gt;15,$Y$82&lt;50),L409+(M409-L409)*($Y$82-$L$407)/($M$407-$L$407),0)</f>
        <v>0</v>
      </c>
      <c r="AA409" s="839">
        <f>IF(AND($Y$82&gt;50,$Y$82&lt;100),M409+(N409-M409)*($Y$82-$M$407)/($N$407-$M$407),0)</f>
        <v>0</v>
      </c>
      <c r="AB409" s="839">
        <f>IF(AND($Y$82&gt;100,$Y$82&lt;200),N409+(O409-N409)*($Y$82-$N$407)/($O$407-$N$407),0)</f>
        <v>0</v>
      </c>
      <c r="AC409" s="839">
        <f>IF(AND($Y$82&gt;200,$Y$82&lt;500),O409+(P409-O409)*($Y$82-$O$407)/($P$407-$O$407),0)</f>
        <v>0</v>
      </c>
      <c r="AD409" s="839">
        <f>IF(AND($Y$82&gt;500,$Y$82&lt;1000),P409+(Q409-P409)*($Y$82-$P$407)/($Q$407-$P$407),0)</f>
        <v>0</v>
      </c>
      <c r="AE409" s="839">
        <f>IF(AND($Y$82&gt;1000,$Y$82&lt;2000),Q409+(R409-Q409)*($Y$82-$Q$407)/($R$407-$Q$407),0)</f>
        <v>0</v>
      </c>
      <c r="AF409" s="839">
        <f>IF(AND($Y$82&gt;2000,$Y$82&lt;5000),R409+(S409-R409)*($Y$82-$R$407)/($S$407-$R$407),0)</f>
        <v>0</v>
      </c>
      <c r="AG409" s="839">
        <f>IF(AND($Y$82&gt;5000,$Y$82&lt;8000),S409+(T409-S409)*($Y$82-$S$407)/($T$407-$S$407),0)</f>
        <v>0</v>
      </c>
    </row>
    <row r="410" spans="10:35" ht="15.6">
      <c r="J410" s="763">
        <v>3</v>
      </c>
      <c r="K410" s="759" t="s">
        <v>89</v>
      </c>
      <c r="L410" s="832">
        <v>3.1800000000000002E-2</v>
      </c>
      <c r="M410" s="832">
        <v>2.0400000000000001E-2</v>
      </c>
      <c r="N410" s="832">
        <v>1.6199999999999999E-2</v>
      </c>
      <c r="O410" s="832">
        <v>1.23E-2</v>
      </c>
      <c r="P410" s="832">
        <v>9.2999999999999992E-3</v>
      </c>
      <c r="Q410" s="832">
        <v>7.1999999999999998E-3</v>
      </c>
      <c r="R410" s="832">
        <v>6.0000000000000001E-3</v>
      </c>
      <c r="S410" s="832">
        <v>4.1999999999999997E-3</v>
      </c>
      <c r="T410" s="832">
        <v>3.5999999999999999E-3</v>
      </c>
      <c r="U410" s="836"/>
      <c r="V410" s="745"/>
      <c r="W410" s="745"/>
      <c r="X410" s="837">
        <f>SUM(Y410:AG410)</f>
        <v>3.1800000000000002E-2</v>
      </c>
      <c r="Y410" s="838">
        <f>IF($Y$82&lt;=$L$407,L410,0)</f>
        <v>3.1800000000000002E-2</v>
      </c>
      <c r="Z410" s="839">
        <f>IF(AND($Y$82&gt;15,$Y$82&lt;50),L410+(M410-L410)*($Y$82-$L$407)/($M$407-$L$407),0)</f>
        <v>0</v>
      </c>
      <c r="AA410" s="839">
        <f>IF(AND($Y$82&gt;50,$Y$82&lt;100),M410+(N410-M410)*($Y$82-$M$407)/($N$407-$M$407),0)</f>
        <v>0</v>
      </c>
      <c r="AB410" s="839">
        <f>IF(AND($Y$82&gt;100,$Y$82&lt;200),N410+(O410-N410)*($Y$82-$N$407)/($O$407-$N$407),0)</f>
        <v>0</v>
      </c>
      <c r="AC410" s="839">
        <f>IF(AND($Y$82&gt;200,$Y$82&lt;500),O410+(P410-O410)*($Y$82-$O$407)/($P$407-$O$407),0)</f>
        <v>0</v>
      </c>
      <c r="AD410" s="839">
        <f>IF(AND($Y$82&gt;500,$Y$82&lt;1000),P410+(Q410-P410)*($Y$82-$P$407)/($Q$407-$P$407),0)</f>
        <v>0</v>
      </c>
      <c r="AE410" s="839">
        <f>IF(AND($Y$82&gt;1000,$Y$82&lt;2000),Q410+(R410-Q410)*($Y$82-$Q$407)/($R$407-$Q$407),0)</f>
        <v>0</v>
      </c>
      <c r="AF410" s="839">
        <f>IF(AND($Y$82&gt;2000,$Y$82&lt;5000),R410+(S410-R410)*($Y$82-$R$407)/($S$407-$R$407),0)</f>
        <v>0</v>
      </c>
      <c r="AG410" s="839">
        <f>IF(AND($Y$82&gt;5000,$Y$82&lt;8000),S410+(T410-S410)*($Y$82-$S$407)/($T$407-$S$407),0)</f>
        <v>0</v>
      </c>
    </row>
    <row r="411" spans="10:35" ht="15.6">
      <c r="J411" s="763">
        <v>4</v>
      </c>
      <c r="K411" s="759" t="s">
        <v>106</v>
      </c>
      <c r="L411" s="832">
        <v>3.5099999999999999E-2</v>
      </c>
      <c r="M411" s="832">
        <v>2.2800000000000001E-2</v>
      </c>
      <c r="N411" s="832">
        <v>1.7999999999999999E-2</v>
      </c>
      <c r="O411" s="832">
        <v>1.38E-2</v>
      </c>
      <c r="P411" s="832">
        <v>1.0500000000000001E-2</v>
      </c>
      <c r="Q411" s="832">
        <v>7.7999999999999996E-3</v>
      </c>
      <c r="R411" s="832">
        <v>6.6E-3</v>
      </c>
      <c r="S411" s="832">
        <v>4.7999999999999996E-3</v>
      </c>
      <c r="T411" s="832">
        <v>4.1999999999999997E-3</v>
      </c>
      <c r="U411" s="836"/>
      <c r="V411" s="745"/>
      <c r="W411" s="745"/>
      <c r="X411" s="837">
        <f>SUM(Y411:AG411)</f>
        <v>3.5099999999999999E-2</v>
      </c>
      <c r="Y411" s="838">
        <f>IF($Y$82&lt;=$L$407,L411,0)</f>
        <v>3.5099999999999999E-2</v>
      </c>
      <c r="Z411" s="839">
        <f>IF(AND($Y$82&gt;15,$Y$82&lt;50),L411+(M411-L411)*($Y$82-$L$407)/($M$407-$L$407),0)</f>
        <v>0</v>
      </c>
      <c r="AA411" s="839">
        <f>IF(AND($Y$82&gt;50,$Y$82&lt;100),M411+(N411-M411)*($Y$82-$M$407)/($N$407-$M$407),0)</f>
        <v>0</v>
      </c>
      <c r="AB411" s="839">
        <f>IF(AND($Y$82&gt;100,$Y$82&lt;200),N411+(O411-N411)*($Y$82-$N$407)/($O$407-$N$407),0)</f>
        <v>0</v>
      </c>
      <c r="AC411" s="839">
        <f>IF(AND($Y$82&gt;200,$Y$82&lt;500),O411+(P411-O411)*($Y$82-$O$407)/($P$407-$O$407),0)</f>
        <v>0</v>
      </c>
      <c r="AD411" s="839">
        <f>IF(AND($Y$82&gt;500,$Y$82&lt;1000),P411+(Q411-P411)*($Y$82-$P$407)/($Q$407-$P$407),0)</f>
        <v>0</v>
      </c>
      <c r="AE411" s="839">
        <f>IF(AND($Y$82&gt;1000,$Y$82&lt;2000),Q411+(R411-Q411)*($Y$82-$Q$407)/($R$407-$Q$407),0)</f>
        <v>0</v>
      </c>
      <c r="AF411" s="839">
        <f>IF(AND($Y$82&gt;2000,$Y$82&lt;5000),R411+(S411-R411)*($Y$82-$R$407)/($S$407-$R$407),0)</f>
        <v>0</v>
      </c>
      <c r="AG411" s="839">
        <f>IF(AND($Y$82&gt;5000,$Y$82&lt;8000),S411+(T411-S411)*($Y$82-$S$407)/($T$407-$S$407),0)</f>
        <v>0</v>
      </c>
    </row>
    <row r="412" spans="10:35" ht="15.6">
      <c r="J412" s="763">
        <v>5</v>
      </c>
      <c r="K412" s="759" t="s">
        <v>108</v>
      </c>
      <c r="L412" s="832">
        <v>3.6600000000000001E-2</v>
      </c>
      <c r="M412" s="832">
        <v>2.46E-2</v>
      </c>
      <c r="N412" s="832">
        <v>1.8599999999999998E-2</v>
      </c>
      <c r="O412" s="832">
        <v>1.41E-2</v>
      </c>
      <c r="P412" s="832">
        <v>1.11E-2</v>
      </c>
      <c r="Q412" s="832">
        <v>8.6999999999999994E-3</v>
      </c>
      <c r="R412" s="832">
        <v>7.1999999999999998E-3</v>
      </c>
      <c r="S412" s="832">
        <v>5.1000000000000004E-3</v>
      </c>
      <c r="T412" s="832">
        <v>4.1999999999999997E-3</v>
      </c>
      <c r="U412" s="836"/>
      <c r="V412" s="745"/>
      <c r="W412" s="745"/>
      <c r="X412" s="837">
        <f>SUM(Y412:AG412)</f>
        <v>3.6600000000000001E-2</v>
      </c>
      <c r="Y412" s="838">
        <f>IF($Y$82&lt;=$L$407,L412,0)</f>
        <v>3.6600000000000001E-2</v>
      </c>
      <c r="Z412" s="839">
        <f>IF(AND($Y$82&gt;15,$Y$82&lt;50),L412+(M412-L412)*($Y$82-$L$407)/($M$407-$L$407),0)</f>
        <v>0</v>
      </c>
      <c r="AA412" s="839">
        <f>IF(AND($Y$82&gt;50,$Y$82&lt;100),M412+(N412-M412)*($Y$82-$M$407)/($N$407-$M$407),0)</f>
        <v>0</v>
      </c>
      <c r="AB412" s="839">
        <f>IF(AND($Y$82&gt;100,$Y$82&lt;200),N412+(O412-N412)*($Y$82-$N$407)/($O$407-$N$407),0)</f>
        <v>0</v>
      </c>
      <c r="AC412" s="839">
        <f>IF(AND($Y$82&gt;200,$Y$82&lt;500),O412+(P412-O412)*($Y$82-$O$407)/($P$407-$O$407),0)</f>
        <v>0</v>
      </c>
      <c r="AD412" s="839">
        <f>IF(AND($Y$82&gt;500,$Y$82&lt;1000),P412+(Q412-P412)*($Y$82-$P$407)/($Q$407-$P$407),0)</f>
        <v>0</v>
      </c>
      <c r="AE412" s="839">
        <f>IF(AND($Y$82&gt;1000,$Y$82&lt;2000),Q412+(R412-Q412)*($Y$82-$Q$407)/($R$407-$Q$407),0)</f>
        <v>0</v>
      </c>
      <c r="AF412" s="839">
        <f>IF(AND($Y$82&gt;2000,$Y$82&lt;5000),R412+(S412-R412)*($Y$82-$R$407)/($S$407-$R$407),0)</f>
        <v>0</v>
      </c>
      <c r="AG412" s="839">
        <f>IF(AND($Y$82&gt;5000,$Y$82&lt;8000),S412+(T412-S412)*($Y$82-$S$407)/($T$407-$S$407),0)</f>
        <v>0</v>
      </c>
    </row>
    <row r="414" spans="10:35" ht="15.6">
      <c r="J414" s="756" t="s">
        <v>238</v>
      </c>
      <c r="K414" s="831"/>
      <c r="L414" s="830"/>
      <c r="M414" s="830"/>
      <c r="N414" s="830"/>
      <c r="O414" s="830"/>
      <c r="P414" s="830"/>
      <c r="Q414" s="830"/>
      <c r="R414" s="830"/>
      <c r="S414" s="830"/>
      <c r="T414" s="830"/>
      <c r="U414" s="840"/>
    </row>
    <row r="415" spans="10:35" ht="15.6">
      <c r="J415" s="830"/>
      <c r="K415" s="831"/>
      <c r="L415" s="830"/>
      <c r="M415" s="830"/>
      <c r="N415" s="830"/>
      <c r="O415" s="830"/>
      <c r="P415" s="830"/>
      <c r="Q415" s="830"/>
      <c r="R415" s="830"/>
      <c r="S415" s="830"/>
      <c r="T415" s="830"/>
      <c r="U415" s="840"/>
    </row>
    <row r="416" spans="10:35" ht="15.6">
      <c r="J416" s="841" t="s">
        <v>142</v>
      </c>
      <c r="K416" s="763" t="s">
        <v>239</v>
      </c>
      <c r="L416" s="764">
        <v>15</v>
      </c>
      <c r="M416" s="491">
        <v>25</v>
      </c>
      <c r="N416" s="491">
        <v>50</v>
      </c>
      <c r="O416" s="491">
        <v>100</v>
      </c>
      <c r="P416" s="491">
        <v>200</v>
      </c>
      <c r="Q416" s="491">
        <v>500</v>
      </c>
      <c r="R416" s="491">
        <v>1000</v>
      </c>
      <c r="S416" s="491">
        <v>2000</v>
      </c>
      <c r="T416" s="491">
        <v>5000</v>
      </c>
      <c r="U416" s="842">
        <v>10000</v>
      </c>
      <c r="V416" s="745"/>
      <c r="W416" s="745"/>
      <c r="X416" s="759" t="s">
        <v>145</v>
      </c>
      <c r="Y416" s="767">
        <v>15</v>
      </c>
      <c r="Z416" s="768" t="s">
        <v>240</v>
      </c>
      <c r="AA416" s="768" t="s">
        <v>241</v>
      </c>
      <c r="AB416" s="768" t="s">
        <v>148</v>
      </c>
      <c r="AC416" s="768" t="s">
        <v>149</v>
      </c>
      <c r="AD416" s="768" t="s">
        <v>150</v>
      </c>
      <c r="AE416" s="768" t="s">
        <v>151</v>
      </c>
      <c r="AF416" s="768" t="s">
        <v>152</v>
      </c>
      <c r="AG416" s="768" t="s">
        <v>153</v>
      </c>
      <c r="AH416" s="768" t="s">
        <v>154</v>
      </c>
      <c r="AI416" s="768" t="s">
        <v>242</v>
      </c>
    </row>
    <row r="417" spans="10:35" ht="15.6">
      <c r="J417" s="841">
        <v>1</v>
      </c>
      <c r="K417" s="763" t="s">
        <v>173</v>
      </c>
      <c r="L417" s="763">
        <v>1.9E-2</v>
      </c>
      <c r="M417" s="763">
        <v>1.7000000000000001E-2</v>
      </c>
      <c r="N417" s="763">
        <v>1.4999999999999999E-2</v>
      </c>
      <c r="O417" s="763">
        <v>1.2500000000000001E-2</v>
      </c>
      <c r="P417" s="763">
        <v>0.01</v>
      </c>
      <c r="Q417" s="763">
        <v>7.4999999999999997E-3</v>
      </c>
      <c r="R417" s="763">
        <v>4.7000000000000002E-3</v>
      </c>
      <c r="S417" s="763">
        <v>2.5000000000000001E-3</v>
      </c>
      <c r="T417" s="763">
        <v>2E-3</v>
      </c>
      <c r="U417" s="763">
        <v>1E-3</v>
      </c>
      <c r="V417" s="745"/>
      <c r="W417" s="745"/>
      <c r="X417" s="837">
        <f>SUM(Y417:AI417)</f>
        <v>1.9E-2</v>
      </c>
      <c r="Y417" s="838">
        <f>IF($Y$81&lt;=$L$416,L417,0)</f>
        <v>1.9E-2</v>
      </c>
      <c r="Z417" s="839">
        <f>IF(AND($Y$81&gt;15,$Y$81&lt;25),L417+(M417-L417)*($Y$81-$L$416)/($M$416-$L$416),0)</f>
        <v>0</v>
      </c>
      <c r="AA417" s="839">
        <f>IF(AND($Y$81&gt;25,$Y$81&lt;50),M417+(N417-M417)*($Y$81-$M$416)/($N$416-$M$416),0)</f>
        <v>0</v>
      </c>
      <c r="AB417" s="839">
        <f>IF(AND($Y$81&gt;50,$Y$81&lt;100),N417+(O417-N417)*($Y$81-$N$416)/($O$416-$N$416),0)</f>
        <v>0</v>
      </c>
      <c r="AC417" s="839">
        <f>IF(AND($Y$81&gt;100,$Y$81&lt;200),O417+(P417-O417)*($Y$81-$O$416)/($P$416-$O$416),0)</f>
        <v>0</v>
      </c>
      <c r="AD417" s="839">
        <f>IF(AND($Y$81&gt;200,$Y$81&lt;500),P417+(Q417-P417)*($Y$81-$P$416)/($Q$416-$P$416),0)</f>
        <v>0</v>
      </c>
      <c r="AE417" s="839">
        <f>IF(AND($Y$81&gt;500,$Y$81&lt;1000),Q417+(R417-Q417)*($Y$81-$Q$416)/($R$416-$Q$416),0)</f>
        <v>0</v>
      </c>
      <c r="AF417" s="839">
        <f>IF(AND($Y$81&gt;1000,$Y$81&lt;2000),R417+(S417-R417)*($Y$81-$R$416)/($S$416-$R$416),0)</f>
        <v>0</v>
      </c>
      <c r="AG417" s="839">
        <f>IF(AND($Y$81&gt;2000,$Y$81&lt;5000),S417+(T417-S417)*($Y$81-$S$416)/($T$416-$S$416),0)</f>
        <v>0</v>
      </c>
      <c r="AH417" s="839">
        <f>IF(AND($Y$81&gt;5000,$Y$81&lt;=10000),T417+(U417-T417)*($Y$81-$T$416)/($U$416-$T$416),0)</f>
        <v>0</v>
      </c>
      <c r="AI417" s="838">
        <f>IF($Y$81&gt;$U$416,U417,0)</f>
        <v>0</v>
      </c>
    </row>
    <row r="420" spans="10:35" ht="15.6">
      <c r="J420" s="843" t="s">
        <v>243</v>
      </c>
      <c r="K420" s="843"/>
      <c r="L420" s="843"/>
      <c r="M420" s="843"/>
      <c r="N420" s="843"/>
      <c r="O420" s="843"/>
      <c r="P420" s="843"/>
      <c r="Q420" s="843"/>
    </row>
    <row r="421" spans="10:35">
      <c r="K421" s="72">
        <v>1</v>
      </c>
      <c r="L421" s="72">
        <v>2</v>
      </c>
      <c r="M421" s="72">
        <v>3</v>
      </c>
      <c r="N421" s="72">
        <v>4</v>
      </c>
      <c r="O421" s="72">
        <v>5</v>
      </c>
      <c r="P421" s="72">
        <v>6</v>
      </c>
      <c r="Q421" s="72">
        <v>7</v>
      </c>
      <c r="R421" s="72">
        <v>8</v>
      </c>
      <c r="S421" s="72">
        <v>9</v>
      </c>
      <c r="T421" s="72">
        <v>10</v>
      </c>
      <c r="U421" s="72">
        <v>11</v>
      </c>
      <c r="V421" s="72">
        <v>12</v>
      </c>
      <c r="W421" s="72">
        <v>13</v>
      </c>
      <c r="X421" s="72">
        <v>14</v>
      </c>
    </row>
    <row r="422" spans="10:35" ht="15.6">
      <c r="J422" s="841" t="s">
        <v>142</v>
      </c>
      <c r="K422" s="759" t="s">
        <v>244</v>
      </c>
      <c r="L422" s="764">
        <v>5</v>
      </c>
      <c r="M422" s="491">
        <v>10</v>
      </c>
      <c r="N422" s="491">
        <v>50</v>
      </c>
      <c r="O422" s="491">
        <v>100</v>
      </c>
      <c r="P422" s="491">
        <v>500</v>
      </c>
      <c r="Q422" s="491">
        <v>1000</v>
      </c>
      <c r="R422" s="844">
        <v>10000</v>
      </c>
      <c r="S422" s="745"/>
      <c r="T422" s="745"/>
      <c r="U422" s="745"/>
      <c r="V422" s="745"/>
      <c r="W422" s="745"/>
      <c r="X422" s="845" t="s">
        <v>145</v>
      </c>
      <c r="Y422" s="767">
        <v>5</v>
      </c>
      <c r="Z422" s="768" t="s">
        <v>245</v>
      </c>
      <c r="AA422" s="768" t="s">
        <v>246</v>
      </c>
      <c r="AB422" s="768" t="s">
        <v>148</v>
      </c>
      <c r="AC422" s="768" t="s">
        <v>247</v>
      </c>
      <c r="AD422" s="768" t="s">
        <v>151</v>
      </c>
      <c r="AE422" s="768" t="s">
        <v>248</v>
      </c>
      <c r="AF422" s="768" t="s">
        <v>249</v>
      </c>
    </row>
    <row r="423" spans="10:35" ht="15.6">
      <c r="J423" s="841">
        <v>1</v>
      </c>
      <c r="K423" s="759" t="s">
        <v>250</v>
      </c>
      <c r="L423" s="763">
        <v>0.95</v>
      </c>
      <c r="M423" s="763">
        <v>0.65</v>
      </c>
      <c r="N423" s="763">
        <v>0.47499999999999998</v>
      </c>
      <c r="O423" s="763">
        <v>0.375</v>
      </c>
      <c r="P423" s="763">
        <v>0.22500000000000001</v>
      </c>
      <c r="Q423" s="763">
        <v>0.15</v>
      </c>
      <c r="R423" s="763">
        <v>0.08</v>
      </c>
      <c r="S423" s="745"/>
      <c r="T423" s="745"/>
      <c r="U423" s="745"/>
      <c r="V423" s="745"/>
      <c r="W423" s="745"/>
      <c r="X423" s="846">
        <f>SUM(Y423:AF423)</f>
        <v>0.95</v>
      </c>
      <c r="Y423" s="838">
        <f>IF($Y$81&lt;=$L$422,L423,0)</f>
        <v>0.95</v>
      </c>
      <c r="Z423" s="839">
        <f>IF(AND($Y$81&gt;5,$Y$81&lt;10),L423+(M423-L423)*($Y$81-$L$422)/($M$422-$L$422),0)</f>
        <v>0</v>
      </c>
      <c r="AA423" s="839">
        <f>IF(AND($Y$81&gt;10,$Y$81&lt;50),M423+(N423-M423)*($Y$81-$M$422)/($N$422-$M$422),0)</f>
        <v>0</v>
      </c>
      <c r="AB423" s="839">
        <f>IF(AND($Y$81&gt;50,$Y$81&lt;100),N423+(O423-N423)*($Y$81-$N$422)/($O$422-$N$422),0)</f>
        <v>0</v>
      </c>
      <c r="AC423" s="839">
        <f>IF(AND($Y$81&gt;100,$Y$81&lt;500),O423+(P423-O423)*($Y$81-$O$422)/($P$422-$O$422),0)</f>
        <v>0</v>
      </c>
      <c r="AD423" s="839">
        <f>IF(AND($Y$81&gt;500,$Y$81&lt;1000),P423+(Q423-P423)*($Y$81-$P$422)/($Q$422-$P$422),0)</f>
        <v>0</v>
      </c>
      <c r="AE423" s="839">
        <f>IF(AND($Y$81&gt;1000,$Y$81&lt;10000),Q423+(R423-Q423)*($Y$81-$Q$422)/($R$422-$Q$422),0)</f>
        <v>0</v>
      </c>
      <c r="AF423" s="838">
        <f>IF($Y$81&gt;=$R$422,R423,0)</f>
        <v>0</v>
      </c>
    </row>
    <row r="424" spans="10:35" ht="15.6">
      <c r="J424" s="841">
        <v>2</v>
      </c>
      <c r="K424" s="759" t="s">
        <v>251</v>
      </c>
      <c r="L424" s="763">
        <v>1.6</v>
      </c>
      <c r="M424" s="763">
        <v>1.075</v>
      </c>
      <c r="N424" s="763">
        <v>0.75</v>
      </c>
      <c r="O424" s="763">
        <v>0.57499999999999996</v>
      </c>
      <c r="P424" s="763">
        <v>0.32500000000000001</v>
      </c>
      <c r="Q424" s="763">
        <v>0.215</v>
      </c>
      <c r="R424" s="763">
        <v>0.115</v>
      </c>
      <c r="S424" s="745"/>
      <c r="T424" s="745"/>
      <c r="U424" s="745"/>
      <c r="V424" s="745"/>
      <c r="W424" s="745"/>
      <c r="X424" s="846">
        <f>SUM(Y424:AF424)</f>
        <v>1.6</v>
      </c>
      <c r="Y424" s="838">
        <f>IF($Y$81&lt;=$L$422,L424,0)</f>
        <v>1.6</v>
      </c>
      <c r="Z424" s="839">
        <f>IF(AND($Y$81&gt;5,$Y$81&lt;10),L424+(M424-L424)*($Y$81-$L$422)/($M$422-$L$422),0)</f>
        <v>0</v>
      </c>
      <c r="AA424" s="839">
        <f>IF(AND($Y$81&gt;10,$Y$81&lt;50),M424+(N424-M424)*($Y$81-$M$422)/($N$422-$M$422),0)</f>
        <v>0</v>
      </c>
      <c r="AB424" s="839">
        <f>IF(AND($Y$81&gt;50,$Y$81&lt;100),N424+(O424-N424)*($Y$81-$N$422)/($O$422-$N$422),0)</f>
        <v>0</v>
      </c>
      <c r="AC424" s="839">
        <f>IF(AND($Y$81&gt;100,$Y$81&lt;500),O424+(P424-O424)*($Y$81-$O$422)/($P$422-$O$422),0)</f>
        <v>0</v>
      </c>
      <c r="AD424" s="839">
        <f>IF(AND($Y$81&gt;500,$Y$81&lt;1000),P424+(Q424-P424)*($Y$81-$P$422)/($Q$422-$P$422),0)</f>
        <v>0</v>
      </c>
      <c r="AE424" s="839">
        <f>IF(AND($Y$81&gt;1000,$Y$81&lt;10000),Q424+(R424-Q424)*($Y$81-$Q$422)/($R$422-$Q$422),0)</f>
        <v>0</v>
      </c>
      <c r="AF424" s="838">
        <f>IF($Y$81&gt;=$R$422,R424,0)</f>
        <v>0</v>
      </c>
    </row>
  </sheetData>
  <mergeCells count="29">
    <mergeCell ref="A1:G1"/>
    <mergeCell ref="A2:G2"/>
    <mergeCell ref="A6:G6"/>
    <mergeCell ref="C38:D38"/>
    <mergeCell ref="A3:G3"/>
    <mergeCell ref="A4:G4"/>
    <mergeCell ref="K50:M50"/>
    <mergeCell ref="L51:M51"/>
    <mergeCell ref="L52:M52"/>
    <mergeCell ref="E39:G39"/>
    <mergeCell ref="C44:D44"/>
    <mergeCell ref="F44:G44"/>
    <mergeCell ref="F49:G49"/>
    <mergeCell ref="L53:M53"/>
    <mergeCell ref="L54:M54"/>
    <mergeCell ref="L55:M55"/>
    <mergeCell ref="O75:P75"/>
    <mergeCell ref="J79:V79"/>
    <mergeCell ref="L397:W397"/>
    <mergeCell ref="L406:W406"/>
    <mergeCell ref="J67:J68"/>
    <mergeCell ref="J69:J70"/>
    <mergeCell ref="K67:K68"/>
    <mergeCell ref="K69:K70"/>
    <mergeCell ref="L85:W85"/>
    <mergeCell ref="L259:S259"/>
    <mergeCell ref="M278:T278"/>
    <mergeCell ref="L377:W377"/>
    <mergeCell ref="L387:W387"/>
  </mergeCells>
  <dataValidations disablePrompts="1" count="5">
    <dataValidation type="list" allowBlank="1" showInputMessage="1" showErrorMessage="1" sqref="L51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L65587 JH65587 TD65587 ACZ65587 AMV65587 AWR65587 BGN65587 BQJ65587 CAF65587 CKB65587 CTX65587 DDT65587 DNP65587 DXL65587 EHH65587 ERD65587 FAZ65587 FKV65587 FUR65587 GEN65587 GOJ65587 GYF65587 HIB65587 HRX65587 IBT65587 ILP65587 IVL65587 JFH65587 JPD65587 JYZ65587 KIV65587 KSR65587 LCN65587 LMJ65587 LWF65587 MGB65587 MPX65587 MZT65587 NJP65587 NTL65587 ODH65587 OND65587 OWZ65587 PGV65587 PQR65587 QAN65587 QKJ65587 QUF65587 REB65587 RNX65587 RXT65587 SHP65587 SRL65587 TBH65587 TLD65587 TUZ65587 UEV65587 UOR65587 UYN65587 VIJ65587 VSF65587 WCB65587 WLX65587 WVT65587 L131123 JH131123 TD131123 ACZ131123 AMV131123 AWR131123 BGN131123 BQJ131123 CAF131123 CKB131123 CTX131123 DDT131123 DNP131123 DXL131123 EHH131123 ERD131123 FAZ131123 FKV131123 FUR131123 GEN131123 GOJ131123 GYF131123 HIB131123 HRX131123 IBT131123 ILP131123 IVL131123 JFH131123 JPD131123 JYZ131123 KIV131123 KSR131123 LCN131123 LMJ131123 LWF131123 MGB131123 MPX131123 MZT131123 NJP131123 NTL131123 ODH131123 OND131123 OWZ131123 PGV131123 PQR131123 QAN131123 QKJ131123 QUF131123 REB131123 RNX131123 RXT131123 SHP131123 SRL131123 TBH131123 TLD131123 TUZ131123 UEV131123 UOR131123 UYN131123 VIJ131123 VSF131123 WCB131123 WLX131123 WVT131123 L196659 JH196659 TD196659 ACZ196659 AMV196659 AWR196659 BGN196659 BQJ196659 CAF196659 CKB196659 CTX196659 DDT196659 DNP196659 DXL196659 EHH196659 ERD196659 FAZ196659 FKV196659 FUR196659 GEN196659 GOJ196659 GYF196659 HIB196659 HRX196659 IBT196659 ILP196659 IVL196659 JFH196659 JPD196659 JYZ196659 KIV196659 KSR196659 LCN196659 LMJ196659 LWF196659 MGB196659 MPX196659 MZT196659 NJP196659 NTL196659 ODH196659 OND196659 OWZ196659 PGV196659 PQR196659 QAN196659 QKJ196659 QUF196659 REB196659 RNX196659 RXT196659 SHP196659 SRL196659 TBH196659 TLD196659 TUZ196659 UEV196659 UOR196659 UYN196659 VIJ196659 VSF196659 WCB196659 WLX196659 WVT196659 L262195 JH262195 TD262195 ACZ262195 AMV262195 AWR262195 BGN262195 BQJ262195 CAF262195 CKB262195 CTX262195 DDT262195 DNP262195 DXL262195 EHH262195 ERD262195 FAZ262195 FKV262195 FUR262195 GEN262195 GOJ262195 GYF262195 HIB262195 HRX262195 IBT262195 ILP262195 IVL262195 JFH262195 JPD262195 JYZ262195 KIV262195 KSR262195 LCN262195 LMJ262195 LWF262195 MGB262195 MPX262195 MZT262195 NJP262195 NTL262195 ODH262195 OND262195 OWZ262195 PGV262195 PQR262195 QAN262195 QKJ262195 QUF262195 REB262195 RNX262195 RXT262195 SHP262195 SRL262195 TBH262195 TLD262195 TUZ262195 UEV262195 UOR262195 UYN262195 VIJ262195 VSF262195 WCB262195 WLX262195 WVT262195 L327731 JH327731 TD327731 ACZ327731 AMV327731 AWR327731 BGN327731 BQJ327731 CAF327731 CKB327731 CTX327731 DDT327731 DNP327731 DXL327731 EHH327731 ERD327731 FAZ327731 FKV327731 FUR327731 GEN327731 GOJ327731 GYF327731 HIB327731 HRX327731 IBT327731 ILP327731 IVL327731 JFH327731 JPD327731 JYZ327731 KIV327731 KSR327731 LCN327731 LMJ327731 LWF327731 MGB327731 MPX327731 MZT327731 NJP327731 NTL327731 ODH327731 OND327731 OWZ327731 PGV327731 PQR327731 QAN327731 QKJ327731 QUF327731 REB327731 RNX327731 RXT327731 SHP327731 SRL327731 TBH327731 TLD327731 TUZ327731 UEV327731 UOR327731 UYN327731 VIJ327731 VSF327731 WCB327731 WLX327731 WVT327731 L393267 JH393267 TD393267 ACZ393267 AMV393267 AWR393267 BGN393267 BQJ393267 CAF393267 CKB393267 CTX393267 DDT393267 DNP393267 DXL393267 EHH393267 ERD393267 FAZ393267 FKV393267 FUR393267 GEN393267 GOJ393267 GYF393267 HIB393267 HRX393267 IBT393267 ILP393267 IVL393267 JFH393267 JPD393267 JYZ393267 KIV393267 KSR393267 LCN393267 LMJ393267 LWF393267 MGB393267 MPX393267 MZT393267 NJP393267 NTL393267 ODH393267 OND393267 OWZ393267 PGV393267 PQR393267 QAN393267 QKJ393267 QUF393267 REB393267 RNX393267 RXT393267 SHP393267 SRL393267 TBH393267 TLD393267 TUZ393267 UEV393267 UOR393267 UYN393267 VIJ393267 VSF393267 WCB393267 WLX393267 WVT393267 L458803 JH458803 TD458803 ACZ458803 AMV458803 AWR458803 BGN458803 BQJ458803 CAF458803 CKB458803 CTX458803 DDT458803 DNP458803 DXL458803 EHH458803 ERD458803 FAZ458803 FKV458803 FUR458803 GEN458803 GOJ458803 GYF458803 HIB458803 HRX458803 IBT458803 ILP458803 IVL458803 JFH458803 JPD458803 JYZ458803 KIV458803 KSR458803 LCN458803 LMJ458803 LWF458803 MGB458803 MPX458803 MZT458803 NJP458803 NTL458803 ODH458803 OND458803 OWZ458803 PGV458803 PQR458803 QAN458803 QKJ458803 QUF458803 REB458803 RNX458803 RXT458803 SHP458803 SRL458803 TBH458803 TLD458803 TUZ458803 UEV458803 UOR458803 UYN458803 VIJ458803 VSF458803 WCB458803 WLX458803 WVT458803 L524339 JH524339 TD524339 ACZ524339 AMV524339 AWR524339 BGN524339 BQJ524339 CAF524339 CKB524339 CTX524339 DDT524339 DNP524339 DXL524339 EHH524339 ERD524339 FAZ524339 FKV524339 FUR524339 GEN524339 GOJ524339 GYF524339 HIB524339 HRX524339 IBT524339 ILP524339 IVL524339 JFH524339 JPD524339 JYZ524339 KIV524339 KSR524339 LCN524339 LMJ524339 LWF524339 MGB524339 MPX524339 MZT524339 NJP524339 NTL524339 ODH524339 OND524339 OWZ524339 PGV524339 PQR524339 QAN524339 QKJ524339 QUF524339 REB524339 RNX524339 RXT524339 SHP524339 SRL524339 TBH524339 TLD524339 TUZ524339 UEV524339 UOR524339 UYN524339 VIJ524339 VSF524339 WCB524339 WLX524339 WVT524339 L589875 JH589875 TD589875 ACZ589875 AMV589875 AWR589875 BGN589875 BQJ589875 CAF589875 CKB589875 CTX589875 DDT589875 DNP589875 DXL589875 EHH589875 ERD589875 FAZ589875 FKV589875 FUR589875 GEN589875 GOJ589875 GYF589875 HIB589875 HRX589875 IBT589875 ILP589875 IVL589875 JFH589875 JPD589875 JYZ589875 KIV589875 KSR589875 LCN589875 LMJ589875 LWF589875 MGB589875 MPX589875 MZT589875 NJP589875 NTL589875 ODH589875 OND589875 OWZ589875 PGV589875 PQR589875 QAN589875 QKJ589875 QUF589875 REB589875 RNX589875 RXT589875 SHP589875 SRL589875 TBH589875 TLD589875 TUZ589875 UEV589875 UOR589875 UYN589875 VIJ589875 VSF589875 WCB589875 WLX589875 WVT589875 L655411 JH655411 TD655411 ACZ655411 AMV655411 AWR655411 BGN655411 BQJ655411 CAF655411 CKB655411 CTX655411 DDT655411 DNP655411 DXL655411 EHH655411 ERD655411 FAZ655411 FKV655411 FUR655411 GEN655411 GOJ655411 GYF655411 HIB655411 HRX655411 IBT655411 ILP655411 IVL655411 JFH655411 JPD655411 JYZ655411 KIV655411 KSR655411 LCN655411 LMJ655411 LWF655411 MGB655411 MPX655411 MZT655411 NJP655411 NTL655411 ODH655411 OND655411 OWZ655411 PGV655411 PQR655411 QAN655411 QKJ655411 QUF655411 REB655411 RNX655411 RXT655411 SHP655411 SRL655411 TBH655411 TLD655411 TUZ655411 UEV655411 UOR655411 UYN655411 VIJ655411 VSF655411 WCB655411 WLX655411 WVT655411 L720947 JH720947 TD720947 ACZ720947 AMV720947 AWR720947 BGN720947 BQJ720947 CAF720947 CKB720947 CTX720947 DDT720947 DNP720947 DXL720947 EHH720947 ERD720947 FAZ720947 FKV720947 FUR720947 GEN720947 GOJ720947 GYF720947 HIB720947 HRX720947 IBT720947 ILP720947 IVL720947 JFH720947 JPD720947 JYZ720947 KIV720947 KSR720947 LCN720947 LMJ720947 LWF720947 MGB720947 MPX720947 MZT720947 NJP720947 NTL720947 ODH720947 OND720947 OWZ720947 PGV720947 PQR720947 QAN720947 QKJ720947 QUF720947 REB720947 RNX720947 RXT720947 SHP720947 SRL720947 TBH720947 TLD720947 TUZ720947 UEV720947 UOR720947 UYN720947 VIJ720947 VSF720947 WCB720947 WLX720947 WVT720947 L786483 JH786483 TD786483 ACZ786483 AMV786483 AWR786483 BGN786483 BQJ786483 CAF786483 CKB786483 CTX786483 DDT786483 DNP786483 DXL786483 EHH786483 ERD786483 FAZ786483 FKV786483 FUR786483 GEN786483 GOJ786483 GYF786483 HIB786483 HRX786483 IBT786483 ILP786483 IVL786483 JFH786483 JPD786483 JYZ786483 KIV786483 KSR786483 LCN786483 LMJ786483 LWF786483 MGB786483 MPX786483 MZT786483 NJP786483 NTL786483 ODH786483 OND786483 OWZ786483 PGV786483 PQR786483 QAN786483 QKJ786483 QUF786483 REB786483 RNX786483 RXT786483 SHP786483 SRL786483 TBH786483 TLD786483 TUZ786483 UEV786483 UOR786483 UYN786483 VIJ786483 VSF786483 WCB786483 WLX786483 WVT786483 L852019 JH852019 TD852019 ACZ852019 AMV852019 AWR852019 BGN852019 BQJ852019 CAF852019 CKB852019 CTX852019 DDT852019 DNP852019 DXL852019 EHH852019 ERD852019 FAZ852019 FKV852019 FUR852019 GEN852019 GOJ852019 GYF852019 HIB852019 HRX852019 IBT852019 ILP852019 IVL852019 JFH852019 JPD852019 JYZ852019 KIV852019 KSR852019 LCN852019 LMJ852019 LWF852019 MGB852019 MPX852019 MZT852019 NJP852019 NTL852019 ODH852019 OND852019 OWZ852019 PGV852019 PQR852019 QAN852019 QKJ852019 QUF852019 REB852019 RNX852019 RXT852019 SHP852019 SRL852019 TBH852019 TLD852019 TUZ852019 UEV852019 UOR852019 UYN852019 VIJ852019 VSF852019 WCB852019 WLX852019 WVT852019 L917555 JH917555 TD917555 ACZ917555 AMV917555 AWR917555 BGN917555 BQJ917555 CAF917555 CKB917555 CTX917555 DDT917555 DNP917555 DXL917555 EHH917555 ERD917555 FAZ917555 FKV917555 FUR917555 GEN917555 GOJ917555 GYF917555 HIB917555 HRX917555 IBT917555 ILP917555 IVL917555 JFH917555 JPD917555 JYZ917555 KIV917555 KSR917555 LCN917555 LMJ917555 LWF917555 MGB917555 MPX917555 MZT917555 NJP917555 NTL917555 ODH917555 OND917555 OWZ917555 PGV917555 PQR917555 QAN917555 QKJ917555 QUF917555 REB917555 RNX917555 RXT917555 SHP917555 SRL917555 TBH917555 TLD917555 TUZ917555 UEV917555 UOR917555 UYN917555 VIJ917555 VSF917555 WCB917555 WLX917555 WVT917555 L983091 JH983091 TD983091 ACZ983091 AMV983091 AWR983091 BGN983091 BQJ983091 CAF983091 CKB983091 CTX983091 DDT983091 DNP983091 DXL983091 EHH983091 ERD983091 FAZ983091 FKV983091 FUR983091 GEN983091 GOJ983091 GYF983091 HIB983091 HRX983091 IBT983091 ILP983091 IVL983091 JFH983091 JPD983091 JYZ983091 KIV983091 KSR983091 LCN983091 LMJ983091 LWF983091 MGB983091 MPX983091 MZT983091 NJP983091 NTL983091 ODH983091 OND983091 OWZ983091 PGV983091 PQR983091 QAN983091 QKJ983091 QUF983091 REB983091 RNX983091 RXT983091 SHP983091 SRL983091 TBH983091 TLD983091 TUZ983091 UEV983091 UOR983091 UYN983091 VIJ983091 VSF983091 WCB983091 WLX983091 WVT983091" xr:uid="{00000000-0002-0000-0400-000000000000}">
      <formula1>$O$55:$O$59</formula1>
    </dataValidation>
    <dataValidation type="list" allowBlank="1" showInputMessage="1" showErrorMessage="1" sqref="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L65588 JH65588 TD65588 ACZ65588 AMV65588 AWR65588 BGN65588 BQJ65588 CAF65588 CKB65588 CTX65588 DDT65588 DNP65588 DXL65588 EHH65588 ERD65588 FAZ65588 FKV65588 FUR65588 GEN65588 GOJ65588 GYF65588 HIB65588 HRX65588 IBT65588 ILP65588 IVL65588 JFH65588 JPD65588 JYZ65588 KIV65588 KSR65588 LCN65588 LMJ65588 LWF65588 MGB65588 MPX65588 MZT65588 NJP65588 NTL65588 ODH65588 OND65588 OWZ65588 PGV65588 PQR65588 QAN65588 QKJ65588 QUF65588 REB65588 RNX65588 RXT65588 SHP65588 SRL65588 TBH65588 TLD65588 TUZ65588 UEV65588 UOR65588 UYN65588 VIJ65588 VSF65588 WCB65588 WLX65588 WVT65588 L131124 JH131124 TD131124 ACZ131124 AMV131124 AWR131124 BGN131124 BQJ131124 CAF131124 CKB131124 CTX131124 DDT131124 DNP131124 DXL131124 EHH131124 ERD131124 FAZ131124 FKV131124 FUR131124 GEN131124 GOJ131124 GYF131124 HIB131124 HRX131124 IBT131124 ILP131124 IVL131124 JFH131124 JPD131124 JYZ131124 KIV131124 KSR131124 LCN131124 LMJ131124 LWF131124 MGB131124 MPX131124 MZT131124 NJP131124 NTL131124 ODH131124 OND131124 OWZ131124 PGV131124 PQR131124 QAN131124 QKJ131124 QUF131124 REB131124 RNX131124 RXT131124 SHP131124 SRL131124 TBH131124 TLD131124 TUZ131124 UEV131124 UOR131124 UYN131124 VIJ131124 VSF131124 WCB131124 WLX131124 WVT131124 L196660 JH196660 TD196660 ACZ196660 AMV196660 AWR196660 BGN196660 BQJ196660 CAF196660 CKB196660 CTX196660 DDT196660 DNP196660 DXL196660 EHH196660 ERD196660 FAZ196660 FKV196660 FUR196660 GEN196660 GOJ196660 GYF196660 HIB196660 HRX196660 IBT196660 ILP196660 IVL196660 JFH196660 JPD196660 JYZ196660 KIV196660 KSR196660 LCN196660 LMJ196660 LWF196660 MGB196660 MPX196660 MZT196660 NJP196660 NTL196660 ODH196660 OND196660 OWZ196660 PGV196660 PQR196660 QAN196660 QKJ196660 QUF196660 REB196660 RNX196660 RXT196660 SHP196660 SRL196660 TBH196660 TLD196660 TUZ196660 UEV196660 UOR196660 UYN196660 VIJ196660 VSF196660 WCB196660 WLX196660 WVT196660 L262196 JH262196 TD262196 ACZ262196 AMV262196 AWR262196 BGN262196 BQJ262196 CAF262196 CKB262196 CTX262196 DDT262196 DNP262196 DXL262196 EHH262196 ERD262196 FAZ262196 FKV262196 FUR262196 GEN262196 GOJ262196 GYF262196 HIB262196 HRX262196 IBT262196 ILP262196 IVL262196 JFH262196 JPD262196 JYZ262196 KIV262196 KSR262196 LCN262196 LMJ262196 LWF262196 MGB262196 MPX262196 MZT262196 NJP262196 NTL262196 ODH262196 OND262196 OWZ262196 PGV262196 PQR262196 QAN262196 QKJ262196 QUF262196 REB262196 RNX262196 RXT262196 SHP262196 SRL262196 TBH262196 TLD262196 TUZ262196 UEV262196 UOR262196 UYN262196 VIJ262196 VSF262196 WCB262196 WLX262196 WVT262196 L327732 JH327732 TD327732 ACZ327732 AMV327732 AWR327732 BGN327732 BQJ327732 CAF327732 CKB327732 CTX327732 DDT327732 DNP327732 DXL327732 EHH327732 ERD327732 FAZ327732 FKV327732 FUR327732 GEN327732 GOJ327732 GYF327732 HIB327732 HRX327732 IBT327732 ILP327732 IVL327732 JFH327732 JPD327732 JYZ327732 KIV327732 KSR327732 LCN327732 LMJ327732 LWF327732 MGB327732 MPX327732 MZT327732 NJP327732 NTL327732 ODH327732 OND327732 OWZ327732 PGV327732 PQR327732 QAN327732 QKJ327732 QUF327732 REB327732 RNX327732 RXT327732 SHP327732 SRL327732 TBH327732 TLD327732 TUZ327732 UEV327732 UOR327732 UYN327732 VIJ327732 VSF327732 WCB327732 WLX327732 WVT327732 L393268 JH393268 TD393268 ACZ393268 AMV393268 AWR393268 BGN393268 BQJ393268 CAF393268 CKB393268 CTX393268 DDT393268 DNP393268 DXL393268 EHH393268 ERD393268 FAZ393268 FKV393268 FUR393268 GEN393268 GOJ393268 GYF393268 HIB393268 HRX393268 IBT393268 ILP393268 IVL393268 JFH393268 JPD393268 JYZ393268 KIV393268 KSR393268 LCN393268 LMJ393268 LWF393268 MGB393268 MPX393268 MZT393268 NJP393268 NTL393268 ODH393268 OND393268 OWZ393268 PGV393268 PQR393268 QAN393268 QKJ393268 QUF393268 REB393268 RNX393268 RXT393268 SHP393268 SRL393268 TBH393268 TLD393268 TUZ393268 UEV393268 UOR393268 UYN393268 VIJ393268 VSF393268 WCB393268 WLX393268 WVT393268 L458804 JH458804 TD458804 ACZ458804 AMV458804 AWR458804 BGN458804 BQJ458804 CAF458804 CKB458804 CTX458804 DDT458804 DNP458804 DXL458804 EHH458804 ERD458804 FAZ458804 FKV458804 FUR458804 GEN458804 GOJ458804 GYF458804 HIB458804 HRX458804 IBT458804 ILP458804 IVL458804 JFH458804 JPD458804 JYZ458804 KIV458804 KSR458804 LCN458804 LMJ458804 LWF458804 MGB458804 MPX458804 MZT458804 NJP458804 NTL458804 ODH458804 OND458804 OWZ458804 PGV458804 PQR458804 QAN458804 QKJ458804 QUF458804 REB458804 RNX458804 RXT458804 SHP458804 SRL458804 TBH458804 TLD458804 TUZ458804 UEV458804 UOR458804 UYN458804 VIJ458804 VSF458804 WCB458804 WLX458804 WVT458804 L524340 JH524340 TD524340 ACZ524340 AMV524340 AWR524340 BGN524340 BQJ524340 CAF524340 CKB524340 CTX524340 DDT524340 DNP524340 DXL524340 EHH524340 ERD524340 FAZ524340 FKV524340 FUR524340 GEN524340 GOJ524340 GYF524340 HIB524340 HRX524340 IBT524340 ILP524340 IVL524340 JFH524340 JPD524340 JYZ524340 KIV524340 KSR524340 LCN524340 LMJ524340 LWF524340 MGB524340 MPX524340 MZT524340 NJP524340 NTL524340 ODH524340 OND524340 OWZ524340 PGV524340 PQR524340 QAN524340 QKJ524340 QUF524340 REB524340 RNX524340 RXT524340 SHP524340 SRL524340 TBH524340 TLD524340 TUZ524340 UEV524340 UOR524340 UYN524340 VIJ524340 VSF524340 WCB524340 WLX524340 WVT524340 L589876 JH589876 TD589876 ACZ589876 AMV589876 AWR589876 BGN589876 BQJ589876 CAF589876 CKB589876 CTX589876 DDT589876 DNP589876 DXL589876 EHH589876 ERD589876 FAZ589876 FKV589876 FUR589876 GEN589876 GOJ589876 GYF589876 HIB589876 HRX589876 IBT589876 ILP589876 IVL589876 JFH589876 JPD589876 JYZ589876 KIV589876 KSR589876 LCN589876 LMJ589876 LWF589876 MGB589876 MPX589876 MZT589876 NJP589876 NTL589876 ODH589876 OND589876 OWZ589876 PGV589876 PQR589876 QAN589876 QKJ589876 QUF589876 REB589876 RNX589876 RXT589876 SHP589876 SRL589876 TBH589876 TLD589876 TUZ589876 UEV589876 UOR589876 UYN589876 VIJ589876 VSF589876 WCB589876 WLX589876 WVT589876 L655412 JH655412 TD655412 ACZ655412 AMV655412 AWR655412 BGN655412 BQJ655412 CAF655412 CKB655412 CTX655412 DDT655412 DNP655412 DXL655412 EHH655412 ERD655412 FAZ655412 FKV655412 FUR655412 GEN655412 GOJ655412 GYF655412 HIB655412 HRX655412 IBT655412 ILP655412 IVL655412 JFH655412 JPD655412 JYZ655412 KIV655412 KSR655412 LCN655412 LMJ655412 LWF655412 MGB655412 MPX655412 MZT655412 NJP655412 NTL655412 ODH655412 OND655412 OWZ655412 PGV655412 PQR655412 QAN655412 QKJ655412 QUF655412 REB655412 RNX655412 RXT655412 SHP655412 SRL655412 TBH655412 TLD655412 TUZ655412 UEV655412 UOR655412 UYN655412 VIJ655412 VSF655412 WCB655412 WLX655412 WVT655412 L720948 JH720948 TD720948 ACZ720948 AMV720948 AWR720948 BGN720948 BQJ720948 CAF720948 CKB720948 CTX720948 DDT720948 DNP720948 DXL720948 EHH720948 ERD720948 FAZ720948 FKV720948 FUR720948 GEN720948 GOJ720948 GYF720948 HIB720948 HRX720948 IBT720948 ILP720948 IVL720948 JFH720948 JPD720948 JYZ720948 KIV720948 KSR720948 LCN720948 LMJ720948 LWF720948 MGB720948 MPX720948 MZT720948 NJP720948 NTL720948 ODH720948 OND720948 OWZ720948 PGV720948 PQR720948 QAN720948 QKJ720948 QUF720948 REB720948 RNX720948 RXT720948 SHP720948 SRL720948 TBH720948 TLD720948 TUZ720948 UEV720948 UOR720948 UYN720948 VIJ720948 VSF720948 WCB720948 WLX720948 WVT720948 L786484 JH786484 TD786484 ACZ786484 AMV786484 AWR786484 BGN786484 BQJ786484 CAF786484 CKB786484 CTX786484 DDT786484 DNP786484 DXL786484 EHH786484 ERD786484 FAZ786484 FKV786484 FUR786484 GEN786484 GOJ786484 GYF786484 HIB786484 HRX786484 IBT786484 ILP786484 IVL786484 JFH786484 JPD786484 JYZ786484 KIV786484 KSR786484 LCN786484 LMJ786484 LWF786484 MGB786484 MPX786484 MZT786484 NJP786484 NTL786484 ODH786484 OND786484 OWZ786484 PGV786484 PQR786484 QAN786484 QKJ786484 QUF786484 REB786484 RNX786484 RXT786484 SHP786484 SRL786484 TBH786484 TLD786484 TUZ786484 UEV786484 UOR786484 UYN786484 VIJ786484 VSF786484 WCB786484 WLX786484 WVT786484 L852020 JH852020 TD852020 ACZ852020 AMV852020 AWR852020 BGN852020 BQJ852020 CAF852020 CKB852020 CTX852020 DDT852020 DNP852020 DXL852020 EHH852020 ERD852020 FAZ852020 FKV852020 FUR852020 GEN852020 GOJ852020 GYF852020 HIB852020 HRX852020 IBT852020 ILP852020 IVL852020 JFH852020 JPD852020 JYZ852020 KIV852020 KSR852020 LCN852020 LMJ852020 LWF852020 MGB852020 MPX852020 MZT852020 NJP852020 NTL852020 ODH852020 OND852020 OWZ852020 PGV852020 PQR852020 QAN852020 QKJ852020 QUF852020 REB852020 RNX852020 RXT852020 SHP852020 SRL852020 TBH852020 TLD852020 TUZ852020 UEV852020 UOR852020 UYN852020 VIJ852020 VSF852020 WCB852020 WLX852020 WVT852020 L917556 JH917556 TD917556 ACZ917556 AMV917556 AWR917556 BGN917556 BQJ917556 CAF917556 CKB917556 CTX917556 DDT917556 DNP917556 DXL917556 EHH917556 ERD917556 FAZ917556 FKV917556 FUR917556 GEN917556 GOJ917556 GYF917556 HIB917556 HRX917556 IBT917556 ILP917556 IVL917556 JFH917556 JPD917556 JYZ917556 KIV917556 KSR917556 LCN917556 LMJ917556 LWF917556 MGB917556 MPX917556 MZT917556 NJP917556 NTL917556 ODH917556 OND917556 OWZ917556 PGV917556 PQR917556 QAN917556 QKJ917556 QUF917556 REB917556 RNX917556 RXT917556 SHP917556 SRL917556 TBH917556 TLD917556 TUZ917556 UEV917556 UOR917556 UYN917556 VIJ917556 VSF917556 WCB917556 WLX917556 WVT917556 L983092 JH983092 TD983092 ACZ983092 AMV983092 AWR983092 BGN983092 BQJ983092 CAF983092 CKB983092 CTX983092 DDT983092 DNP983092 DXL983092 EHH983092 ERD983092 FAZ983092 FKV983092 FUR983092 GEN983092 GOJ983092 GYF983092 HIB983092 HRX983092 IBT983092 ILP983092 IVL983092 JFH983092 JPD983092 JYZ983092 KIV983092 KSR983092 LCN983092 LMJ983092 LWF983092 MGB983092 MPX983092 MZT983092 NJP983092 NTL983092 ODH983092 OND983092 OWZ983092 PGV983092 PQR983092 QAN983092 QKJ983092 QUF983092 REB983092 RNX983092 RXT983092 SHP983092 SRL983092 TBH983092 TLD983092 TUZ983092 UEV983092 UOR983092 UYN983092 VIJ983092 VSF983092 WCB983092 WLX983092 WVT983092" xr:uid="{00000000-0002-0000-0400-000001000000}">
      <formula1>$O$61:$O$65</formula1>
    </dataValidation>
    <dataValidation type="list" allowBlank="1" showInputMessage="1" showErrorMessage="1" sqref="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L65589 JH65589 TD65589 ACZ65589 AMV65589 AWR65589 BGN65589 BQJ65589 CAF65589 CKB65589 CTX65589 DDT65589 DNP65589 DXL65589 EHH65589 ERD65589 FAZ65589 FKV65589 FUR65589 GEN65589 GOJ65589 GYF65589 HIB65589 HRX65589 IBT65589 ILP65589 IVL65589 JFH65589 JPD65589 JYZ65589 KIV65589 KSR65589 LCN65589 LMJ65589 LWF65589 MGB65589 MPX65589 MZT65589 NJP65589 NTL65589 ODH65589 OND65589 OWZ65589 PGV65589 PQR65589 QAN65589 QKJ65589 QUF65589 REB65589 RNX65589 RXT65589 SHP65589 SRL65589 TBH65589 TLD65589 TUZ65589 UEV65589 UOR65589 UYN65589 VIJ65589 VSF65589 WCB65589 WLX65589 WVT65589 L131125 JH131125 TD131125 ACZ131125 AMV131125 AWR131125 BGN131125 BQJ131125 CAF131125 CKB131125 CTX131125 DDT131125 DNP131125 DXL131125 EHH131125 ERD131125 FAZ131125 FKV131125 FUR131125 GEN131125 GOJ131125 GYF131125 HIB131125 HRX131125 IBT131125 ILP131125 IVL131125 JFH131125 JPD131125 JYZ131125 KIV131125 KSR131125 LCN131125 LMJ131125 LWF131125 MGB131125 MPX131125 MZT131125 NJP131125 NTL131125 ODH131125 OND131125 OWZ131125 PGV131125 PQR131125 QAN131125 QKJ131125 QUF131125 REB131125 RNX131125 RXT131125 SHP131125 SRL131125 TBH131125 TLD131125 TUZ131125 UEV131125 UOR131125 UYN131125 VIJ131125 VSF131125 WCB131125 WLX131125 WVT131125 L196661 JH196661 TD196661 ACZ196661 AMV196661 AWR196661 BGN196661 BQJ196661 CAF196661 CKB196661 CTX196661 DDT196661 DNP196661 DXL196661 EHH196661 ERD196661 FAZ196661 FKV196661 FUR196661 GEN196661 GOJ196661 GYF196661 HIB196661 HRX196661 IBT196661 ILP196661 IVL196661 JFH196661 JPD196661 JYZ196661 KIV196661 KSR196661 LCN196661 LMJ196661 LWF196661 MGB196661 MPX196661 MZT196661 NJP196661 NTL196661 ODH196661 OND196661 OWZ196661 PGV196661 PQR196661 QAN196661 QKJ196661 QUF196661 REB196661 RNX196661 RXT196661 SHP196661 SRL196661 TBH196661 TLD196661 TUZ196661 UEV196661 UOR196661 UYN196661 VIJ196661 VSF196661 WCB196661 WLX196661 WVT196661 L262197 JH262197 TD262197 ACZ262197 AMV262197 AWR262197 BGN262197 BQJ262197 CAF262197 CKB262197 CTX262197 DDT262197 DNP262197 DXL262197 EHH262197 ERD262197 FAZ262197 FKV262197 FUR262197 GEN262197 GOJ262197 GYF262197 HIB262197 HRX262197 IBT262197 ILP262197 IVL262197 JFH262197 JPD262197 JYZ262197 KIV262197 KSR262197 LCN262197 LMJ262197 LWF262197 MGB262197 MPX262197 MZT262197 NJP262197 NTL262197 ODH262197 OND262197 OWZ262197 PGV262197 PQR262197 QAN262197 QKJ262197 QUF262197 REB262197 RNX262197 RXT262197 SHP262197 SRL262197 TBH262197 TLD262197 TUZ262197 UEV262197 UOR262197 UYN262197 VIJ262197 VSF262197 WCB262197 WLX262197 WVT262197 L327733 JH327733 TD327733 ACZ327733 AMV327733 AWR327733 BGN327733 BQJ327733 CAF327733 CKB327733 CTX327733 DDT327733 DNP327733 DXL327733 EHH327733 ERD327733 FAZ327733 FKV327733 FUR327733 GEN327733 GOJ327733 GYF327733 HIB327733 HRX327733 IBT327733 ILP327733 IVL327733 JFH327733 JPD327733 JYZ327733 KIV327733 KSR327733 LCN327733 LMJ327733 LWF327733 MGB327733 MPX327733 MZT327733 NJP327733 NTL327733 ODH327733 OND327733 OWZ327733 PGV327733 PQR327733 QAN327733 QKJ327733 QUF327733 REB327733 RNX327733 RXT327733 SHP327733 SRL327733 TBH327733 TLD327733 TUZ327733 UEV327733 UOR327733 UYN327733 VIJ327733 VSF327733 WCB327733 WLX327733 WVT327733 L393269 JH393269 TD393269 ACZ393269 AMV393269 AWR393269 BGN393269 BQJ393269 CAF393269 CKB393269 CTX393269 DDT393269 DNP393269 DXL393269 EHH393269 ERD393269 FAZ393269 FKV393269 FUR393269 GEN393269 GOJ393269 GYF393269 HIB393269 HRX393269 IBT393269 ILP393269 IVL393269 JFH393269 JPD393269 JYZ393269 KIV393269 KSR393269 LCN393269 LMJ393269 LWF393269 MGB393269 MPX393269 MZT393269 NJP393269 NTL393269 ODH393269 OND393269 OWZ393269 PGV393269 PQR393269 QAN393269 QKJ393269 QUF393269 REB393269 RNX393269 RXT393269 SHP393269 SRL393269 TBH393269 TLD393269 TUZ393269 UEV393269 UOR393269 UYN393269 VIJ393269 VSF393269 WCB393269 WLX393269 WVT393269 L458805 JH458805 TD458805 ACZ458805 AMV458805 AWR458805 BGN458805 BQJ458805 CAF458805 CKB458805 CTX458805 DDT458805 DNP458805 DXL458805 EHH458805 ERD458805 FAZ458805 FKV458805 FUR458805 GEN458805 GOJ458805 GYF458805 HIB458805 HRX458805 IBT458805 ILP458805 IVL458805 JFH458805 JPD458805 JYZ458805 KIV458805 KSR458805 LCN458805 LMJ458805 LWF458805 MGB458805 MPX458805 MZT458805 NJP458805 NTL458805 ODH458805 OND458805 OWZ458805 PGV458805 PQR458805 QAN458805 QKJ458805 QUF458805 REB458805 RNX458805 RXT458805 SHP458805 SRL458805 TBH458805 TLD458805 TUZ458805 UEV458805 UOR458805 UYN458805 VIJ458805 VSF458805 WCB458805 WLX458805 WVT458805 L524341 JH524341 TD524341 ACZ524341 AMV524341 AWR524341 BGN524341 BQJ524341 CAF524341 CKB524341 CTX524341 DDT524341 DNP524341 DXL524341 EHH524341 ERD524341 FAZ524341 FKV524341 FUR524341 GEN524341 GOJ524341 GYF524341 HIB524341 HRX524341 IBT524341 ILP524341 IVL524341 JFH524341 JPD524341 JYZ524341 KIV524341 KSR524341 LCN524341 LMJ524341 LWF524341 MGB524341 MPX524341 MZT524341 NJP524341 NTL524341 ODH524341 OND524341 OWZ524341 PGV524341 PQR524341 QAN524341 QKJ524341 QUF524341 REB524341 RNX524341 RXT524341 SHP524341 SRL524341 TBH524341 TLD524341 TUZ524341 UEV524341 UOR524341 UYN524341 VIJ524341 VSF524341 WCB524341 WLX524341 WVT524341 L589877 JH589877 TD589877 ACZ589877 AMV589877 AWR589877 BGN589877 BQJ589877 CAF589877 CKB589877 CTX589877 DDT589877 DNP589877 DXL589877 EHH589877 ERD589877 FAZ589877 FKV589877 FUR589877 GEN589877 GOJ589877 GYF589877 HIB589877 HRX589877 IBT589877 ILP589877 IVL589877 JFH589877 JPD589877 JYZ589877 KIV589877 KSR589877 LCN589877 LMJ589877 LWF589877 MGB589877 MPX589877 MZT589877 NJP589877 NTL589877 ODH589877 OND589877 OWZ589877 PGV589877 PQR589877 QAN589877 QKJ589877 QUF589877 REB589877 RNX589877 RXT589877 SHP589877 SRL589877 TBH589877 TLD589877 TUZ589877 UEV589877 UOR589877 UYN589877 VIJ589877 VSF589877 WCB589877 WLX589877 WVT589877 L655413 JH655413 TD655413 ACZ655413 AMV655413 AWR655413 BGN655413 BQJ655413 CAF655413 CKB655413 CTX655413 DDT655413 DNP655413 DXL655413 EHH655413 ERD655413 FAZ655413 FKV655413 FUR655413 GEN655413 GOJ655413 GYF655413 HIB655413 HRX655413 IBT655413 ILP655413 IVL655413 JFH655413 JPD655413 JYZ655413 KIV655413 KSR655413 LCN655413 LMJ655413 LWF655413 MGB655413 MPX655413 MZT655413 NJP655413 NTL655413 ODH655413 OND655413 OWZ655413 PGV655413 PQR655413 QAN655413 QKJ655413 QUF655413 REB655413 RNX655413 RXT655413 SHP655413 SRL655413 TBH655413 TLD655413 TUZ655413 UEV655413 UOR655413 UYN655413 VIJ655413 VSF655413 WCB655413 WLX655413 WVT655413 L720949 JH720949 TD720949 ACZ720949 AMV720949 AWR720949 BGN720949 BQJ720949 CAF720949 CKB720949 CTX720949 DDT720949 DNP720949 DXL720949 EHH720949 ERD720949 FAZ720949 FKV720949 FUR720949 GEN720949 GOJ720949 GYF720949 HIB720949 HRX720949 IBT720949 ILP720949 IVL720949 JFH720949 JPD720949 JYZ720949 KIV720949 KSR720949 LCN720949 LMJ720949 LWF720949 MGB720949 MPX720949 MZT720949 NJP720949 NTL720949 ODH720949 OND720949 OWZ720949 PGV720949 PQR720949 QAN720949 QKJ720949 QUF720949 REB720949 RNX720949 RXT720949 SHP720949 SRL720949 TBH720949 TLD720949 TUZ720949 UEV720949 UOR720949 UYN720949 VIJ720949 VSF720949 WCB720949 WLX720949 WVT720949 L786485 JH786485 TD786485 ACZ786485 AMV786485 AWR786485 BGN786485 BQJ786485 CAF786485 CKB786485 CTX786485 DDT786485 DNP786485 DXL786485 EHH786485 ERD786485 FAZ786485 FKV786485 FUR786485 GEN786485 GOJ786485 GYF786485 HIB786485 HRX786485 IBT786485 ILP786485 IVL786485 JFH786485 JPD786485 JYZ786485 KIV786485 KSR786485 LCN786485 LMJ786485 LWF786485 MGB786485 MPX786485 MZT786485 NJP786485 NTL786485 ODH786485 OND786485 OWZ786485 PGV786485 PQR786485 QAN786485 QKJ786485 QUF786485 REB786485 RNX786485 RXT786485 SHP786485 SRL786485 TBH786485 TLD786485 TUZ786485 UEV786485 UOR786485 UYN786485 VIJ786485 VSF786485 WCB786485 WLX786485 WVT786485 L852021 JH852021 TD852021 ACZ852021 AMV852021 AWR852021 BGN852021 BQJ852021 CAF852021 CKB852021 CTX852021 DDT852021 DNP852021 DXL852021 EHH852021 ERD852021 FAZ852021 FKV852021 FUR852021 GEN852021 GOJ852021 GYF852021 HIB852021 HRX852021 IBT852021 ILP852021 IVL852021 JFH852021 JPD852021 JYZ852021 KIV852021 KSR852021 LCN852021 LMJ852021 LWF852021 MGB852021 MPX852021 MZT852021 NJP852021 NTL852021 ODH852021 OND852021 OWZ852021 PGV852021 PQR852021 QAN852021 QKJ852021 QUF852021 REB852021 RNX852021 RXT852021 SHP852021 SRL852021 TBH852021 TLD852021 TUZ852021 UEV852021 UOR852021 UYN852021 VIJ852021 VSF852021 WCB852021 WLX852021 WVT852021 L917557 JH917557 TD917557 ACZ917557 AMV917557 AWR917557 BGN917557 BQJ917557 CAF917557 CKB917557 CTX917557 DDT917557 DNP917557 DXL917557 EHH917557 ERD917557 FAZ917557 FKV917557 FUR917557 GEN917557 GOJ917557 GYF917557 HIB917557 HRX917557 IBT917557 ILP917557 IVL917557 JFH917557 JPD917557 JYZ917557 KIV917557 KSR917557 LCN917557 LMJ917557 LWF917557 MGB917557 MPX917557 MZT917557 NJP917557 NTL917557 ODH917557 OND917557 OWZ917557 PGV917557 PQR917557 QAN917557 QKJ917557 QUF917557 REB917557 RNX917557 RXT917557 SHP917557 SRL917557 TBH917557 TLD917557 TUZ917557 UEV917557 UOR917557 UYN917557 VIJ917557 VSF917557 WCB917557 WLX917557 WVT917557 L983093 JH983093 TD983093 ACZ983093 AMV983093 AWR983093 BGN983093 BQJ983093 CAF983093 CKB983093 CTX983093 DDT983093 DNP983093 DXL983093 EHH983093 ERD983093 FAZ983093 FKV983093 FUR983093 GEN983093 GOJ983093 GYF983093 HIB983093 HRX983093 IBT983093 ILP983093 IVL983093 JFH983093 JPD983093 JYZ983093 KIV983093 KSR983093 LCN983093 LMJ983093 LWF983093 MGB983093 MPX983093 MZT983093 NJP983093 NTL983093 ODH983093 OND983093 OWZ983093 PGV983093 PQR983093 QAN983093 QKJ983093 QUF983093 REB983093 RNX983093 RXT983093 SHP983093 SRL983093 TBH983093 TLD983093 TUZ983093 UEV983093 UOR983093 UYN983093 VIJ983093 VSF983093 WCB983093 WLX983093 WVT983093" xr:uid="{00000000-0002-0000-0400-000002000000}">
      <formula1>$O$67:$O$69</formula1>
    </dataValidation>
    <dataValidation type="list" allowBlank="1" showInputMessage="1" showErrorMessage="1" sqref="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xr:uid="{00000000-0002-0000-0400-000003000000}">
      <formula1>$O$71:$O$74</formula1>
    </dataValidation>
    <dataValidation type="list" allowBlank="1" showInputMessage="1" showErrorMessage="1" sqref="L55:M55 JH55:JI55 TD55:TE55 ACZ55:ADA55 AMV55:AMW55 AWR55:AWS55 BGN55:BGO55 BQJ55:BQK55 CAF55:CAG55 CKB55:CKC55 CTX55:CTY55 DDT55:DDU55 DNP55:DNQ55 DXL55:DXM55 EHH55:EHI55 ERD55:ERE55 FAZ55:FBA55 FKV55:FKW55 FUR55:FUS55 GEN55:GEO55 GOJ55:GOK55 GYF55:GYG55 HIB55:HIC55 HRX55:HRY55 IBT55:IBU55 ILP55:ILQ55 IVL55:IVM55 JFH55:JFI55 JPD55:JPE55 JYZ55:JZA55 KIV55:KIW55 KSR55:KSS55 LCN55:LCO55 LMJ55:LMK55 LWF55:LWG55 MGB55:MGC55 MPX55:MPY55 MZT55:MZU55 NJP55:NJQ55 NTL55:NTM55 ODH55:ODI55 OND55:ONE55 OWZ55:OXA55 PGV55:PGW55 PQR55:PQS55 QAN55:QAO55 QKJ55:QKK55 QUF55:QUG55 REB55:REC55 RNX55:RNY55 RXT55:RXU55 SHP55:SHQ55 SRL55:SRM55 TBH55:TBI55 TLD55:TLE55 TUZ55:TVA55 UEV55:UEW55 UOR55:UOS55 UYN55:UYO55 VIJ55:VIK55 VSF55:VSG55 WCB55:WCC55 WLX55:WLY55 WVT55:WVU55 L65591:M65591 JH65591:JI65591 TD65591:TE65591 ACZ65591:ADA65591 AMV65591:AMW65591 AWR65591:AWS65591 BGN65591:BGO65591 BQJ65591:BQK65591 CAF65591:CAG65591 CKB65591:CKC65591 CTX65591:CTY65591 DDT65591:DDU65591 DNP65591:DNQ65591 DXL65591:DXM65591 EHH65591:EHI65591 ERD65591:ERE65591 FAZ65591:FBA65591 FKV65591:FKW65591 FUR65591:FUS65591 GEN65591:GEO65591 GOJ65591:GOK65591 GYF65591:GYG65591 HIB65591:HIC65591 HRX65591:HRY65591 IBT65591:IBU65591 ILP65591:ILQ65591 IVL65591:IVM65591 JFH65591:JFI65591 JPD65591:JPE65591 JYZ65591:JZA65591 KIV65591:KIW65591 KSR65591:KSS65591 LCN65591:LCO65591 LMJ65591:LMK65591 LWF65591:LWG65591 MGB65591:MGC65591 MPX65591:MPY65591 MZT65591:MZU65591 NJP65591:NJQ65591 NTL65591:NTM65591 ODH65591:ODI65591 OND65591:ONE65591 OWZ65591:OXA65591 PGV65591:PGW65591 PQR65591:PQS65591 QAN65591:QAO65591 QKJ65591:QKK65591 QUF65591:QUG65591 REB65591:REC65591 RNX65591:RNY65591 RXT65591:RXU65591 SHP65591:SHQ65591 SRL65591:SRM65591 TBH65591:TBI65591 TLD65591:TLE65591 TUZ65591:TVA65591 UEV65591:UEW65591 UOR65591:UOS65591 UYN65591:UYO65591 VIJ65591:VIK65591 VSF65591:VSG65591 WCB65591:WCC65591 WLX65591:WLY65591 WVT65591:WVU65591 L131127:M131127 JH131127:JI131127 TD131127:TE131127 ACZ131127:ADA131127 AMV131127:AMW131127 AWR131127:AWS131127 BGN131127:BGO131127 BQJ131127:BQK131127 CAF131127:CAG131127 CKB131127:CKC131127 CTX131127:CTY131127 DDT131127:DDU131127 DNP131127:DNQ131127 DXL131127:DXM131127 EHH131127:EHI131127 ERD131127:ERE131127 FAZ131127:FBA131127 FKV131127:FKW131127 FUR131127:FUS131127 GEN131127:GEO131127 GOJ131127:GOK131127 GYF131127:GYG131127 HIB131127:HIC131127 HRX131127:HRY131127 IBT131127:IBU131127 ILP131127:ILQ131127 IVL131127:IVM131127 JFH131127:JFI131127 JPD131127:JPE131127 JYZ131127:JZA131127 KIV131127:KIW131127 KSR131127:KSS131127 LCN131127:LCO131127 LMJ131127:LMK131127 LWF131127:LWG131127 MGB131127:MGC131127 MPX131127:MPY131127 MZT131127:MZU131127 NJP131127:NJQ131127 NTL131127:NTM131127 ODH131127:ODI131127 OND131127:ONE131127 OWZ131127:OXA131127 PGV131127:PGW131127 PQR131127:PQS131127 QAN131127:QAO131127 QKJ131127:QKK131127 QUF131127:QUG131127 REB131127:REC131127 RNX131127:RNY131127 RXT131127:RXU131127 SHP131127:SHQ131127 SRL131127:SRM131127 TBH131127:TBI131127 TLD131127:TLE131127 TUZ131127:TVA131127 UEV131127:UEW131127 UOR131127:UOS131127 UYN131127:UYO131127 VIJ131127:VIK131127 VSF131127:VSG131127 WCB131127:WCC131127 WLX131127:WLY131127 WVT131127:WVU131127 L196663:M196663 JH196663:JI196663 TD196663:TE196663 ACZ196663:ADA196663 AMV196663:AMW196663 AWR196663:AWS196663 BGN196663:BGO196663 BQJ196663:BQK196663 CAF196663:CAG196663 CKB196663:CKC196663 CTX196663:CTY196663 DDT196663:DDU196663 DNP196663:DNQ196663 DXL196663:DXM196663 EHH196663:EHI196663 ERD196663:ERE196663 FAZ196663:FBA196663 FKV196663:FKW196663 FUR196663:FUS196663 GEN196663:GEO196663 GOJ196663:GOK196663 GYF196663:GYG196663 HIB196663:HIC196663 HRX196663:HRY196663 IBT196663:IBU196663 ILP196663:ILQ196663 IVL196663:IVM196663 JFH196663:JFI196663 JPD196663:JPE196663 JYZ196663:JZA196663 KIV196663:KIW196663 KSR196663:KSS196663 LCN196663:LCO196663 LMJ196663:LMK196663 LWF196663:LWG196663 MGB196663:MGC196663 MPX196663:MPY196663 MZT196663:MZU196663 NJP196663:NJQ196663 NTL196663:NTM196663 ODH196663:ODI196663 OND196663:ONE196663 OWZ196663:OXA196663 PGV196663:PGW196663 PQR196663:PQS196663 QAN196663:QAO196663 QKJ196663:QKK196663 QUF196663:QUG196663 REB196663:REC196663 RNX196663:RNY196663 RXT196663:RXU196663 SHP196663:SHQ196663 SRL196663:SRM196663 TBH196663:TBI196663 TLD196663:TLE196663 TUZ196663:TVA196663 UEV196663:UEW196663 UOR196663:UOS196663 UYN196663:UYO196663 VIJ196663:VIK196663 VSF196663:VSG196663 WCB196663:WCC196663 WLX196663:WLY196663 WVT196663:WVU196663 L262199:M262199 JH262199:JI262199 TD262199:TE262199 ACZ262199:ADA262199 AMV262199:AMW262199 AWR262199:AWS262199 BGN262199:BGO262199 BQJ262199:BQK262199 CAF262199:CAG262199 CKB262199:CKC262199 CTX262199:CTY262199 DDT262199:DDU262199 DNP262199:DNQ262199 DXL262199:DXM262199 EHH262199:EHI262199 ERD262199:ERE262199 FAZ262199:FBA262199 FKV262199:FKW262199 FUR262199:FUS262199 GEN262199:GEO262199 GOJ262199:GOK262199 GYF262199:GYG262199 HIB262199:HIC262199 HRX262199:HRY262199 IBT262199:IBU262199 ILP262199:ILQ262199 IVL262199:IVM262199 JFH262199:JFI262199 JPD262199:JPE262199 JYZ262199:JZA262199 KIV262199:KIW262199 KSR262199:KSS262199 LCN262199:LCO262199 LMJ262199:LMK262199 LWF262199:LWG262199 MGB262199:MGC262199 MPX262199:MPY262199 MZT262199:MZU262199 NJP262199:NJQ262199 NTL262199:NTM262199 ODH262199:ODI262199 OND262199:ONE262199 OWZ262199:OXA262199 PGV262199:PGW262199 PQR262199:PQS262199 QAN262199:QAO262199 QKJ262199:QKK262199 QUF262199:QUG262199 REB262199:REC262199 RNX262199:RNY262199 RXT262199:RXU262199 SHP262199:SHQ262199 SRL262199:SRM262199 TBH262199:TBI262199 TLD262199:TLE262199 TUZ262199:TVA262199 UEV262199:UEW262199 UOR262199:UOS262199 UYN262199:UYO262199 VIJ262199:VIK262199 VSF262199:VSG262199 WCB262199:WCC262199 WLX262199:WLY262199 WVT262199:WVU262199 L327735:M327735 JH327735:JI327735 TD327735:TE327735 ACZ327735:ADA327735 AMV327735:AMW327735 AWR327735:AWS327735 BGN327735:BGO327735 BQJ327735:BQK327735 CAF327735:CAG327735 CKB327735:CKC327735 CTX327735:CTY327735 DDT327735:DDU327735 DNP327735:DNQ327735 DXL327735:DXM327735 EHH327735:EHI327735 ERD327735:ERE327735 FAZ327735:FBA327735 FKV327735:FKW327735 FUR327735:FUS327735 GEN327735:GEO327735 GOJ327735:GOK327735 GYF327735:GYG327735 HIB327735:HIC327735 HRX327735:HRY327735 IBT327735:IBU327735 ILP327735:ILQ327735 IVL327735:IVM327735 JFH327735:JFI327735 JPD327735:JPE327735 JYZ327735:JZA327735 KIV327735:KIW327735 KSR327735:KSS327735 LCN327735:LCO327735 LMJ327735:LMK327735 LWF327735:LWG327735 MGB327735:MGC327735 MPX327735:MPY327735 MZT327735:MZU327735 NJP327735:NJQ327735 NTL327735:NTM327735 ODH327735:ODI327735 OND327735:ONE327735 OWZ327735:OXA327735 PGV327735:PGW327735 PQR327735:PQS327735 QAN327735:QAO327735 QKJ327735:QKK327735 QUF327735:QUG327735 REB327735:REC327735 RNX327735:RNY327735 RXT327735:RXU327735 SHP327735:SHQ327735 SRL327735:SRM327735 TBH327735:TBI327735 TLD327735:TLE327735 TUZ327735:TVA327735 UEV327735:UEW327735 UOR327735:UOS327735 UYN327735:UYO327735 VIJ327735:VIK327735 VSF327735:VSG327735 WCB327735:WCC327735 WLX327735:WLY327735 WVT327735:WVU327735 L393271:M393271 JH393271:JI393271 TD393271:TE393271 ACZ393271:ADA393271 AMV393271:AMW393271 AWR393271:AWS393271 BGN393271:BGO393271 BQJ393271:BQK393271 CAF393271:CAG393271 CKB393271:CKC393271 CTX393271:CTY393271 DDT393271:DDU393271 DNP393271:DNQ393271 DXL393271:DXM393271 EHH393271:EHI393271 ERD393271:ERE393271 FAZ393271:FBA393271 FKV393271:FKW393271 FUR393271:FUS393271 GEN393271:GEO393271 GOJ393271:GOK393271 GYF393271:GYG393271 HIB393271:HIC393271 HRX393271:HRY393271 IBT393271:IBU393271 ILP393271:ILQ393271 IVL393271:IVM393271 JFH393271:JFI393271 JPD393271:JPE393271 JYZ393271:JZA393271 KIV393271:KIW393271 KSR393271:KSS393271 LCN393271:LCO393271 LMJ393271:LMK393271 LWF393271:LWG393271 MGB393271:MGC393271 MPX393271:MPY393271 MZT393271:MZU393271 NJP393271:NJQ393271 NTL393271:NTM393271 ODH393271:ODI393271 OND393271:ONE393271 OWZ393271:OXA393271 PGV393271:PGW393271 PQR393271:PQS393271 QAN393271:QAO393271 QKJ393271:QKK393271 QUF393271:QUG393271 REB393271:REC393271 RNX393271:RNY393271 RXT393271:RXU393271 SHP393271:SHQ393271 SRL393271:SRM393271 TBH393271:TBI393271 TLD393271:TLE393271 TUZ393271:TVA393271 UEV393271:UEW393271 UOR393271:UOS393271 UYN393271:UYO393271 VIJ393271:VIK393271 VSF393271:VSG393271 WCB393271:WCC393271 WLX393271:WLY393271 WVT393271:WVU393271 L458807:M458807 JH458807:JI458807 TD458807:TE458807 ACZ458807:ADA458807 AMV458807:AMW458807 AWR458807:AWS458807 BGN458807:BGO458807 BQJ458807:BQK458807 CAF458807:CAG458807 CKB458807:CKC458807 CTX458807:CTY458807 DDT458807:DDU458807 DNP458807:DNQ458807 DXL458807:DXM458807 EHH458807:EHI458807 ERD458807:ERE458807 FAZ458807:FBA458807 FKV458807:FKW458807 FUR458807:FUS458807 GEN458807:GEO458807 GOJ458807:GOK458807 GYF458807:GYG458807 HIB458807:HIC458807 HRX458807:HRY458807 IBT458807:IBU458807 ILP458807:ILQ458807 IVL458807:IVM458807 JFH458807:JFI458807 JPD458807:JPE458807 JYZ458807:JZA458807 KIV458807:KIW458807 KSR458807:KSS458807 LCN458807:LCO458807 LMJ458807:LMK458807 LWF458807:LWG458807 MGB458807:MGC458807 MPX458807:MPY458807 MZT458807:MZU458807 NJP458807:NJQ458807 NTL458807:NTM458807 ODH458807:ODI458807 OND458807:ONE458807 OWZ458807:OXA458807 PGV458807:PGW458807 PQR458807:PQS458807 QAN458807:QAO458807 QKJ458807:QKK458807 QUF458807:QUG458807 REB458807:REC458807 RNX458807:RNY458807 RXT458807:RXU458807 SHP458807:SHQ458807 SRL458807:SRM458807 TBH458807:TBI458807 TLD458807:TLE458807 TUZ458807:TVA458807 UEV458807:UEW458807 UOR458807:UOS458807 UYN458807:UYO458807 VIJ458807:VIK458807 VSF458807:VSG458807 WCB458807:WCC458807 WLX458807:WLY458807 WVT458807:WVU458807 L524343:M524343 JH524343:JI524343 TD524343:TE524343 ACZ524343:ADA524343 AMV524343:AMW524343 AWR524343:AWS524343 BGN524343:BGO524343 BQJ524343:BQK524343 CAF524343:CAG524343 CKB524343:CKC524343 CTX524343:CTY524343 DDT524343:DDU524343 DNP524343:DNQ524343 DXL524343:DXM524343 EHH524343:EHI524343 ERD524343:ERE524343 FAZ524343:FBA524343 FKV524343:FKW524343 FUR524343:FUS524343 GEN524343:GEO524343 GOJ524343:GOK524343 GYF524343:GYG524343 HIB524343:HIC524343 HRX524343:HRY524343 IBT524343:IBU524343 ILP524343:ILQ524343 IVL524343:IVM524343 JFH524343:JFI524343 JPD524343:JPE524343 JYZ524343:JZA524343 KIV524343:KIW524343 KSR524343:KSS524343 LCN524343:LCO524343 LMJ524343:LMK524343 LWF524343:LWG524343 MGB524343:MGC524343 MPX524343:MPY524343 MZT524343:MZU524343 NJP524343:NJQ524343 NTL524343:NTM524343 ODH524343:ODI524343 OND524343:ONE524343 OWZ524343:OXA524343 PGV524343:PGW524343 PQR524343:PQS524343 QAN524343:QAO524343 QKJ524343:QKK524343 QUF524343:QUG524343 REB524343:REC524343 RNX524343:RNY524343 RXT524343:RXU524343 SHP524343:SHQ524343 SRL524343:SRM524343 TBH524343:TBI524343 TLD524343:TLE524343 TUZ524343:TVA524343 UEV524343:UEW524343 UOR524343:UOS524343 UYN524343:UYO524343 VIJ524343:VIK524343 VSF524343:VSG524343 WCB524343:WCC524343 WLX524343:WLY524343 WVT524343:WVU524343 L589879:M589879 JH589879:JI589879 TD589879:TE589879 ACZ589879:ADA589879 AMV589879:AMW589879 AWR589879:AWS589879 BGN589879:BGO589879 BQJ589879:BQK589879 CAF589879:CAG589879 CKB589879:CKC589879 CTX589879:CTY589879 DDT589879:DDU589879 DNP589879:DNQ589879 DXL589879:DXM589879 EHH589879:EHI589879 ERD589879:ERE589879 FAZ589879:FBA589879 FKV589879:FKW589879 FUR589879:FUS589879 GEN589879:GEO589879 GOJ589879:GOK589879 GYF589879:GYG589879 HIB589879:HIC589879 HRX589879:HRY589879 IBT589879:IBU589879 ILP589879:ILQ589879 IVL589879:IVM589879 JFH589879:JFI589879 JPD589879:JPE589879 JYZ589879:JZA589879 KIV589879:KIW589879 KSR589879:KSS589879 LCN589879:LCO589879 LMJ589879:LMK589879 LWF589879:LWG589879 MGB589879:MGC589879 MPX589879:MPY589879 MZT589879:MZU589879 NJP589879:NJQ589879 NTL589879:NTM589879 ODH589879:ODI589879 OND589879:ONE589879 OWZ589879:OXA589879 PGV589879:PGW589879 PQR589879:PQS589879 QAN589879:QAO589879 QKJ589879:QKK589879 QUF589879:QUG589879 REB589879:REC589879 RNX589879:RNY589879 RXT589879:RXU589879 SHP589879:SHQ589879 SRL589879:SRM589879 TBH589879:TBI589879 TLD589879:TLE589879 TUZ589879:TVA589879 UEV589879:UEW589879 UOR589879:UOS589879 UYN589879:UYO589879 VIJ589879:VIK589879 VSF589879:VSG589879 WCB589879:WCC589879 WLX589879:WLY589879 WVT589879:WVU589879 L655415:M655415 JH655415:JI655415 TD655415:TE655415 ACZ655415:ADA655415 AMV655415:AMW655415 AWR655415:AWS655415 BGN655415:BGO655415 BQJ655415:BQK655415 CAF655415:CAG655415 CKB655415:CKC655415 CTX655415:CTY655415 DDT655415:DDU655415 DNP655415:DNQ655415 DXL655415:DXM655415 EHH655415:EHI655415 ERD655415:ERE655415 FAZ655415:FBA655415 FKV655415:FKW655415 FUR655415:FUS655415 GEN655415:GEO655415 GOJ655415:GOK655415 GYF655415:GYG655415 HIB655415:HIC655415 HRX655415:HRY655415 IBT655415:IBU655415 ILP655415:ILQ655415 IVL655415:IVM655415 JFH655415:JFI655415 JPD655415:JPE655415 JYZ655415:JZA655415 KIV655415:KIW655415 KSR655415:KSS655415 LCN655415:LCO655415 LMJ655415:LMK655415 LWF655415:LWG655415 MGB655415:MGC655415 MPX655415:MPY655415 MZT655415:MZU655415 NJP655415:NJQ655415 NTL655415:NTM655415 ODH655415:ODI655415 OND655415:ONE655415 OWZ655415:OXA655415 PGV655415:PGW655415 PQR655415:PQS655415 QAN655415:QAO655415 QKJ655415:QKK655415 QUF655415:QUG655415 REB655415:REC655415 RNX655415:RNY655415 RXT655415:RXU655415 SHP655415:SHQ655415 SRL655415:SRM655415 TBH655415:TBI655415 TLD655415:TLE655415 TUZ655415:TVA655415 UEV655415:UEW655415 UOR655415:UOS655415 UYN655415:UYO655415 VIJ655415:VIK655415 VSF655415:VSG655415 WCB655415:WCC655415 WLX655415:WLY655415 WVT655415:WVU655415 L720951:M720951 JH720951:JI720951 TD720951:TE720951 ACZ720951:ADA720951 AMV720951:AMW720951 AWR720951:AWS720951 BGN720951:BGO720951 BQJ720951:BQK720951 CAF720951:CAG720951 CKB720951:CKC720951 CTX720951:CTY720951 DDT720951:DDU720951 DNP720951:DNQ720951 DXL720951:DXM720951 EHH720951:EHI720951 ERD720951:ERE720951 FAZ720951:FBA720951 FKV720951:FKW720951 FUR720951:FUS720951 GEN720951:GEO720951 GOJ720951:GOK720951 GYF720951:GYG720951 HIB720951:HIC720951 HRX720951:HRY720951 IBT720951:IBU720951 ILP720951:ILQ720951 IVL720951:IVM720951 JFH720951:JFI720951 JPD720951:JPE720951 JYZ720951:JZA720951 KIV720951:KIW720951 KSR720951:KSS720951 LCN720951:LCO720951 LMJ720951:LMK720951 LWF720951:LWG720951 MGB720951:MGC720951 MPX720951:MPY720951 MZT720951:MZU720951 NJP720951:NJQ720951 NTL720951:NTM720951 ODH720951:ODI720951 OND720951:ONE720951 OWZ720951:OXA720951 PGV720951:PGW720951 PQR720951:PQS720951 QAN720951:QAO720951 QKJ720951:QKK720951 QUF720951:QUG720951 REB720951:REC720951 RNX720951:RNY720951 RXT720951:RXU720951 SHP720951:SHQ720951 SRL720951:SRM720951 TBH720951:TBI720951 TLD720951:TLE720951 TUZ720951:TVA720951 UEV720951:UEW720951 UOR720951:UOS720951 UYN720951:UYO720951 VIJ720951:VIK720951 VSF720951:VSG720951 WCB720951:WCC720951 WLX720951:WLY720951 WVT720951:WVU720951 L786487:M786487 JH786487:JI786487 TD786487:TE786487 ACZ786487:ADA786487 AMV786487:AMW786487 AWR786487:AWS786487 BGN786487:BGO786487 BQJ786487:BQK786487 CAF786487:CAG786487 CKB786487:CKC786487 CTX786487:CTY786487 DDT786487:DDU786487 DNP786487:DNQ786487 DXL786487:DXM786487 EHH786487:EHI786487 ERD786487:ERE786487 FAZ786487:FBA786487 FKV786487:FKW786487 FUR786487:FUS786487 GEN786487:GEO786487 GOJ786487:GOK786487 GYF786487:GYG786487 HIB786487:HIC786487 HRX786487:HRY786487 IBT786487:IBU786487 ILP786487:ILQ786487 IVL786487:IVM786487 JFH786487:JFI786487 JPD786487:JPE786487 JYZ786487:JZA786487 KIV786487:KIW786487 KSR786487:KSS786487 LCN786487:LCO786487 LMJ786487:LMK786487 LWF786487:LWG786487 MGB786487:MGC786487 MPX786487:MPY786487 MZT786487:MZU786487 NJP786487:NJQ786487 NTL786487:NTM786487 ODH786487:ODI786487 OND786487:ONE786487 OWZ786487:OXA786487 PGV786487:PGW786487 PQR786487:PQS786487 QAN786487:QAO786487 QKJ786487:QKK786487 QUF786487:QUG786487 REB786487:REC786487 RNX786487:RNY786487 RXT786487:RXU786487 SHP786487:SHQ786487 SRL786487:SRM786487 TBH786487:TBI786487 TLD786487:TLE786487 TUZ786487:TVA786487 UEV786487:UEW786487 UOR786487:UOS786487 UYN786487:UYO786487 VIJ786487:VIK786487 VSF786487:VSG786487 WCB786487:WCC786487 WLX786487:WLY786487 WVT786487:WVU786487 L852023:M852023 JH852023:JI852023 TD852023:TE852023 ACZ852023:ADA852023 AMV852023:AMW852023 AWR852023:AWS852023 BGN852023:BGO852023 BQJ852023:BQK852023 CAF852023:CAG852023 CKB852023:CKC852023 CTX852023:CTY852023 DDT852023:DDU852023 DNP852023:DNQ852023 DXL852023:DXM852023 EHH852023:EHI852023 ERD852023:ERE852023 FAZ852023:FBA852023 FKV852023:FKW852023 FUR852023:FUS852023 GEN852023:GEO852023 GOJ852023:GOK852023 GYF852023:GYG852023 HIB852023:HIC852023 HRX852023:HRY852023 IBT852023:IBU852023 ILP852023:ILQ852023 IVL852023:IVM852023 JFH852023:JFI852023 JPD852023:JPE852023 JYZ852023:JZA852023 KIV852023:KIW852023 KSR852023:KSS852023 LCN852023:LCO852023 LMJ852023:LMK852023 LWF852023:LWG852023 MGB852023:MGC852023 MPX852023:MPY852023 MZT852023:MZU852023 NJP852023:NJQ852023 NTL852023:NTM852023 ODH852023:ODI852023 OND852023:ONE852023 OWZ852023:OXA852023 PGV852023:PGW852023 PQR852023:PQS852023 QAN852023:QAO852023 QKJ852023:QKK852023 QUF852023:QUG852023 REB852023:REC852023 RNX852023:RNY852023 RXT852023:RXU852023 SHP852023:SHQ852023 SRL852023:SRM852023 TBH852023:TBI852023 TLD852023:TLE852023 TUZ852023:TVA852023 UEV852023:UEW852023 UOR852023:UOS852023 UYN852023:UYO852023 VIJ852023:VIK852023 VSF852023:VSG852023 WCB852023:WCC852023 WLX852023:WLY852023 WVT852023:WVU852023 L917559:M917559 JH917559:JI917559 TD917559:TE917559 ACZ917559:ADA917559 AMV917559:AMW917559 AWR917559:AWS917559 BGN917559:BGO917559 BQJ917559:BQK917559 CAF917559:CAG917559 CKB917559:CKC917559 CTX917559:CTY917559 DDT917559:DDU917559 DNP917559:DNQ917559 DXL917559:DXM917559 EHH917559:EHI917559 ERD917559:ERE917559 FAZ917559:FBA917559 FKV917559:FKW917559 FUR917559:FUS917559 GEN917559:GEO917559 GOJ917559:GOK917559 GYF917559:GYG917559 HIB917559:HIC917559 HRX917559:HRY917559 IBT917559:IBU917559 ILP917559:ILQ917559 IVL917559:IVM917559 JFH917559:JFI917559 JPD917559:JPE917559 JYZ917559:JZA917559 KIV917559:KIW917559 KSR917559:KSS917559 LCN917559:LCO917559 LMJ917559:LMK917559 LWF917559:LWG917559 MGB917559:MGC917559 MPX917559:MPY917559 MZT917559:MZU917559 NJP917559:NJQ917559 NTL917559:NTM917559 ODH917559:ODI917559 OND917559:ONE917559 OWZ917559:OXA917559 PGV917559:PGW917559 PQR917559:PQS917559 QAN917559:QAO917559 QKJ917559:QKK917559 QUF917559:QUG917559 REB917559:REC917559 RNX917559:RNY917559 RXT917559:RXU917559 SHP917559:SHQ917559 SRL917559:SRM917559 TBH917559:TBI917559 TLD917559:TLE917559 TUZ917559:TVA917559 UEV917559:UEW917559 UOR917559:UOS917559 UYN917559:UYO917559 VIJ917559:VIK917559 VSF917559:VSG917559 WCB917559:WCC917559 WLX917559:WLY917559 WVT917559:WVU917559 L983095:M983095 JH983095:JI983095 TD983095:TE983095 ACZ983095:ADA983095 AMV983095:AMW983095 AWR983095:AWS983095 BGN983095:BGO983095 BQJ983095:BQK983095 CAF983095:CAG983095 CKB983095:CKC983095 CTX983095:CTY983095 DDT983095:DDU983095 DNP983095:DNQ983095 DXL983095:DXM983095 EHH983095:EHI983095 ERD983095:ERE983095 FAZ983095:FBA983095 FKV983095:FKW983095 FUR983095:FUS983095 GEN983095:GEO983095 GOJ983095:GOK983095 GYF983095:GYG983095 HIB983095:HIC983095 HRX983095:HRY983095 IBT983095:IBU983095 ILP983095:ILQ983095 IVL983095:IVM983095 JFH983095:JFI983095 JPD983095:JPE983095 JYZ983095:JZA983095 KIV983095:KIW983095 KSR983095:KSS983095 LCN983095:LCO983095 LMJ983095:LMK983095 LWF983095:LWG983095 MGB983095:MGC983095 MPX983095:MPY983095 MZT983095:MZU983095 NJP983095:NJQ983095 NTL983095:NTM983095 ODH983095:ODI983095 OND983095:ONE983095 OWZ983095:OXA983095 PGV983095:PGW983095 PQR983095:PQS983095 QAN983095:QAO983095 QKJ983095:QKK983095 QUF983095:QUG983095 REB983095:REC983095 RNX983095:RNY983095 RXT983095:RXU983095 SHP983095:SHQ983095 SRL983095:SRM983095 TBH983095:TBI983095 TLD983095:TLE983095 TUZ983095:TVA983095 UEV983095:UEW983095 UOR983095:UOS983095 UYN983095:UYO983095 VIJ983095:VIK983095 VSF983095:VSG983095 WCB983095:WCC983095 WLX983095:WLY983095 WVT983095:WVU983095" xr:uid="{00000000-0002-0000-0400-000004000000}">
      <formula1>$O$76:$O$77</formula1>
    </dataValidation>
  </dataValidations>
  <pageMargins left="0.94488188976377963" right="0.47244094488188981" top="0.74803149606299213" bottom="0.74803149606299213" header="0.31496062992125984" footer="0.31496062992125984"/>
  <pageSetup paperSize="9" orientation="landscape" r:id="rId1"/>
  <headerFoot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L30"/>
  <sheetViews>
    <sheetView showZeros="0" view="pageBreakPreview" topLeftCell="B1" zoomScale="130" workbookViewId="0">
      <selection activeCell="G6" sqref="G6"/>
    </sheetView>
  </sheetViews>
  <sheetFormatPr defaultColWidth="9.21875" defaultRowHeight="14.4"/>
  <cols>
    <col min="1" max="1" width="5.44140625" hidden="1" customWidth="1"/>
    <col min="2" max="2" width="5.21875" customWidth="1"/>
    <col min="3" max="3" width="38.77734375" customWidth="1"/>
    <col min="4" max="4" width="8.44140625" customWidth="1"/>
    <col min="5" max="5" width="21.21875" customWidth="1"/>
    <col min="6" max="8" width="18.44140625" customWidth="1"/>
    <col min="9" max="9" width="5.44140625" customWidth="1"/>
    <col min="10" max="10" width="8.44140625" customWidth="1"/>
    <col min="11" max="11" width="5.21875" customWidth="1"/>
  </cols>
  <sheetData>
    <row r="1" spans="1:12" ht="17.399999999999999">
      <c r="A1" s="904" t="s">
        <v>252</v>
      </c>
      <c r="B1" s="904" t="s">
        <v>252</v>
      </c>
      <c r="C1" s="904" t="s">
        <v>252</v>
      </c>
      <c r="D1" s="904" t="s">
        <v>252</v>
      </c>
      <c r="E1" s="904" t="s">
        <v>252</v>
      </c>
      <c r="F1" s="904"/>
      <c r="G1" s="904"/>
      <c r="H1" s="904" t="s">
        <v>252</v>
      </c>
      <c r="J1" s="655" t="b">
        <f>ISERR(E6&amp;E7&amp;E8&amp;E9&amp;E10&amp;E11&amp;E12&amp;E13&amp;E14&amp;E15&amp;E16&amp;E17&amp;E18&amp;E19&amp;E20&amp;E21&amp;E22&amp;E23&amp;E24&amp;E25&amp;E26&amp;E27&amp;E28&amp;E29)</f>
        <v>0</v>
      </c>
    </row>
    <row r="2" spans="1:12" ht="30" customHeight="1">
      <c r="A2" s="905" t="s">
        <v>253</v>
      </c>
      <c r="B2" s="906" t="s">
        <v>254</v>
      </c>
      <c r="C2" s="906" t="s">
        <v>254</v>
      </c>
      <c r="D2" s="906" t="s">
        <v>254</v>
      </c>
      <c r="E2" s="906" t="s">
        <v>254</v>
      </c>
      <c r="F2" s="906"/>
      <c r="G2" s="906"/>
      <c r="H2" s="906" t="s">
        <v>254</v>
      </c>
    </row>
    <row r="3" spans="1:12">
      <c r="A3" s="906" t="s">
        <v>255</v>
      </c>
      <c r="B3" s="906" t="s">
        <v>255</v>
      </c>
      <c r="C3" s="906" t="s">
        <v>255</v>
      </c>
      <c r="D3" s="906" t="s">
        <v>255</v>
      </c>
      <c r="E3" s="906" t="s">
        <v>255</v>
      </c>
      <c r="F3" s="906"/>
      <c r="G3" s="906"/>
      <c r="H3" s="906" t="s">
        <v>255</v>
      </c>
    </row>
    <row r="4" spans="1:12">
      <c r="B4" s="656"/>
      <c r="C4" s="656"/>
      <c r="D4" s="656"/>
      <c r="E4" s="656"/>
      <c r="F4" s="656"/>
      <c r="G4" s="656"/>
      <c r="H4" s="656"/>
      <c r="K4" s="664" t="str">
        <f>IF(J1,"Xem hướng dẫn sửa lỗi #NAME tại: ","")</f>
        <v/>
      </c>
    </row>
    <row r="5" spans="1:12" ht="41.4">
      <c r="B5" s="657" t="s">
        <v>5</v>
      </c>
      <c r="C5" s="657" t="s">
        <v>256</v>
      </c>
      <c r="D5" s="657" t="s">
        <v>257</v>
      </c>
      <c r="E5" s="657" t="s">
        <v>258</v>
      </c>
      <c r="F5" s="657" t="s">
        <v>259</v>
      </c>
      <c r="G5" s="657" t="s">
        <v>260</v>
      </c>
      <c r="H5" s="657" t="s">
        <v>261</v>
      </c>
      <c r="K5" s="665" t="str">
        <f>IF(J1,"https://dutoaneta.vn/huong-dan-xu-ly-loi-name-khi-xuat-excel/","")</f>
        <v/>
      </c>
      <c r="L5" s="666"/>
    </row>
    <row r="6" spans="1:12" ht="15">
      <c r="A6" s="667"/>
      <c r="B6" s="658">
        <v>1</v>
      </c>
      <c r="C6" s="659" t="s">
        <v>262</v>
      </c>
      <c r="D6" s="658" t="s">
        <v>263</v>
      </c>
      <c r="E6" s="658" t="s">
        <v>264</v>
      </c>
      <c r="F6" s="660">
        <f>'4.THKPHM'!F6</f>
        <v>1174673090.9725521</v>
      </c>
      <c r="G6" s="660">
        <f>'4.THKPHM'!F39</f>
        <v>2495591303.9617496</v>
      </c>
      <c r="H6" s="604">
        <f t="shared" ref="H6:H8" si="0">F6+G6</f>
        <v>3670264394.9343014</v>
      </c>
    </row>
    <row r="7" spans="1:12" ht="15">
      <c r="A7" s="642"/>
      <c r="B7" s="593">
        <v>2</v>
      </c>
      <c r="C7" s="661" t="s">
        <v>265</v>
      </c>
      <c r="D7" s="593" t="s">
        <v>266</v>
      </c>
      <c r="E7" s="593" t="s">
        <v>264</v>
      </c>
      <c r="F7" s="604">
        <f>'4.THKPHM'!F8</f>
        <v>351955531.09883362</v>
      </c>
      <c r="G7" s="604">
        <f>'4.THKPHM'!F41</f>
        <v>337237948.03667188</v>
      </c>
      <c r="H7" s="604">
        <f t="shared" si="0"/>
        <v>689193479.13550544</v>
      </c>
    </row>
    <row r="8" spans="1:12" ht="15">
      <c r="A8" s="642"/>
      <c r="B8" s="593">
        <v>3</v>
      </c>
      <c r="C8" s="661" t="s">
        <v>267</v>
      </c>
      <c r="D8" s="593" t="s">
        <v>268</v>
      </c>
      <c r="E8" s="593" t="s">
        <v>264</v>
      </c>
      <c r="F8" s="604">
        <f>'4.THKPHM'!F11</f>
        <v>103593789.61903873</v>
      </c>
      <c r="G8" s="604">
        <f>'4.THKPHM'!F44</f>
        <v>536623893.38281649</v>
      </c>
      <c r="H8" s="604">
        <f t="shared" si="0"/>
        <v>640217683.00185525</v>
      </c>
    </row>
    <row r="9" spans="1:12" ht="15">
      <c r="A9" s="642"/>
      <c r="B9" s="585" t="s">
        <v>12</v>
      </c>
      <c r="C9" s="624" t="s">
        <v>269</v>
      </c>
      <c r="D9" s="585" t="s">
        <v>270</v>
      </c>
      <c r="E9" s="585" t="s">
        <v>271</v>
      </c>
      <c r="F9" s="589">
        <f>F6+F7+F8</f>
        <v>1630222411.6904244</v>
      </c>
      <c r="G9" s="589">
        <f>G6+G7+G8</f>
        <v>3369453145.381238</v>
      </c>
      <c r="H9" s="589">
        <f>H6+H7+H8</f>
        <v>4999675557.0716619</v>
      </c>
    </row>
    <row r="10" spans="1:12" ht="15">
      <c r="A10" s="642"/>
      <c r="B10" s="585" t="s">
        <v>17</v>
      </c>
      <c r="C10" s="624" t="s">
        <v>272</v>
      </c>
      <c r="D10" s="585"/>
      <c r="E10" s="585"/>
      <c r="F10" s="589">
        <v>0</v>
      </c>
      <c r="G10" s="589">
        <v>0</v>
      </c>
      <c r="H10" s="589"/>
    </row>
    <row r="11" spans="1:12" ht="15">
      <c r="A11" s="642"/>
      <c r="B11" s="585">
        <v>1</v>
      </c>
      <c r="C11" s="624" t="s">
        <v>273</v>
      </c>
      <c r="D11" s="585" t="s">
        <v>274</v>
      </c>
      <c r="E11" s="585" t="s">
        <v>275</v>
      </c>
      <c r="F11" s="589">
        <f>F9*'[2]Thông tin'!$E$67</f>
        <v>101073789.52480632</v>
      </c>
      <c r="G11" s="589">
        <f>G9*'[2]Thông tin'!$E$67</f>
        <v>208906095.01363677</v>
      </c>
      <c r="H11" s="589">
        <f>H9*'[2]Thông tin'!$E$67</f>
        <v>309979884.53844303</v>
      </c>
    </row>
    <row r="12" spans="1:12" ht="15">
      <c r="A12" s="642"/>
      <c r="B12" s="585">
        <v>2</v>
      </c>
      <c r="C12" s="624" t="s">
        <v>276</v>
      </c>
      <c r="D12" s="585" t="s">
        <v>277</v>
      </c>
      <c r="E12" s="585" t="s">
        <v>278</v>
      </c>
      <c r="F12" s="589">
        <f>F9*'[2]Thông tin'!$E$60</f>
        <v>35864893.057189338</v>
      </c>
      <c r="G12" s="589">
        <f>G9*'[2]Thông tin'!$E$60</f>
        <v>74127969.198387235</v>
      </c>
      <c r="H12" s="589">
        <f>H9*'[2]Thông tin'!$E$60</f>
        <v>109992862.25557655</v>
      </c>
      <c r="K12" s="664" t="str">
        <f>IF(ISERR(E12),"Xem hướng dẫn sửa lỗi #NAME: ","")</f>
        <v/>
      </c>
      <c r="L12" s="666" t="str">
        <f>IF(ISERR(E12),"https://dutoaneta.vn/huong-dan-xu-ly-loi-name-khi-xuat-excel/","")</f>
        <v/>
      </c>
    </row>
    <row r="13" spans="1:12" ht="27.6">
      <c r="A13" s="642"/>
      <c r="B13" s="585">
        <v>3</v>
      </c>
      <c r="C13" s="624" t="s">
        <v>279</v>
      </c>
      <c r="D13" s="585" t="s">
        <v>142</v>
      </c>
      <c r="E13" s="585" t="s">
        <v>280</v>
      </c>
      <c r="F13" s="589">
        <f>F9*'[2]Thông tin'!$E$65</f>
        <v>32604448.233808491</v>
      </c>
      <c r="G13" s="589">
        <f>G9*'[2]Thông tin'!$E$65</f>
        <v>67389062.907624766</v>
      </c>
      <c r="H13" s="589">
        <f>H9*'[2]Thông tin'!$E$65</f>
        <v>99993511.141433239</v>
      </c>
      <c r="K13" s="666"/>
    </row>
    <row r="14" spans="1:12" ht="15">
      <c r="A14" s="642"/>
      <c r="B14" s="585"/>
      <c r="C14" s="624" t="s">
        <v>281</v>
      </c>
      <c r="D14" s="585" t="s">
        <v>282</v>
      </c>
      <c r="E14" s="585" t="s">
        <v>283</v>
      </c>
      <c r="F14" s="589">
        <f>F11+F12+F13</f>
        <v>169543130.81580415</v>
      </c>
      <c r="G14" s="589">
        <f>G11+G12+G13</f>
        <v>350423127.11964875</v>
      </c>
      <c r="H14" s="589">
        <f>H11+H12+H13</f>
        <v>519966257.93545282</v>
      </c>
    </row>
    <row r="15" spans="1:12" ht="15">
      <c r="A15" s="642"/>
      <c r="B15" s="585" t="s">
        <v>24</v>
      </c>
      <c r="C15" s="624" t="s">
        <v>284</v>
      </c>
      <c r="D15" s="585" t="s">
        <v>285</v>
      </c>
      <c r="E15" s="585" t="s">
        <v>286</v>
      </c>
      <c r="F15" s="589">
        <f>(F9+F14)*'[2]Thông tin'!$E$63</f>
        <v>107985932.55037372</v>
      </c>
      <c r="G15" s="589">
        <f>(G9+G14)*'[2]Thông tin'!$E$63</f>
        <v>223192576.35005322</v>
      </c>
      <c r="H15" s="589">
        <f>(H9+H14)*'[2]Thông tin'!$E$63</f>
        <v>331178508.90042686</v>
      </c>
    </row>
    <row r="16" spans="1:12" ht="15">
      <c r="A16" s="642"/>
      <c r="B16" s="593"/>
      <c r="C16" s="661" t="s">
        <v>287</v>
      </c>
      <c r="D16" s="593" t="s">
        <v>288</v>
      </c>
      <c r="E16" s="593" t="s">
        <v>289</v>
      </c>
      <c r="F16" s="604">
        <f>F9+F14+F15</f>
        <v>1907751475.0566025</v>
      </c>
      <c r="G16" s="604">
        <f>G9+G14+G15</f>
        <v>3943068848.8509402</v>
      </c>
      <c r="H16" s="604">
        <f>H9+H14+H15</f>
        <v>5850820323.9075413</v>
      </c>
    </row>
    <row r="17" spans="1:8" ht="15">
      <c r="A17" s="642"/>
      <c r="B17" s="585" t="s">
        <v>30</v>
      </c>
      <c r="C17" s="624" t="s">
        <v>290</v>
      </c>
      <c r="D17" s="585" t="s">
        <v>291</v>
      </c>
      <c r="E17" s="585" t="s">
        <v>292</v>
      </c>
      <c r="F17" s="589">
        <f>F16*'[2]Thông tin'!$E$61</f>
        <v>190775147.50566027</v>
      </c>
      <c r="G17" s="589">
        <f>G16*'[2]Thông tin'!$E$61</f>
        <v>394306884.88509405</v>
      </c>
      <c r="H17" s="589">
        <f>H16*'[2]Thông tin'!$E$61</f>
        <v>585082032.3907541</v>
      </c>
    </row>
    <row r="18" spans="1:8" ht="15">
      <c r="A18" s="642"/>
      <c r="B18" s="643"/>
      <c r="C18" s="661" t="s">
        <v>293</v>
      </c>
      <c r="D18" s="593" t="s">
        <v>19</v>
      </c>
      <c r="E18" s="593" t="s">
        <v>294</v>
      </c>
      <c r="F18" s="662">
        <f>F16+F17</f>
        <v>2098526622.5622628</v>
      </c>
      <c r="G18" s="662">
        <f>G16+G17</f>
        <v>4337375733.7360344</v>
      </c>
      <c r="H18" s="662">
        <f>H16+H17</f>
        <v>6435902356.298295</v>
      </c>
    </row>
    <row r="19" spans="1:8" ht="15">
      <c r="A19" s="668"/>
      <c r="B19" s="907"/>
      <c r="C19" s="908"/>
      <c r="D19" s="907"/>
      <c r="E19" s="907"/>
      <c r="F19" s="907"/>
      <c r="G19" s="907"/>
      <c r="H19" s="909"/>
    </row>
    <row r="22" spans="1:8">
      <c r="B22" s="903"/>
      <c r="C22" s="903"/>
      <c r="E22" s="903" t="s">
        <v>295</v>
      </c>
      <c r="F22" s="903"/>
      <c r="G22" s="903"/>
      <c r="H22" s="903" t="s">
        <v>295</v>
      </c>
    </row>
    <row r="23" spans="1:8">
      <c r="B23" s="901" t="s">
        <v>296</v>
      </c>
      <c r="C23" s="901" t="s">
        <v>296</v>
      </c>
      <c r="E23" s="901" t="s">
        <v>297</v>
      </c>
      <c r="F23" s="901"/>
      <c r="G23" s="901"/>
      <c r="H23" s="901" t="s">
        <v>297</v>
      </c>
    </row>
    <row r="29" spans="1:8">
      <c r="B29" s="902" t="s">
        <v>298</v>
      </c>
      <c r="C29" s="902" t="s">
        <v>298</v>
      </c>
      <c r="E29" s="902" t="s">
        <v>299</v>
      </c>
      <c r="F29" s="902"/>
      <c r="G29" s="902"/>
      <c r="H29" s="902" t="s">
        <v>299</v>
      </c>
    </row>
    <row r="30" spans="1:8">
      <c r="B30" s="903"/>
      <c r="C30" s="903"/>
      <c r="E30" s="903" t="s">
        <v>300</v>
      </c>
      <c r="F30" s="903"/>
      <c r="G30" s="903"/>
      <c r="H30" s="903" t="s">
        <v>300</v>
      </c>
    </row>
  </sheetData>
  <mergeCells count="12">
    <mergeCell ref="A1:H1"/>
    <mergeCell ref="A2:H2"/>
    <mergeCell ref="A3:H3"/>
    <mergeCell ref="B19:H19"/>
    <mergeCell ref="B22:C22"/>
    <mergeCell ref="E22:H22"/>
    <mergeCell ref="B23:C23"/>
    <mergeCell ref="E23:H23"/>
    <mergeCell ref="B29:C29"/>
    <mergeCell ref="E29:H29"/>
    <mergeCell ref="B30:C30"/>
    <mergeCell ref="E30:H30"/>
  </mergeCells>
  <hyperlinks>
    <hyperlink ref="L12" r:id="rId1" display="=IF(ISERR(E12),&quot;https://dutoaneta.vn/huong-dan-xu-ly-loi-name-khi-xuat-excel/&quot;,&quot;&quot;)" xr:uid="{00000000-0004-0000-0500-000000000000}"/>
    <hyperlink ref="K5" r:id="rId2" display="=IF(J1,&quot;https://dutoaneta.vn/huong-dan-xu-ly-loi-name-khi-xuat-excel/&quot;,&quot;&quot;)" xr:uid="{00000000-0004-0000-0500-000001000000}"/>
  </hyperlinks>
  <pageMargins left="0.75" right="0.75" top="0.79" bottom="0.79" header="0.3" footer="0.3"/>
  <pageSetup paperSize="9" orientation="landscape" useFirstPageNumber="1" r:id="rId3"/>
  <headerFooter>
    <oddFooter>&amp;CTrang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sheetPr>
  <dimension ref="A1:J57"/>
  <sheetViews>
    <sheetView showZeros="0" topLeftCell="B36" workbookViewId="0">
      <selection activeCell="F39" sqref="F39"/>
    </sheetView>
  </sheetViews>
  <sheetFormatPr defaultColWidth="9.21875" defaultRowHeight="14.4"/>
  <cols>
    <col min="1" max="1" width="5.44140625" hidden="1" customWidth="1"/>
    <col min="2" max="2" width="9.44140625" customWidth="1"/>
    <col min="3" max="3" width="47.77734375" customWidth="1"/>
    <col min="4" max="4" width="12.44140625" customWidth="1"/>
    <col min="5" max="5" width="36.44140625" customWidth="1"/>
    <col min="6" max="6" width="19.44140625" customWidth="1"/>
    <col min="7" max="8" width="5.44140625" customWidth="1"/>
    <col min="9" max="9" width="5.21875" customWidth="1"/>
  </cols>
  <sheetData>
    <row r="1" spans="1:10" ht="17.399999999999999">
      <c r="A1" s="904" t="s">
        <v>252</v>
      </c>
      <c r="B1" s="904" t="s">
        <v>252</v>
      </c>
      <c r="C1" s="904" t="s">
        <v>252</v>
      </c>
      <c r="D1" s="904" t="s">
        <v>252</v>
      </c>
      <c r="E1" s="904" t="s">
        <v>252</v>
      </c>
      <c r="F1" s="904" t="s">
        <v>252</v>
      </c>
      <c r="H1" s="655" t="b">
        <f>ISERR(E6&amp;E7&amp;E8&amp;E9&amp;E10&amp;E11&amp;E12&amp;E13&amp;E14&amp;E15&amp;E16&amp;E17&amp;E18&amp;E19&amp;E20&amp;E21&amp;E22&amp;E23&amp;E24&amp;E25&amp;E26&amp;E27&amp;E28&amp;E29)</f>
        <v>0</v>
      </c>
    </row>
    <row r="2" spans="1:10" ht="31.5" customHeight="1">
      <c r="A2" s="905" t="str">
        <f>'3. THKPHM'!A2:H2</f>
        <v>CÔNG TRÌNH: NÂNG CẤP, CẢI TẠO TUYẾN ĐƯỜNG HUYỆN ĐH.93_x000D_
ĐOẠN TỪ ĐƯỜNG ĐH.91 ĐẾN UBND XÃ THIỆN TÂN</v>
      </c>
      <c r="B2" s="906" t="s">
        <v>254</v>
      </c>
      <c r="C2" s="906" t="s">
        <v>254</v>
      </c>
      <c r="D2" s="906" t="s">
        <v>254</v>
      </c>
      <c r="E2" s="906" t="s">
        <v>254</v>
      </c>
      <c r="F2" s="906" t="s">
        <v>254</v>
      </c>
    </row>
    <row r="3" spans="1:10">
      <c r="A3" s="906" t="s">
        <v>301</v>
      </c>
      <c r="B3" s="906" t="s">
        <v>302</v>
      </c>
      <c r="C3" s="906" t="s">
        <v>302</v>
      </c>
      <c r="D3" s="906" t="s">
        <v>302</v>
      </c>
      <c r="E3" s="906" t="s">
        <v>302</v>
      </c>
      <c r="F3" s="906" t="s">
        <v>302</v>
      </c>
    </row>
    <row r="4" spans="1:10">
      <c r="B4" s="656"/>
      <c r="C4" s="656"/>
      <c r="D4" s="656"/>
      <c r="E4" s="656"/>
      <c r="F4" s="656"/>
      <c r="I4" s="664" t="str">
        <f>IF(H1,"Xem hướng dẫn sửa lỗi #NAME tại: ","")</f>
        <v/>
      </c>
    </row>
    <row r="5" spans="1:10" ht="20.25" customHeight="1">
      <c r="B5" s="657" t="s">
        <v>5</v>
      </c>
      <c r="C5" s="657" t="s">
        <v>256</v>
      </c>
      <c r="D5" s="657" t="s">
        <v>257</v>
      </c>
      <c r="E5" s="657" t="s">
        <v>258</v>
      </c>
      <c r="F5" s="657" t="s">
        <v>261</v>
      </c>
      <c r="I5" s="665" t="str">
        <f>IF(H1,"https://dutoaneta.vn/huong-dan-xu-ly-loi-name-khi-xuat-excel/","")</f>
        <v/>
      </c>
      <c r="J5" s="666"/>
    </row>
    <row r="6" spans="1:10">
      <c r="A6" s="578"/>
      <c r="B6" s="658">
        <v>1</v>
      </c>
      <c r="C6" s="659" t="s">
        <v>262</v>
      </c>
      <c r="D6" s="658" t="s">
        <v>263</v>
      </c>
      <c r="E6" s="658" t="s">
        <v>303</v>
      </c>
      <c r="F6" s="660">
        <f>F7</f>
        <v>1174673090.9725521</v>
      </c>
    </row>
    <row r="7" spans="1:10">
      <c r="A7" s="584"/>
      <c r="B7" s="585"/>
      <c r="C7" s="624" t="s">
        <v>304</v>
      </c>
      <c r="D7" s="585" t="s">
        <v>303</v>
      </c>
      <c r="E7" s="585" t="s">
        <v>264</v>
      </c>
      <c r="F7" s="589">
        <f>'5.Tiên lượng'!R45</f>
        <v>1174673090.9725521</v>
      </c>
    </row>
    <row r="8" spans="1:10">
      <c r="A8" s="584"/>
      <c r="B8" s="593">
        <v>2</v>
      </c>
      <c r="C8" s="661" t="s">
        <v>265</v>
      </c>
      <c r="D8" s="593" t="s">
        <v>266</v>
      </c>
      <c r="E8" s="593" t="s">
        <v>305</v>
      </c>
      <c r="F8" s="604">
        <f>F10</f>
        <v>351955531.09883362</v>
      </c>
    </row>
    <row r="9" spans="1:10">
      <c r="A9" s="584"/>
      <c r="B9" s="585"/>
      <c r="C9" s="624" t="s">
        <v>306</v>
      </c>
      <c r="D9" s="585" t="s">
        <v>307</v>
      </c>
      <c r="E9" s="585" t="s">
        <v>264</v>
      </c>
      <c r="F9" s="589">
        <f>'5.Tiên lượng'!T45</f>
        <v>351955531.09883362</v>
      </c>
    </row>
    <row r="10" spans="1:10" hidden="1">
      <c r="A10" s="584"/>
      <c r="B10" s="585"/>
      <c r="C10" s="624" t="s">
        <v>308</v>
      </c>
      <c r="D10" s="585" t="s">
        <v>305</v>
      </c>
      <c r="E10" s="585" t="s">
        <v>307</v>
      </c>
      <c r="F10" s="589">
        <f>F9*'Thông tin'!E69*'Thông tin'!E73*'Thông tin'!E74</f>
        <v>351955531.09883362</v>
      </c>
    </row>
    <row r="11" spans="1:10">
      <c r="A11" s="584"/>
      <c r="B11" s="593">
        <v>3</v>
      </c>
      <c r="C11" s="661" t="s">
        <v>267</v>
      </c>
      <c r="D11" s="593" t="s">
        <v>268</v>
      </c>
      <c r="E11" s="593" t="s">
        <v>309</v>
      </c>
      <c r="F11" s="604">
        <f>F13</f>
        <v>103593789.61903873</v>
      </c>
    </row>
    <row r="12" spans="1:10">
      <c r="A12" s="584"/>
      <c r="B12" s="585"/>
      <c r="C12" s="624" t="s">
        <v>310</v>
      </c>
      <c r="D12" s="585" t="s">
        <v>311</v>
      </c>
      <c r="E12" s="585" t="s">
        <v>264</v>
      </c>
      <c r="F12" s="589">
        <f>'5.Tiên lượng'!U45</f>
        <v>103593789.61903873</v>
      </c>
      <c r="I12" s="664" t="str">
        <f>IF(ISERR(E12),"Xem hướng dẫn sửa lỗi #NAME: ","")</f>
        <v/>
      </c>
      <c r="J12" s="666" t="str">
        <f>IF(ISERR(E12),"https://dutoaneta.vn/huong-dan-xu-ly-loi-name-khi-xuat-excel/","")</f>
        <v/>
      </c>
    </row>
    <row r="13" spans="1:10" hidden="1">
      <c r="A13" s="584"/>
      <c r="B13" s="585"/>
      <c r="C13" s="624" t="s">
        <v>308</v>
      </c>
      <c r="D13" s="585" t="s">
        <v>309</v>
      </c>
      <c r="E13" s="585" t="s">
        <v>311</v>
      </c>
      <c r="F13" s="589">
        <f>F12*'Thông tin'!E62*'Thông tin'!E70*'Thông tin'!E71</f>
        <v>103593789.61903873</v>
      </c>
      <c r="I13" s="666"/>
    </row>
    <row r="14" spans="1:10">
      <c r="A14" s="584"/>
      <c r="B14" s="585" t="s">
        <v>12</v>
      </c>
      <c r="C14" s="624" t="s">
        <v>269</v>
      </c>
      <c r="D14" s="585" t="s">
        <v>270</v>
      </c>
      <c r="E14" s="585" t="s">
        <v>271</v>
      </c>
      <c r="F14" s="589">
        <f>F6+F8+F11</f>
        <v>1630222411.6904244</v>
      </c>
    </row>
    <row r="15" spans="1:10">
      <c r="A15" s="584"/>
      <c r="B15" s="585" t="s">
        <v>17</v>
      </c>
      <c r="C15" s="624" t="s">
        <v>272</v>
      </c>
      <c r="D15" s="585"/>
      <c r="E15" s="585"/>
      <c r="F15" s="589">
        <v>0</v>
      </c>
    </row>
    <row r="16" spans="1:10">
      <c r="A16" s="584"/>
      <c r="B16" s="585">
        <v>1</v>
      </c>
      <c r="C16" s="624" t="s">
        <v>273</v>
      </c>
      <c r="D16" s="585" t="s">
        <v>274</v>
      </c>
      <c r="E16" s="585" t="s">
        <v>275</v>
      </c>
      <c r="F16" s="589">
        <f>F14*'Thông tin'!E67</f>
        <v>101073789.52480632</v>
      </c>
    </row>
    <row r="17" spans="1:6">
      <c r="A17" s="584"/>
      <c r="B17" s="585">
        <v>2</v>
      </c>
      <c r="C17" s="624" t="s">
        <v>276</v>
      </c>
      <c r="D17" s="585" t="s">
        <v>277</v>
      </c>
      <c r="E17" s="585" t="s">
        <v>278</v>
      </c>
      <c r="F17" s="589">
        <f>F14*'Thông tin'!E60</f>
        <v>35864893.057189338</v>
      </c>
    </row>
    <row r="18" spans="1:6" ht="27.6">
      <c r="A18" s="584"/>
      <c r="B18" s="585">
        <v>3</v>
      </c>
      <c r="C18" s="624" t="s">
        <v>279</v>
      </c>
      <c r="D18" s="585" t="s">
        <v>142</v>
      </c>
      <c r="E18" s="585" t="s">
        <v>312</v>
      </c>
      <c r="F18" s="589">
        <f>F14*'Thông tin'!E65</f>
        <v>32604448.233808491</v>
      </c>
    </row>
    <row r="19" spans="1:6">
      <c r="A19" s="584"/>
      <c r="B19" s="585"/>
      <c r="C19" s="624" t="s">
        <v>281</v>
      </c>
      <c r="D19" s="585" t="s">
        <v>282</v>
      </c>
      <c r="E19" s="585" t="s">
        <v>283</v>
      </c>
      <c r="F19" s="589">
        <f>F16+F17+F18</f>
        <v>169543130.81580415</v>
      </c>
    </row>
    <row r="20" spans="1:6">
      <c r="A20" s="584"/>
      <c r="B20" s="585" t="s">
        <v>24</v>
      </c>
      <c r="C20" s="624" t="s">
        <v>284</v>
      </c>
      <c r="D20" s="585" t="s">
        <v>285</v>
      </c>
      <c r="E20" s="585" t="s">
        <v>313</v>
      </c>
      <c r="F20" s="589">
        <f>(F14+F19)*'Thông tin'!E63</f>
        <v>107985932.55037372</v>
      </c>
    </row>
    <row r="21" spans="1:6">
      <c r="A21" s="584"/>
      <c r="B21" s="593"/>
      <c r="C21" s="661" t="s">
        <v>287</v>
      </c>
      <c r="D21" s="593" t="s">
        <v>288</v>
      </c>
      <c r="E21" s="593" t="s">
        <v>289</v>
      </c>
      <c r="F21" s="604">
        <f>F14+F19+F20</f>
        <v>1907751475.0566025</v>
      </c>
    </row>
    <row r="22" spans="1:6">
      <c r="A22" s="584"/>
      <c r="B22" s="585" t="s">
        <v>30</v>
      </c>
      <c r="C22" s="624" t="s">
        <v>290</v>
      </c>
      <c r="D22" s="585" t="s">
        <v>291</v>
      </c>
      <c r="E22" s="585" t="s">
        <v>292</v>
      </c>
      <c r="F22" s="589">
        <f>F21*'Thông tin'!E61</f>
        <v>190775147.50566027</v>
      </c>
    </row>
    <row r="23" spans="1:6">
      <c r="A23" s="584"/>
      <c r="B23" s="585"/>
      <c r="C23" s="661" t="s">
        <v>293</v>
      </c>
      <c r="D23" s="593" t="s">
        <v>19</v>
      </c>
      <c r="E23" s="593" t="s">
        <v>294</v>
      </c>
      <c r="F23" s="662">
        <f>F21+F22</f>
        <v>2098526622.5622628</v>
      </c>
    </row>
    <row r="24" spans="1:6">
      <c r="A24" s="663"/>
      <c r="B24" s="907" t="s">
        <v>314</v>
      </c>
      <c r="C24" s="908"/>
      <c r="D24" s="907"/>
      <c r="E24" s="907"/>
      <c r="F24" s="909"/>
    </row>
    <row r="27" spans="1:6">
      <c r="B27" s="903"/>
      <c r="C27" s="903"/>
      <c r="E27" s="903"/>
      <c r="F27" s="903"/>
    </row>
    <row r="28" spans="1:6">
      <c r="B28" s="901"/>
      <c r="C28" s="901"/>
      <c r="E28" s="901"/>
      <c r="F28" s="901"/>
    </row>
    <row r="34" spans="1:6" ht="17.399999999999999">
      <c r="A34" s="904" t="s">
        <v>252</v>
      </c>
      <c r="B34" s="904" t="s">
        <v>252</v>
      </c>
      <c r="C34" s="904" t="s">
        <v>252</v>
      </c>
      <c r="D34" s="904" t="s">
        <v>252</v>
      </c>
      <c r="E34" s="904" t="s">
        <v>252</v>
      </c>
      <c r="F34" s="904" t="s">
        <v>252</v>
      </c>
    </row>
    <row r="35" spans="1:6">
      <c r="A35" s="905" t="s">
        <v>315</v>
      </c>
      <c r="B35" s="906" t="s">
        <v>254</v>
      </c>
      <c r="C35" s="906" t="s">
        <v>254</v>
      </c>
      <c r="D35" s="906" t="s">
        <v>254</v>
      </c>
      <c r="E35" s="906" t="s">
        <v>254</v>
      </c>
      <c r="F35" s="906" t="s">
        <v>254</v>
      </c>
    </row>
    <row r="36" spans="1:6">
      <c r="A36" s="906" t="s">
        <v>316</v>
      </c>
      <c r="B36" s="906" t="s">
        <v>302</v>
      </c>
      <c r="C36" s="906" t="s">
        <v>302</v>
      </c>
      <c r="D36" s="906" t="s">
        <v>302</v>
      </c>
      <c r="E36" s="906" t="s">
        <v>302</v>
      </c>
      <c r="F36" s="906" t="s">
        <v>302</v>
      </c>
    </row>
    <row r="38" spans="1:6">
      <c r="B38" s="657" t="s">
        <v>5</v>
      </c>
      <c r="C38" s="657" t="s">
        <v>256</v>
      </c>
      <c r="D38" s="657" t="s">
        <v>257</v>
      </c>
      <c r="E38" s="657" t="s">
        <v>258</v>
      </c>
      <c r="F38" s="657" t="s">
        <v>261</v>
      </c>
    </row>
    <row r="39" spans="1:6">
      <c r="B39" s="658">
        <v>1</v>
      </c>
      <c r="C39" s="659" t="s">
        <v>262</v>
      </c>
      <c r="D39" s="658" t="s">
        <v>263</v>
      </c>
      <c r="E39" s="658" t="s">
        <v>303</v>
      </c>
      <c r="F39" s="660">
        <f>F40</f>
        <v>2495591303.9617496</v>
      </c>
    </row>
    <row r="40" spans="1:6">
      <c r="B40" s="585"/>
      <c r="C40" s="624" t="s">
        <v>304</v>
      </c>
      <c r="D40" s="585" t="s">
        <v>303</v>
      </c>
      <c r="E40" s="585" t="s">
        <v>264</v>
      </c>
      <c r="F40" s="589">
        <f>'5.Tiên lượng'!R9+'5.Tiên lượng'!R72+'5.Tiên lượng'!R167+'5.Tiên lượng'!R207</f>
        <v>2495591303.9617496</v>
      </c>
    </row>
    <row r="41" spans="1:6">
      <c r="B41" s="593">
        <v>2</v>
      </c>
      <c r="C41" s="661" t="s">
        <v>265</v>
      </c>
      <c r="D41" s="593" t="s">
        <v>266</v>
      </c>
      <c r="E41" s="593" t="s">
        <v>305</v>
      </c>
      <c r="F41" s="604">
        <f>F43</f>
        <v>337237948.03667188</v>
      </c>
    </row>
    <row r="42" spans="1:6">
      <c r="B42" s="585"/>
      <c r="C42" s="624" t="s">
        <v>306</v>
      </c>
      <c r="D42" s="585" t="s">
        <v>307</v>
      </c>
      <c r="E42" s="585" t="s">
        <v>264</v>
      </c>
      <c r="F42" s="589">
        <f>'5.Tiên lượng'!T9+'5.Tiên lượng'!T72+'5.Tiên lượng'!T167+'5.Tiên lượng'!T207</f>
        <v>337237948.03667188</v>
      </c>
    </row>
    <row r="43" spans="1:6">
      <c r="B43" s="585"/>
      <c r="C43" s="624" t="s">
        <v>308</v>
      </c>
      <c r="D43" s="585" t="s">
        <v>305</v>
      </c>
      <c r="E43" s="585" t="s">
        <v>307</v>
      </c>
      <c r="F43" s="589">
        <f>F42</f>
        <v>337237948.03667188</v>
      </c>
    </row>
    <row r="44" spans="1:6">
      <c r="B44" s="593">
        <v>3</v>
      </c>
      <c r="C44" s="661" t="s">
        <v>267</v>
      </c>
      <c r="D44" s="593" t="s">
        <v>268</v>
      </c>
      <c r="E44" s="593" t="s">
        <v>309</v>
      </c>
      <c r="F44" s="604">
        <f>F46</f>
        <v>536623893.38281649</v>
      </c>
    </row>
    <row r="45" spans="1:6">
      <c r="B45" s="585"/>
      <c r="C45" s="624" t="s">
        <v>310</v>
      </c>
      <c r="D45" s="585" t="s">
        <v>311</v>
      </c>
      <c r="E45" s="585" t="s">
        <v>264</v>
      </c>
      <c r="F45" s="589">
        <f>'5.Tiên lượng'!U207+'5.Tiên lượng'!U167+'5.Tiên lượng'!U72+'5.Tiên lượng'!U9</f>
        <v>536623893.38281649</v>
      </c>
    </row>
    <row r="46" spans="1:6">
      <c r="B46" s="585"/>
      <c r="C46" s="624" t="s">
        <v>308</v>
      </c>
      <c r="D46" s="585" t="s">
        <v>309</v>
      </c>
      <c r="E46" s="585" t="s">
        <v>311</v>
      </c>
      <c r="F46" s="589">
        <f>F45</f>
        <v>536623893.38281649</v>
      </c>
    </row>
    <row r="47" spans="1:6">
      <c r="B47" s="585" t="s">
        <v>12</v>
      </c>
      <c r="C47" s="624" t="s">
        <v>269</v>
      </c>
      <c r="D47" s="585" t="s">
        <v>270</v>
      </c>
      <c r="E47" s="585" t="s">
        <v>271</v>
      </c>
      <c r="F47" s="589">
        <f>F39+F41+F44</f>
        <v>3369453145.381238</v>
      </c>
    </row>
    <row r="48" spans="1:6">
      <c r="B48" s="585" t="s">
        <v>17</v>
      </c>
      <c r="C48" s="624" t="s">
        <v>272</v>
      </c>
      <c r="D48" s="585"/>
      <c r="E48" s="585"/>
      <c r="F48" s="589">
        <v>0</v>
      </c>
    </row>
    <row r="49" spans="2:6">
      <c r="B49" s="585">
        <v>1</v>
      </c>
      <c r="C49" s="624" t="s">
        <v>273</v>
      </c>
      <c r="D49" s="585" t="s">
        <v>274</v>
      </c>
      <c r="E49" s="585" t="s">
        <v>275</v>
      </c>
      <c r="F49" s="589">
        <f>F47*'Thông tin'!E67</f>
        <v>208906095.01363677</v>
      </c>
    </row>
    <row r="50" spans="2:6">
      <c r="B50" s="585">
        <v>2</v>
      </c>
      <c r="C50" s="624" t="s">
        <v>276</v>
      </c>
      <c r="D50" s="585" t="s">
        <v>277</v>
      </c>
      <c r="E50" s="585" t="s">
        <v>278</v>
      </c>
      <c r="F50" s="589">
        <f>F47*'Thông tin'!E60</f>
        <v>74127969.19838725</v>
      </c>
    </row>
    <row r="51" spans="2:6" ht="27.6">
      <c r="B51" s="585">
        <v>3</v>
      </c>
      <c r="C51" s="624" t="s">
        <v>279</v>
      </c>
      <c r="D51" s="585" t="s">
        <v>142</v>
      </c>
      <c r="E51" s="585" t="s">
        <v>312</v>
      </c>
      <c r="F51" s="589">
        <f>F47*'Thông tin'!E65</f>
        <v>67389062.907624766</v>
      </c>
    </row>
    <row r="52" spans="2:6">
      <c r="B52" s="585"/>
      <c r="C52" s="624" t="s">
        <v>281</v>
      </c>
      <c r="D52" s="585" t="s">
        <v>282</v>
      </c>
      <c r="E52" s="585" t="s">
        <v>283</v>
      </c>
      <c r="F52" s="589">
        <f>F49+F50+F51</f>
        <v>350423127.11964881</v>
      </c>
    </row>
    <row r="53" spans="2:6">
      <c r="B53" s="585" t="s">
        <v>24</v>
      </c>
      <c r="C53" s="624" t="s">
        <v>284</v>
      </c>
      <c r="D53" s="585" t="s">
        <v>285</v>
      </c>
      <c r="E53" s="585" t="s">
        <v>313</v>
      </c>
      <c r="F53" s="589">
        <f>(F47+F52)*'Thông tin'!E63</f>
        <v>223192576.35005322</v>
      </c>
    </row>
    <row r="54" spans="2:6">
      <c r="B54" s="593"/>
      <c r="C54" s="661" t="s">
        <v>287</v>
      </c>
      <c r="D54" s="593" t="s">
        <v>288</v>
      </c>
      <c r="E54" s="593" t="s">
        <v>289</v>
      </c>
      <c r="F54" s="604">
        <f>F47+F52+F53</f>
        <v>3943068848.8509402</v>
      </c>
    </row>
    <row r="55" spans="2:6">
      <c r="B55" s="585" t="s">
        <v>30</v>
      </c>
      <c r="C55" s="624" t="s">
        <v>290</v>
      </c>
      <c r="D55" s="585" t="s">
        <v>291</v>
      </c>
      <c r="E55" s="585" t="s">
        <v>292</v>
      </c>
      <c r="F55" s="589">
        <f>F54*'Thông tin'!E61</f>
        <v>394306884.88509405</v>
      </c>
    </row>
    <row r="56" spans="2:6">
      <c r="B56" s="585"/>
      <c r="C56" s="661" t="s">
        <v>293</v>
      </c>
      <c r="D56" s="593" t="s">
        <v>19</v>
      </c>
      <c r="E56" s="593" t="s">
        <v>294</v>
      </c>
      <c r="F56" s="662">
        <f>F54+F55</f>
        <v>4337375733.7360344</v>
      </c>
    </row>
    <row r="57" spans="2:6">
      <c r="B57" s="907" t="s">
        <v>317</v>
      </c>
      <c r="C57" s="908" t="s">
        <v>318</v>
      </c>
      <c r="D57" s="907" t="s">
        <v>318</v>
      </c>
      <c r="E57" s="907" t="s">
        <v>318</v>
      </c>
      <c r="F57" s="909" t="s">
        <v>318</v>
      </c>
    </row>
  </sheetData>
  <mergeCells count="12">
    <mergeCell ref="A1:F1"/>
    <mergeCell ref="A2:F2"/>
    <mergeCell ref="A3:F3"/>
    <mergeCell ref="B24:F24"/>
    <mergeCell ref="B27:C27"/>
    <mergeCell ref="E27:F27"/>
    <mergeCell ref="B57:F57"/>
    <mergeCell ref="B28:C28"/>
    <mergeCell ref="E28:F28"/>
    <mergeCell ref="A34:F34"/>
    <mergeCell ref="A35:F35"/>
    <mergeCell ref="A36:F36"/>
  </mergeCells>
  <hyperlinks>
    <hyperlink ref="J12" r:id="rId1" display="=IF(ISERR(E12),&quot;https://dutoaneta.vn/huong-dan-xu-ly-loi-name-khi-xuat-excel/&quot;,&quot;&quot;)" xr:uid="{00000000-0004-0000-0600-000000000000}"/>
    <hyperlink ref="I5" r:id="rId2" display="=IF(H1,&quot;https://dutoaneta.vn/huong-dan-xu-ly-loi-name-khi-xuat-excel/&quot;,&quot;&quot;)" xr:uid="{00000000-0004-0000-0600-000001000000}"/>
  </hyperlinks>
  <pageMargins left="0.75" right="0.75" top="0.79" bottom="0.79" header="0.3" footer="0.3"/>
  <pageSetup paperSize="9" orientation="landscape" useFirstPageNumber="1"/>
  <headerFooter>
    <oddFooter>&amp;CTrang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D217"/>
  <sheetViews>
    <sheetView showZeros="0" topLeftCell="B96" zoomScale="85" zoomScaleNormal="85" workbookViewId="0">
      <selection activeCell="M111" sqref="M111"/>
    </sheetView>
  </sheetViews>
  <sheetFormatPr defaultColWidth="9.21875" defaultRowHeight="13.8"/>
  <cols>
    <col min="1" max="1" width="3.21875" style="72" hidden="1" customWidth="1"/>
    <col min="2" max="2" width="7" style="72" customWidth="1"/>
    <col min="3" max="3" width="17.44140625" style="72" customWidth="1"/>
    <col min="4" max="4" width="27.77734375" style="72" customWidth="1"/>
    <col min="5" max="5" width="8.77734375" style="72" customWidth="1"/>
    <col min="6" max="6" width="8.44140625" style="72" customWidth="1"/>
    <col min="7" max="7" width="7.21875" style="72" customWidth="1"/>
    <col min="8" max="8" width="4.21875" style="72" customWidth="1"/>
    <col min="9" max="9" width="6" style="72" customWidth="1"/>
    <col min="10" max="10" width="4.44140625" style="72" customWidth="1"/>
    <col min="11" max="11" width="7.77734375" style="72" customWidth="1"/>
    <col min="12" max="12" width="8.21875" style="72" customWidth="1"/>
    <col min="13" max="13" width="13" style="72" customWidth="1"/>
    <col min="14" max="14" width="13.44140625" style="72" customWidth="1"/>
    <col min="15" max="15" width="12.21875" style="72" hidden="1" customWidth="1"/>
    <col min="16" max="16" width="11.44140625" style="72" customWidth="1"/>
    <col min="17" max="17" width="13.44140625" style="72" customWidth="1"/>
    <col min="18" max="18" width="14.44140625" style="72" customWidth="1"/>
    <col min="19" max="19" width="12.21875" style="72" hidden="1" customWidth="1"/>
    <col min="20" max="21" width="12.44140625" style="72" customWidth="1"/>
    <col min="22" max="22" width="9" style="72" hidden="1" customWidth="1"/>
    <col min="23" max="24" width="9.44140625" style="72" hidden="1" customWidth="1"/>
    <col min="25" max="25" width="12.44140625" style="72" hidden="1" customWidth="1"/>
    <col min="26" max="26" width="9.21875" style="72" hidden="1" customWidth="1"/>
    <col min="27" max="27" width="13.21875" style="72" hidden="1" customWidth="1"/>
    <col min="28" max="28" width="14.44140625" style="72" hidden="1" customWidth="1"/>
    <col min="29" max="30" width="9.21875" style="72" hidden="1" customWidth="1"/>
    <col min="31" max="16384" width="9.21875" style="72"/>
  </cols>
  <sheetData>
    <row r="1" spans="1:29" ht="17.399999999999999">
      <c r="B1" s="895" t="s">
        <v>319</v>
      </c>
      <c r="C1" s="895"/>
      <c r="D1" s="895"/>
      <c r="E1" s="895"/>
      <c r="F1" s="895"/>
      <c r="G1" s="895"/>
      <c r="H1" s="895"/>
      <c r="I1" s="895"/>
      <c r="J1" s="895"/>
      <c r="K1" s="895"/>
      <c r="L1" s="895"/>
      <c r="M1" s="895"/>
      <c r="N1" s="895"/>
      <c r="O1" s="895"/>
      <c r="P1" s="895"/>
      <c r="Q1" s="895"/>
      <c r="R1" s="895"/>
      <c r="S1" s="895"/>
      <c r="T1" s="895"/>
      <c r="U1" s="895"/>
      <c r="V1" s="895"/>
      <c r="W1" s="895"/>
      <c r="X1" s="895"/>
    </row>
    <row r="2" spans="1:29" ht="33.75" customHeight="1">
      <c r="B2" s="926" t="s">
        <v>1</v>
      </c>
      <c r="C2" s="927"/>
      <c r="D2" s="927"/>
      <c r="E2" s="927"/>
      <c r="F2" s="927"/>
      <c r="G2" s="927"/>
      <c r="H2" s="927"/>
      <c r="I2" s="927"/>
      <c r="J2" s="927"/>
      <c r="K2" s="927"/>
      <c r="L2" s="927"/>
      <c r="M2" s="927"/>
      <c r="N2" s="927"/>
      <c r="O2" s="927"/>
      <c r="P2" s="927"/>
      <c r="Q2" s="927"/>
      <c r="R2" s="927"/>
      <c r="S2" s="927"/>
      <c r="T2" s="927"/>
      <c r="U2" s="927"/>
      <c r="V2" s="927"/>
      <c r="W2" s="927"/>
      <c r="X2" s="927"/>
    </row>
    <row r="3" spans="1:29" hidden="1">
      <c r="B3" s="613"/>
      <c r="C3" s="613"/>
      <c r="D3" s="613"/>
      <c r="E3" s="613"/>
      <c r="F3" s="613"/>
      <c r="G3" s="613"/>
      <c r="H3" s="613"/>
      <c r="I3" s="613"/>
      <c r="J3" s="613"/>
      <c r="K3" s="613"/>
      <c r="L3" s="613"/>
      <c r="M3" s="613"/>
      <c r="N3" s="613"/>
      <c r="O3" s="613"/>
      <c r="P3" s="613"/>
      <c r="Q3" s="613"/>
      <c r="R3" s="613"/>
      <c r="S3" s="613"/>
      <c r="T3" s="613"/>
      <c r="U3" s="613"/>
      <c r="V3" s="613"/>
      <c r="W3" s="613"/>
      <c r="X3" s="613"/>
    </row>
    <row r="4" spans="1:29" s="612" customFormat="1">
      <c r="A4" s="914"/>
      <c r="B4" s="915" t="s">
        <v>5</v>
      </c>
      <c r="C4" s="915" t="s">
        <v>320</v>
      </c>
      <c r="D4" s="915" t="s">
        <v>321</v>
      </c>
      <c r="E4" s="915" t="s">
        <v>322</v>
      </c>
      <c r="F4" s="915" t="s">
        <v>323</v>
      </c>
      <c r="G4" s="915"/>
      <c r="H4" s="915"/>
      <c r="I4" s="915"/>
      <c r="J4" s="915"/>
      <c r="K4" s="915"/>
      <c r="L4" s="916" t="s">
        <v>324</v>
      </c>
      <c r="M4" s="916" t="s">
        <v>325</v>
      </c>
      <c r="N4" s="915" t="s">
        <v>326</v>
      </c>
      <c r="O4" s="915"/>
      <c r="P4" s="915"/>
      <c r="Q4" s="915"/>
      <c r="R4" s="915" t="s">
        <v>261</v>
      </c>
      <c r="S4" s="915"/>
      <c r="T4" s="915"/>
      <c r="U4" s="915"/>
      <c r="V4" s="915" t="s">
        <v>327</v>
      </c>
      <c r="W4" s="915"/>
      <c r="X4" s="915"/>
    </row>
    <row r="5" spans="1:29" s="612" customFormat="1">
      <c r="A5" s="914"/>
      <c r="B5" s="915"/>
      <c r="C5" s="915"/>
      <c r="D5" s="915"/>
      <c r="E5" s="915"/>
      <c r="F5" s="429" t="s">
        <v>328</v>
      </c>
      <c r="G5" s="429" t="s">
        <v>329</v>
      </c>
      <c r="H5" s="429" t="s">
        <v>330</v>
      </c>
      <c r="I5" s="429" t="s">
        <v>331</v>
      </c>
      <c r="J5" s="429" t="s">
        <v>332</v>
      </c>
      <c r="K5" s="429" t="s">
        <v>333</v>
      </c>
      <c r="L5" s="917"/>
      <c r="M5" s="917"/>
      <c r="N5" s="429" t="s">
        <v>262</v>
      </c>
      <c r="O5" s="429" t="s">
        <v>334</v>
      </c>
      <c r="P5" s="429" t="s">
        <v>265</v>
      </c>
      <c r="Q5" s="429" t="s">
        <v>335</v>
      </c>
      <c r="R5" s="429" t="s">
        <v>262</v>
      </c>
      <c r="S5" s="429" t="s">
        <v>334</v>
      </c>
      <c r="T5" s="429" t="s">
        <v>265</v>
      </c>
      <c r="U5" s="429" t="s">
        <v>335</v>
      </c>
      <c r="V5" s="429" t="s">
        <v>263</v>
      </c>
      <c r="W5" s="429" t="s">
        <v>266</v>
      </c>
      <c r="X5" s="429" t="s">
        <v>268</v>
      </c>
    </row>
    <row r="6" spans="1:29">
      <c r="A6" s="64"/>
      <c r="B6" s="64"/>
      <c r="C6" s="64" t="s">
        <v>336</v>
      </c>
      <c r="D6" s="918" t="s">
        <v>337</v>
      </c>
      <c r="E6" s="918"/>
      <c r="F6" s="918"/>
      <c r="G6" s="918"/>
      <c r="H6" s="918"/>
      <c r="I6" s="918"/>
      <c r="J6" s="918"/>
      <c r="K6" s="918"/>
      <c r="L6" s="918"/>
      <c r="M6" s="918"/>
      <c r="N6" s="918"/>
      <c r="O6" s="918"/>
      <c r="P6" s="918"/>
      <c r="Q6" s="918"/>
      <c r="R6" s="64"/>
      <c r="S6" s="64"/>
      <c r="T6" s="64"/>
      <c r="U6" s="64"/>
      <c r="V6" s="64"/>
      <c r="W6" s="64"/>
      <c r="X6" s="64"/>
      <c r="Y6" s="635"/>
      <c r="Z6" s="635"/>
      <c r="AA6" s="635"/>
    </row>
    <row r="7" spans="1:29">
      <c r="A7" s="614"/>
      <c r="B7" s="615"/>
      <c r="C7" s="614"/>
      <c r="D7" s="616"/>
      <c r="E7" s="615"/>
      <c r="F7" s="614"/>
      <c r="G7" s="617">
        <v>0</v>
      </c>
      <c r="H7" s="617">
        <v>0</v>
      </c>
      <c r="I7" s="617">
        <v>0</v>
      </c>
      <c r="J7" s="617">
        <v>0</v>
      </c>
      <c r="K7" s="617">
        <v>0</v>
      </c>
      <c r="L7" s="617">
        <f>0</f>
        <v>0</v>
      </c>
      <c r="M7" s="617"/>
      <c r="N7" s="626"/>
      <c r="O7" s="626"/>
      <c r="P7" s="626"/>
      <c r="Q7" s="626"/>
      <c r="R7" s="626"/>
      <c r="S7" s="626"/>
      <c r="T7" s="626"/>
      <c r="U7" s="626"/>
      <c r="V7" s="614">
        <v>1</v>
      </c>
      <c r="W7" s="614">
        <v>1</v>
      </c>
      <c r="X7" s="614">
        <v>1</v>
      </c>
      <c r="Y7" s="635"/>
      <c r="Z7" s="635"/>
      <c r="AA7" s="635"/>
    </row>
    <row r="8" spans="1:29">
      <c r="A8" s="618"/>
      <c r="B8" s="619"/>
      <c r="C8" s="618"/>
      <c r="D8" s="919" t="s">
        <v>338</v>
      </c>
      <c r="E8" s="920"/>
      <c r="F8" s="921"/>
      <c r="G8" s="922"/>
      <c r="H8" s="922"/>
      <c r="I8" s="922"/>
      <c r="J8" s="922"/>
      <c r="K8" s="922"/>
      <c r="L8" s="923"/>
      <c r="M8" s="923"/>
      <c r="N8" s="924"/>
      <c r="O8" s="924"/>
      <c r="P8" s="924"/>
      <c r="Q8" s="924"/>
      <c r="R8" s="631">
        <f>SUMIF(B9:B71,"&gt;0",R9:R71)</f>
        <v>1472196838.9680462</v>
      </c>
      <c r="S8" s="631">
        <f>SUMIF(B9:B71,"&gt;0",S9:S71)</f>
        <v>0</v>
      </c>
      <c r="T8" s="631">
        <f>SUMIF(B9:B71,"&gt;0",T9:T71)</f>
        <v>371593230.01164353</v>
      </c>
      <c r="U8" s="631">
        <f>SUMIF(B9:B71,"&gt;0",U9:U71)</f>
        <v>146615718.33196399</v>
      </c>
      <c r="V8" s="618"/>
      <c r="W8" s="618"/>
      <c r="X8" s="618"/>
      <c r="Y8" s="636">
        <f>SUM(R12:R44)</f>
        <v>297523747.99549419</v>
      </c>
      <c r="Z8" s="636">
        <f t="shared" ref="Z8:AA8" si="0">SUM(S12:S44)</f>
        <v>0</v>
      </c>
      <c r="AA8" s="636">
        <f t="shared" si="0"/>
        <v>19637698.912809912</v>
      </c>
      <c r="AB8" s="636">
        <f t="shared" ref="AB8" si="1">SUM(U12:U44)</f>
        <v>43021928.71292527</v>
      </c>
      <c r="AC8" s="636">
        <f t="shared" ref="AC8" si="2">SUM(V12:V44)</f>
        <v>30</v>
      </c>
    </row>
    <row r="9" spans="1:29">
      <c r="A9" s="620"/>
      <c r="B9" s="621"/>
      <c r="C9" s="620" t="s">
        <v>339</v>
      </c>
      <c r="D9" s="620" t="s">
        <v>340</v>
      </c>
      <c r="E9" s="621"/>
      <c r="F9" s="620"/>
      <c r="G9" s="622"/>
      <c r="H9" s="622"/>
      <c r="I9" s="622"/>
      <c r="J9" s="622"/>
      <c r="K9" s="627"/>
      <c r="L9" s="143"/>
      <c r="M9" s="143"/>
      <c r="N9" s="628"/>
      <c r="O9" s="628"/>
      <c r="P9" s="628"/>
      <c r="Q9" s="628"/>
      <c r="R9" s="632">
        <f>SUM(R12:R44)</f>
        <v>297523747.99549419</v>
      </c>
      <c r="S9" s="632">
        <f t="shared" ref="S9:U9" si="3">SUM(S12:S44)</f>
        <v>0</v>
      </c>
      <c r="T9" s="632">
        <f t="shared" si="3"/>
        <v>19637698.912809912</v>
      </c>
      <c r="U9" s="632">
        <f t="shared" si="3"/>
        <v>43021928.71292527</v>
      </c>
      <c r="V9" s="633"/>
      <c r="W9" s="633"/>
      <c r="X9" s="633"/>
      <c r="Y9" s="636">
        <f>SUM(R46:R71)</f>
        <v>1174673090.9725521</v>
      </c>
      <c r="Z9" s="636">
        <f t="shared" ref="Z9:AB9" si="4">SUM(S46:S71)</f>
        <v>0</v>
      </c>
      <c r="AA9" s="636">
        <f t="shared" si="4"/>
        <v>351955531.09883362</v>
      </c>
      <c r="AB9" s="636">
        <f t="shared" si="4"/>
        <v>103593789.61903873</v>
      </c>
    </row>
    <row r="10" spans="1:29">
      <c r="A10" s="620"/>
      <c r="B10" s="621"/>
      <c r="C10" s="620" t="s">
        <v>339</v>
      </c>
      <c r="D10" s="620" t="s">
        <v>341</v>
      </c>
      <c r="E10" s="621"/>
      <c r="F10" s="620"/>
      <c r="G10" s="622"/>
      <c r="H10" s="622"/>
      <c r="I10" s="622"/>
      <c r="J10" s="622"/>
      <c r="K10" s="627"/>
      <c r="L10" s="143"/>
      <c r="M10" s="143"/>
      <c r="N10" s="628"/>
      <c r="O10" s="628"/>
      <c r="P10" s="628"/>
      <c r="Q10" s="628"/>
      <c r="R10" s="628"/>
      <c r="S10" s="628"/>
      <c r="T10" s="628"/>
      <c r="U10" s="628"/>
      <c r="V10" s="633"/>
      <c r="W10" s="633"/>
      <c r="X10" s="633"/>
      <c r="Y10" s="636">
        <f>R72</f>
        <v>2119327961.037097</v>
      </c>
      <c r="Z10" s="636">
        <f t="shared" ref="Z10:AB10" si="5">S72</f>
        <v>0</v>
      </c>
      <c r="AA10" s="636">
        <f t="shared" si="5"/>
        <v>270251586.988428</v>
      </c>
      <c r="AB10" s="636">
        <f t="shared" si="5"/>
        <v>467004058.5492571</v>
      </c>
    </row>
    <row r="11" spans="1:29">
      <c r="A11" s="126"/>
      <c r="B11" s="127"/>
      <c r="C11" s="126"/>
      <c r="D11" s="623" t="s">
        <v>342</v>
      </c>
      <c r="E11" s="127"/>
      <c r="F11" s="126"/>
      <c r="G11" s="143">
        <v>0</v>
      </c>
      <c r="H11" s="143">
        <v>0</v>
      </c>
      <c r="I11" s="143">
        <v>0</v>
      </c>
      <c r="J11" s="143">
        <v>0</v>
      </c>
      <c r="K11" s="143">
        <v>0</v>
      </c>
      <c r="L11" s="143">
        <f t="shared" ref="L11:L12" si="6">0</f>
        <v>0</v>
      </c>
      <c r="M11" s="143"/>
      <c r="N11" s="629"/>
      <c r="O11" s="629"/>
      <c r="P11" s="629"/>
      <c r="Q11" s="629"/>
      <c r="R11" s="629"/>
      <c r="S11" s="629"/>
      <c r="T11" s="629"/>
      <c r="U11" s="629"/>
      <c r="V11" s="126">
        <v>1</v>
      </c>
      <c r="W11" s="126">
        <v>1</v>
      </c>
      <c r="X11" s="126">
        <v>1</v>
      </c>
      <c r="Y11" s="635"/>
      <c r="Z11" s="635"/>
      <c r="AA11" s="635"/>
    </row>
    <row r="12" spans="1:29" ht="27.6">
      <c r="A12" s="584"/>
      <c r="B12" s="585">
        <v>1</v>
      </c>
      <c r="C12" s="584" t="s">
        <v>343</v>
      </c>
      <c r="D12" s="624" t="s">
        <v>344</v>
      </c>
      <c r="E12" s="585" t="s">
        <v>345</v>
      </c>
      <c r="F12" s="584"/>
      <c r="G12" s="603">
        <v>0</v>
      </c>
      <c r="H12" s="603">
        <v>0</v>
      </c>
      <c r="I12" s="603">
        <v>0</v>
      </c>
      <c r="J12" s="603">
        <v>0</v>
      </c>
      <c r="K12" s="603">
        <v>0</v>
      </c>
      <c r="L12" s="143">
        <f t="shared" si="6"/>
        <v>0</v>
      </c>
      <c r="M12" s="143">
        <f>SUM(L13:L13)</f>
        <v>0.95230000000000004</v>
      </c>
      <c r="N12" s="630">
        <f>'6.Chiết tính'!J9</f>
        <v>0</v>
      </c>
      <c r="O12" s="630">
        <f>0*V12</f>
        <v>0</v>
      </c>
      <c r="P12" s="630">
        <f>'6.Chiết tính'!J10</f>
        <v>775015.02</v>
      </c>
      <c r="Q12" s="630">
        <f>'6.Chiết tính'!J12</f>
        <v>986868.38985857158</v>
      </c>
      <c r="R12" s="630">
        <f>M12*N12</f>
        <v>0</v>
      </c>
      <c r="S12" s="630">
        <f>M12*O12</f>
        <v>0</v>
      </c>
      <c r="T12" s="630">
        <f>M12*P12</f>
        <v>738046.80354600004</v>
      </c>
      <c r="U12" s="630">
        <f>M12*Q12</f>
        <v>939794.76766231772</v>
      </c>
      <c r="V12" s="584">
        <v>1</v>
      </c>
      <c r="W12" s="584">
        <v>1</v>
      </c>
      <c r="X12" s="584">
        <v>1</v>
      </c>
      <c r="Y12" s="636">
        <f>Y8+Y10</f>
        <v>2416851709.0325913</v>
      </c>
      <c r="Z12" s="636">
        <f t="shared" ref="Z12:AB12" si="7">Z8+Z10</f>
        <v>0</v>
      </c>
      <c r="AA12" s="636">
        <f t="shared" si="7"/>
        <v>289889285.90123791</v>
      </c>
      <c r="AB12" s="636">
        <f t="shared" si="7"/>
        <v>510025987.26218235</v>
      </c>
    </row>
    <row r="13" spans="1:29">
      <c r="A13" s="126"/>
      <c r="B13" s="127"/>
      <c r="C13" s="126"/>
      <c r="D13" s="129" t="s">
        <v>346</v>
      </c>
      <c r="E13" s="127"/>
      <c r="F13" s="126"/>
      <c r="G13" s="143">
        <v>0</v>
      </c>
      <c r="H13" s="143">
        <v>0</v>
      </c>
      <c r="I13" s="143">
        <v>0</v>
      </c>
      <c r="J13" s="143">
        <v>0</v>
      </c>
      <c r="K13" s="143">
        <v>0</v>
      </c>
      <c r="L13" s="143">
        <f>95.23/100</f>
        <v>0.95230000000000004</v>
      </c>
      <c r="M13" s="143"/>
      <c r="N13" s="629"/>
      <c r="O13" s="629"/>
      <c r="P13" s="629"/>
      <c r="Q13" s="629"/>
      <c r="R13" s="629"/>
      <c r="S13" s="629"/>
      <c r="T13" s="629"/>
      <c r="U13" s="629"/>
      <c r="V13" s="126">
        <v>1</v>
      </c>
      <c r="W13" s="126">
        <v>1</v>
      </c>
      <c r="X13" s="126">
        <v>1</v>
      </c>
      <c r="Y13" s="635"/>
      <c r="Z13" s="635"/>
      <c r="AA13" s="635"/>
    </row>
    <row r="14" spans="1:29" ht="27.6">
      <c r="A14" s="584"/>
      <c r="B14" s="585">
        <v>2</v>
      </c>
      <c r="C14" s="584" t="s">
        <v>347</v>
      </c>
      <c r="D14" s="624" t="s">
        <v>348</v>
      </c>
      <c r="E14" s="585" t="s">
        <v>345</v>
      </c>
      <c r="F14" s="584"/>
      <c r="G14" s="603">
        <v>0</v>
      </c>
      <c r="H14" s="603">
        <v>0</v>
      </c>
      <c r="I14" s="603">
        <v>0</v>
      </c>
      <c r="J14" s="603">
        <v>0</v>
      </c>
      <c r="K14" s="603">
        <v>0</v>
      </c>
      <c r="L14" s="143">
        <f>0</f>
        <v>0</v>
      </c>
      <c r="M14" s="143">
        <f>SUM(L15:L15)</f>
        <v>2.7511999999999999</v>
      </c>
      <c r="N14" s="630">
        <f>'6.Chiết tính'!J25</f>
        <v>0</v>
      </c>
      <c r="O14" s="630">
        <f>0*V14</f>
        <v>0</v>
      </c>
      <c r="P14" s="630">
        <f>'6.Chiết tính'!J26</f>
        <v>928189.08</v>
      </c>
      <c r="Q14" s="630">
        <f>'6.Chiết tính'!J28</f>
        <v>1160321.1908914286</v>
      </c>
      <c r="R14" s="630">
        <f>M14*N14</f>
        <v>0</v>
      </c>
      <c r="S14" s="630">
        <f>M14*O14</f>
        <v>0</v>
      </c>
      <c r="T14" s="630">
        <f>M14*P14</f>
        <v>2553633.7968959999</v>
      </c>
      <c r="U14" s="630">
        <f>M14*Q14</f>
        <v>3192275.660380498</v>
      </c>
      <c r="V14" s="584">
        <v>1</v>
      </c>
      <c r="W14" s="584">
        <v>1</v>
      </c>
      <c r="X14" s="584">
        <v>1</v>
      </c>
      <c r="Y14" s="635"/>
      <c r="Z14" s="635"/>
      <c r="AA14" s="635"/>
      <c r="AB14" s="637" t="s">
        <v>349</v>
      </c>
    </row>
    <row r="15" spans="1:29">
      <c r="A15" s="126"/>
      <c r="B15" s="127"/>
      <c r="C15" s="126"/>
      <c r="D15" s="129" t="s">
        <v>350</v>
      </c>
      <c r="E15" s="127"/>
      <c r="F15" s="126"/>
      <c r="G15" s="143">
        <v>0</v>
      </c>
      <c r="H15" s="143">
        <v>0</v>
      </c>
      <c r="I15" s="143">
        <v>0</v>
      </c>
      <c r="J15" s="143">
        <v>0</v>
      </c>
      <c r="K15" s="143">
        <v>0</v>
      </c>
      <c r="L15" s="143">
        <f>275.12/100</f>
        <v>2.7511999999999999</v>
      </c>
      <c r="M15" s="143"/>
      <c r="N15" s="629"/>
      <c r="O15" s="629"/>
      <c r="P15" s="629"/>
      <c r="Q15" s="629"/>
      <c r="R15" s="629"/>
      <c r="S15" s="629"/>
      <c r="T15" s="629"/>
      <c r="U15" s="629"/>
      <c r="V15" s="126">
        <v>1</v>
      </c>
      <c r="W15" s="126">
        <v>1</v>
      </c>
      <c r="X15" s="126">
        <v>1</v>
      </c>
      <c r="Y15" s="635"/>
      <c r="Z15" s="635"/>
      <c r="AA15" s="635"/>
    </row>
    <row r="16" spans="1:29" ht="27.6">
      <c r="A16" s="584"/>
      <c r="B16" s="585">
        <v>3</v>
      </c>
      <c r="C16" s="584" t="s">
        <v>351</v>
      </c>
      <c r="D16" s="624" t="s">
        <v>352</v>
      </c>
      <c r="E16" s="585" t="s">
        <v>345</v>
      </c>
      <c r="F16" s="584"/>
      <c r="G16" s="603">
        <v>0</v>
      </c>
      <c r="H16" s="603">
        <v>0</v>
      </c>
      <c r="I16" s="603">
        <v>0</v>
      </c>
      <c r="J16" s="603">
        <v>0</v>
      </c>
      <c r="K16" s="603">
        <v>0</v>
      </c>
      <c r="L16" s="143">
        <f>0</f>
        <v>0</v>
      </c>
      <c r="M16" s="143">
        <f>SUM(L17:L17)</f>
        <v>1.4199999999999999E-2</v>
      </c>
      <c r="N16" s="630">
        <f>'6.Chiết tính'!J41</f>
        <v>0</v>
      </c>
      <c r="O16" s="630">
        <f>0*V16</f>
        <v>0</v>
      </c>
      <c r="P16" s="630">
        <f>'6.Chiết tính'!J42</f>
        <v>1099652.5799999998</v>
      </c>
      <c r="Q16" s="630">
        <f>'6.Chiết tính'!J44</f>
        <v>1588223.1451285714</v>
      </c>
      <c r="R16" s="630">
        <f>M16*N16</f>
        <v>0</v>
      </c>
      <c r="S16" s="630">
        <f>M16*O16</f>
        <v>0</v>
      </c>
      <c r="T16" s="630">
        <f>M16*P16</f>
        <v>15615.066635999996</v>
      </c>
      <c r="U16" s="630">
        <f>M16*Q16</f>
        <v>22552.768660825714</v>
      </c>
      <c r="V16" s="584">
        <v>1</v>
      </c>
      <c r="W16" s="584">
        <v>1</v>
      </c>
      <c r="X16" s="584">
        <v>1</v>
      </c>
      <c r="Y16" s="635"/>
      <c r="Z16" s="635"/>
      <c r="AA16" s="635"/>
      <c r="AB16" s="637" t="s">
        <v>349</v>
      </c>
    </row>
    <row r="17" spans="1:28">
      <c r="A17" s="126"/>
      <c r="B17" s="127"/>
      <c r="C17" s="126"/>
      <c r="D17" s="129" t="s">
        <v>353</v>
      </c>
      <c r="E17" s="127"/>
      <c r="F17" s="126"/>
      <c r="G17" s="143">
        <v>0</v>
      </c>
      <c r="H17" s="143">
        <v>0</v>
      </c>
      <c r="I17" s="143">
        <v>0</v>
      </c>
      <c r="J17" s="143">
        <v>0</v>
      </c>
      <c r="K17" s="143">
        <v>0</v>
      </c>
      <c r="L17" s="143">
        <f>1.42/100</f>
        <v>1.4199999999999999E-2</v>
      </c>
      <c r="M17" s="143"/>
      <c r="N17" s="629"/>
      <c r="O17" s="629"/>
      <c r="P17" s="629"/>
      <c r="Q17" s="629"/>
      <c r="R17" s="629"/>
      <c r="S17" s="629"/>
      <c r="T17" s="629"/>
      <c r="U17" s="629"/>
      <c r="V17" s="126">
        <v>1</v>
      </c>
      <c r="W17" s="126">
        <v>1</v>
      </c>
      <c r="X17" s="126">
        <v>1</v>
      </c>
      <c r="Y17" s="635"/>
      <c r="Z17" s="635"/>
      <c r="AA17" s="635"/>
    </row>
    <row r="18" spans="1:28" ht="27.6">
      <c r="A18" s="584"/>
      <c r="B18" s="585">
        <v>4</v>
      </c>
      <c r="C18" s="584" t="s">
        <v>354</v>
      </c>
      <c r="D18" s="624" t="s">
        <v>355</v>
      </c>
      <c r="E18" s="585" t="s">
        <v>356</v>
      </c>
      <c r="F18" s="584"/>
      <c r="G18" s="603">
        <v>0</v>
      </c>
      <c r="H18" s="603">
        <v>0</v>
      </c>
      <c r="I18" s="603">
        <v>0</v>
      </c>
      <c r="J18" s="603">
        <v>0</v>
      </c>
      <c r="K18" s="603">
        <v>0</v>
      </c>
      <c r="L18" s="143">
        <f t="shared" ref="L18:L21" si="8">0</f>
        <v>0</v>
      </c>
      <c r="M18" s="143">
        <v>88.07</v>
      </c>
      <c r="N18" s="630">
        <f>'6.Chiết tính'!J57</f>
        <v>0</v>
      </c>
      <c r="O18" s="630">
        <f t="shared" ref="O18:O19" si="9">0*V18</f>
        <v>0</v>
      </c>
      <c r="P18" s="630">
        <f>'6.Chiết tính'!J58</f>
        <v>10107.5</v>
      </c>
      <c r="Q18" s="630">
        <f>'6.Chiết tính'!J60</f>
        <v>48751.108796099994</v>
      </c>
      <c r="R18" s="630">
        <f t="shared" ref="R18:R19" si="10">M18*N18</f>
        <v>0</v>
      </c>
      <c r="S18" s="630">
        <f t="shared" ref="S18:S19" si="11">M18*O18</f>
        <v>0</v>
      </c>
      <c r="T18" s="630">
        <f t="shared" ref="T18:T19" si="12">M18*P18</f>
        <v>890167.52499999991</v>
      </c>
      <c r="U18" s="630">
        <f t="shared" ref="U18:U19" si="13">M18*Q18</f>
        <v>4293510.1516725263</v>
      </c>
      <c r="V18" s="584">
        <v>1</v>
      </c>
      <c r="W18" s="584">
        <v>1</v>
      </c>
      <c r="X18" s="584">
        <v>1</v>
      </c>
      <c r="Y18" s="635"/>
      <c r="Z18" s="635"/>
      <c r="AA18" s="635"/>
      <c r="AB18" s="637" t="s">
        <v>357</v>
      </c>
    </row>
    <row r="19" spans="1:28" ht="27.6">
      <c r="A19" s="584"/>
      <c r="B19" s="585">
        <v>5</v>
      </c>
      <c r="C19" s="584" t="s">
        <v>358</v>
      </c>
      <c r="D19" s="624" t="s">
        <v>359</v>
      </c>
      <c r="E19" s="585" t="s">
        <v>356</v>
      </c>
      <c r="F19" s="584"/>
      <c r="G19" s="603">
        <v>0</v>
      </c>
      <c r="H19" s="603">
        <v>0</v>
      </c>
      <c r="I19" s="603">
        <v>0</v>
      </c>
      <c r="J19" s="603">
        <v>0</v>
      </c>
      <c r="K19" s="603">
        <v>0</v>
      </c>
      <c r="L19" s="143">
        <f t="shared" si="8"/>
        <v>0</v>
      </c>
      <c r="M19" s="143">
        <v>0</v>
      </c>
      <c r="N19" s="630">
        <f>'6.Chiết tính'!J73</f>
        <v>0</v>
      </c>
      <c r="O19" s="630">
        <f t="shared" si="9"/>
        <v>0</v>
      </c>
      <c r="P19" s="630">
        <f>'6.Chiết tính'!J74</f>
        <v>10996.525799999999</v>
      </c>
      <c r="Q19" s="630">
        <f>'6.Chiết tính'!J76</f>
        <v>15882.231451285714</v>
      </c>
      <c r="R19" s="630">
        <f t="shared" si="10"/>
        <v>0</v>
      </c>
      <c r="S19" s="630">
        <f t="shared" si="11"/>
        <v>0</v>
      </c>
      <c r="T19" s="630">
        <f t="shared" si="12"/>
        <v>0</v>
      </c>
      <c r="U19" s="630">
        <f t="shared" si="13"/>
        <v>0</v>
      </c>
      <c r="V19" s="584">
        <v>1</v>
      </c>
      <c r="W19" s="584">
        <v>1</v>
      </c>
      <c r="X19" s="584">
        <v>1</v>
      </c>
      <c r="Y19" s="635"/>
      <c r="Z19" s="635"/>
      <c r="AA19" s="635"/>
      <c r="AB19" s="637" t="s">
        <v>349</v>
      </c>
    </row>
    <row r="20" spans="1:28">
      <c r="A20" s="126"/>
      <c r="B20" s="127"/>
      <c r="C20" s="126"/>
      <c r="D20" s="623" t="s">
        <v>360</v>
      </c>
      <c r="E20" s="127"/>
      <c r="F20" s="126"/>
      <c r="G20" s="143">
        <v>0</v>
      </c>
      <c r="H20" s="143">
        <v>0</v>
      </c>
      <c r="I20" s="143">
        <v>0</v>
      </c>
      <c r="J20" s="143">
        <v>0</v>
      </c>
      <c r="K20" s="143">
        <v>0</v>
      </c>
      <c r="L20" s="143">
        <f t="shared" si="8"/>
        <v>0</v>
      </c>
      <c r="M20" s="143"/>
      <c r="N20" s="629"/>
      <c r="O20" s="629"/>
      <c r="P20" s="629"/>
      <c r="Q20" s="629"/>
      <c r="R20" s="629"/>
      <c r="S20" s="629"/>
      <c r="T20" s="629"/>
      <c r="U20" s="629"/>
      <c r="V20" s="126">
        <v>1</v>
      </c>
      <c r="W20" s="126">
        <v>1</v>
      </c>
      <c r="X20" s="126">
        <v>1</v>
      </c>
      <c r="Y20" s="635"/>
      <c r="Z20" s="635"/>
      <c r="AA20" s="635"/>
    </row>
    <row r="21" spans="1:28" ht="30">
      <c r="A21" s="584"/>
      <c r="B21" s="585">
        <v>6</v>
      </c>
      <c r="C21" s="584" t="s">
        <v>361</v>
      </c>
      <c r="D21" s="625" t="s">
        <v>362</v>
      </c>
      <c r="E21" s="585" t="s">
        <v>345</v>
      </c>
      <c r="F21" s="584"/>
      <c r="G21" s="603">
        <v>0</v>
      </c>
      <c r="H21" s="603">
        <v>0</v>
      </c>
      <c r="I21" s="603">
        <v>0</v>
      </c>
      <c r="J21" s="603">
        <v>0</v>
      </c>
      <c r="K21" s="603">
        <v>0</v>
      </c>
      <c r="L21" s="143">
        <f t="shared" si="8"/>
        <v>0</v>
      </c>
      <c r="M21" s="143">
        <f>SUM(L22:L22)</f>
        <v>7.2900000000000006E-2</v>
      </c>
      <c r="N21" s="630">
        <f>'6.Chiết tính'!J89</f>
        <v>0</v>
      </c>
      <c r="O21" s="630">
        <f>0*V21</f>
        <v>0</v>
      </c>
      <c r="P21" s="630">
        <f>'6.Chiết tính'!J90</f>
        <v>775015.02</v>
      </c>
      <c r="Q21" s="630">
        <f>'6.Chiết tính'!J92</f>
        <v>923192.63670857158</v>
      </c>
      <c r="R21" s="630">
        <f>M21*N21</f>
        <v>0</v>
      </c>
      <c r="S21" s="630">
        <f>M21*O21</f>
        <v>0</v>
      </c>
      <c r="T21" s="630">
        <f>M21*P21</f>
        <v>56498.594958000009</v>
      </c>
      <c r="U21" s="630">
        <f>M21*Q21</f>
        <v>67300.743216054878</v>
      </c>
      <c r="V21" s="584">
        <v>1</v>
      </c>
      <c r="W21" s="584">
        <v>1</v>
      </c>
      <c r="X21" s="584">
        <v>1</v>
      </c>
      <c r="Y21" s="635"/>
      <c r="Z21" s="635"/>
      <c r="AA21" s="635"/>
      <c r="AB21" s="637" t="s">
        <v>349</v>
      </c>
    </row>
    <row r="22" spans="1:28">
      <c r="A22" s="126"/>
      <c r="B22" s="127"/>
      <c r="C22" s="126"/>
      <c r="D22" s="129" t="s">
        <v>363</v>
      </c>
      <c r="E22" s="127"/>
      <c r="F22" s="126"/>
      <c r="G22" s="143">
        <v>0</v>
      </c>
      <c r="H22" s="143">
        <v>0</v>
      </c>
      <c r="I22" s="143">
        <v>0</v>
      </c>
      <c r="J22" s="143">
        <v>0</v>
      </c>
      <c r="K22" s="143">
        <v>0</v>
      </c>
      <c r="L22" s="143">
        <f>7.29/100</f>
        <v>7.2900000000000006E-2</v>
      </c>
      <c r="M22" s="143"/>
      <c r="N22" s="629"/>
      <c r="O22" s="629"/>
      <c r="P22" s="629"/>
      <c r="Q22" s="629"/>
      <c r="R22" s="629"/>
      <c r="S22" s="629"/>
      <c r="T22" s="629"/>
      <c r="U22" s="629"/>
      <c r="V22" s="126">
        <v>1</v>
      </c>
      <c r="W22" s="126">
        <v>1</v>
      </c>
      <c r="X22" s="126">
        <v>1</v>
      </c>
      <c r="Y22" s="635"/>
      <c r="Z22" s="635"/>
      <c r="AA22" s="635"/>
    </row>
    <row r="23" spans="1:28" ht="30">
      <c r="A23" s="584"/>
      <c r="B23" s="585">
        <v>7</v>
      </c>
      <c r="C23" s="584" t="s">
        <v>364</v>
      </c>
      <c r="D23" s="625" t="s">
        <v>365</v>
      </c>
      <c r="E23" s="585" t="s">
        <v>345</v>
      </c>
      <c r="F23" s="584"/>
      <c r="G23" s="603">
        <v>0</v>
      </c>
      <c r="H23" s="603">
        <v>0</v>
      </c>
      <c r="I23" s="603">
        <v>0</v>
      </c>
      <c r="J23" s="603">
        <v>0</v>
      </c>
      <c r="K23" s="603">
        <v>0</v>
      </c>
      <c r="L23" s="143">
        <f>0</f>
        <v>0</v>
      </c>
      <c r="M23" s="143">
        <f>SUM(L24:L24)</f>
        <v>0.88529999999999998</v>
      </c>
      <c r="N23" s="630">
        <f>'6.Chiết tính'!J105</f>
        <v>0</v>
      </c>
      <c r="O23" s="630">
        <f>0*V23</f>
        <v>0</v>
      </c>
      <c r="P23" s="630">
        <f>'6.Chiết tính'!J106</f>
        <v>928189.08</v>
      </c>
      <c r="Q23" s="630">
        <f>'6.Chiết tính'!J108</f>
        <v>1087548.901577143</v>
      </c>
      <c r="R23" s="630">
        <f>M23*N23</f>
        <v>0</v>
      </c>
      <c r="S23" s="630">
        <f>M23*O23</f>
        <v>0</v>
      </c>
      <c r="T23" s="630">
        <f>M23*P23</f>
        <v>821725.79252399993</v>
      </c>
      <c r="U23" s="630">
        <f>M23*Q23</f>
        <v>962807.04256624472</v>
      </c>
      <c r="V23" s="584">
        <v>1</v>
      </c>
      <c r="W23" s="584">
        <v>1</v>
      </c>
      <c r="X23" s="584">
        <v>1</v>
      </c>
      <c r="Y23" s="635"/>
      <c r="Z23" s="635"/>
      <c r="AA23" s="635"/>
      <c r="AB23" s="637" t="s">
        <v>349</v>
      </c>
    </row>
    <row r="24" spans="1:28">
      <c r="A24" s="126"/>
      <c r="B24" s="127"/>
      <c r="C24" s="126"/>
      <c r="D24" s="129" t="s">
        <v>366</v>
      </c>
      <c r="E24" s="127"/>
      <c r="F24" s="126"/>
      <c r="G24" s="143">
        <v>0</v>
      </c>
      <c r="H24" s="143">
        <v>0</v>
      </c>
      <c r="I24" s="143">
        <v>0</v>
      </c>
      <c r="J24" s="143">
        <v>0</v>
      </c>
      <c r="K24" s="143">
        <v>0</v>
      </c>
      <c r="L24" s="143">
        <f>88.53/100</f>
        <v>0.88529999999999998</v>
      </c>
      <c r="M24" s="143"/>
      <c r="N24" s="629"/>
      <c r="O24" s="629"/>
      <c r="P24" s="629"/>
      <c r="Q24" s="629"/>
      <c r="R24" s="629"/>
      <c r="S24" s="629"/>
      <c r="T24" s="629"/>
      <c r="U24" s="629"/>
      <c r="V24" s="126">
        <v>1</v>
      </c>
      <c r="W24" s="126">
        <v>1</v>
      </c>
      <c r="X24" s="126">
        <v>1</v>
      </c>
      <c r="Y24" s="635"/>
      <c r="Z24" s="635"/>
      <c r="AA24" s="635"/>
    </row>
    <row r="25" spans="1:28" ht="30">
      <c r="A25" s="584"/>
      <c r="B25" s="585">
        <v>8</v>
      </c>
      <c r="C25" s="584" t="s">
        <v>367</v>
      </c>
      <c r="D25" s="625" t="s">
        <v>368</v>
      </c>
      <c r="E25" s="585" t="s">
        <v>345</v>
      </c>
      <c r="F25" s="584"/>
      <c r="G25" s="603">
        <v>0</v>
      </c>
      <c r="H25" s="603">
        <v>0</v>
      </c>
      <c r="I25" s="603">
        <v>0</v>
      </c>
      <c r="J25" s="603">
        <v>0</v>
      </c>
      <c r="K25" s="603">
        <v>0</v>
      </c>
      <c r="L25" s="143">
        <f>0</f>
        <v>0</v>
      </c>
      <c r="M25" s="143">
        <f>SUM(L26:L26)</f>
        <v>1.1000000000000001E-3</v>
      </c>
      <c r="N25" s="630">
        <f>'6.Chiết tính'!J121</f>
        <v>0</v>
      </c>
      <c r="O25" s="630">
        <f>0*V25</f>
        <v>0</v>
      </c>
      <c r="P25" s="630">
        <f>'6.Chiết tính'!J122</f>
        <v>1099652.5799999998</v>
      </c>
      <c r="Q25" s="630">
        <f>'6.Chiết tính'!J124</f>
        <v>1482703.3256228571</v>
      </c>
      <c r="R25" s="630">
        <f>M25*N25</f>
        <v>0</v>
      </c>
      <c r="S25" s="630">
        <f>M25*O25</f>
        <v>0</v>
      </c>
      <c r="T25" s="630">
        <f>M25*P25</f>
        <v>1209.6178379999999</v>
      </c>
      <c r="U25" s="630">
        <f>M25*Q25</f>
        <v>1630.973658185143</v>
      </c>
      <c r="V25" s="584">
        <v>1</v>
      </c>
      <c r="W25" s="584">
        <v>1</v>
      </c>
      <c r="X25" s="584">
        <v>1</v>
      </c>
      <c r="Y25" s="635"/>
      <c r="Z25" s="635"/>
      <c r="AA25" s="635"/>
      <c r="AB25" s="637" t="s">
        <v>349</v>
      </c>
    </row>
    <row r="26" spans="1:28">
      <c r="A26" s="126"/>
      <c r="B26" s="127"/>
      <c r="C26" s="126"/>
      <c r="D26" s="129" t="s">
        <v>369</v>
      </c>
      <c r="E26" s="127"/>
      <c r="F26" s="126"/>
      <c r="G26" s="143">
        <v>0</v>
      </c>
      <c r="H26" s="143">
        <v>0</v>
      </c>
      <c r="I26" s="143">
        <v>0</v>
      </c>
      <c r="J26" s="143">
        <v>0</v>
      </c>
      <c r="K26" s="143">
        <v>0</v>
      </c>
      <c r="L26" s="143">
        <f>0.11/100</f>
        <v>1.1000000000000001E-3</v>
      </c>
      <c r="M26" s="143"/>
      <c r="N26" s="629"/>
      <c r="O26" s="629"/>
      <c r="P26" s="629"/>
      <c r="Q26" s="629"/>
      <c r="R26" s="629"/>
      <c r="S26" s="629"/>
      <c r="T26" s="629"/>
      <c r="U26" s="629"/>
      <c r="V26" s="126">
        <v>1</v>
      </c>
      <c r="W26" s="126">
        <v>1</v>
      </c>
      <c r="X26" s="126">
        <v>1</v>
      </c>
      <c r="Y26" s="635"/>
      <c r="Z26" s="635"/>
      <c r="AA26" s="635"/>
    </row>
    <row r="27" spans="1:28" ht="27.6">
      <c r="A27" s="584"/>
      <c r="B27" s="585">
        <v>9</v>
      </c>
      <c r="C27" s="584" t="s">
        <v>354</v>
      </c>
      <c r="D27" s="624" t="s">
        <v>370</v>
      </c>
      <c r="E27" s="585" t="s">
        <v>356</v>
      </c>
      <c r="F27" s="584"/>
      <c r="G27" s="603">
        <v>0</v>
      </c>
      <c r="H27" s="603">
        <v>0</v>
      </c>
      <c r="I27" s="603">
        <v>0</v>
      </c>
      <c r="J27" s="603">
        <v>0</v>
      </c>
      <c r="K27" s="603">
        <v>0</v>
      </c>
      <c r="L27" s="143">
        <f t="shared" ref="L27:L29" si="14">0</f>
        <v>0</v>
      </c>
      <c r="M27" s="143">
        <v>13.28</v>
      </c>
      <c r="N27" s="630">
        <f>'6.Chiết tính'!J137</f>
        <v>0</v>
      </c>
      <c r="O27" s="630">
        <f>0*V27</f>
        <v>0</v>
      </c>
      <c r="P27" s="630">
        <f>'6.Chiết tính'!J138</f>
        <v>10107.5</v>
      </c>
      <c r="Q27" s="630">
        <f>'6.Chiết tính'!J140</f>
        <v>48114.351264599994</v>
      </c>
      <c r="R27" s="630">
        <f>M27*N27</f>
        <v>0</v>
      </c>
      <c r="S27" s="630">
        <f>M27*O27</f>
        <v>0</v>
      </c>
      <c r="T27" s="630">
        <f>M27*P27</f>
        <v>134227.6</v>
      </c>
      <c r="U27" s="630">
        <f>M27*Q27</f>
        <v>638958.58479388792</v>
      </c>
      <c r="V27" s="584">
        <v>1</v>
      </c>
      <c r="W27" s="584">
        <v>1</v>
      </c>
      <c r="X27" s="584">
        <v>1</v>
      </c>
      <c r="Y27" s="635"/>
      <c r="Z27" s="635"/>
      <c r="AA27" s="635"/>
      <c r="AB27" s="637" t="s">
        <v>357</v>
      </c>
    </row>
    <row r="28" spans="1:28">
      <c r="A28" s="126"/>
      <c r="B28" s="127"/>
      <c r="C28" s="126"/>
      <c r="D28" s="623" t="s">
        <v>371</v>
      </c>
      <c r="E28" s="127"/>
      <c r="F28" s="126"/>
      <c r="G28" s="143">
        <v>0</v>
      </c>
      <c r="H28" s="143">
        <v>0</v>
      </c>
      <c r="I28" s="143">
        <v>0</v>
      </c>
      <c r="J28" s="143">
        <v>0</v>
      </c>
      <c r="K28" s="143">
        <v>0</v>
      </c>
      <c r="L28" s="143">
        <f t="shared" si="14"/>
        <v>0</v>
      </c>
      <c r="M28" s="143"/>
      <c r="N28" s="629"/>
      <c r="O28" s="629"/>
      <c r="P28" s="629"/>
      <c r="Q28" s="629"/>
      <c r="R28" s="629"/>
      <c r="S28" s="629"/>
      <c r="T28" s="629"/>
      <c r="U28" s="629"/>
      <c r="V28" s="126">
        <v>1</v>
      </c>
      <c r="W28" s="126">
        <v>1</v>
      </c>
      <c r="X28" s="126">
        <v>1</v>
      </c>
      <c r="Y28" s="635"/>
      <c r="Z28" s="635"/>
      <c r="AA28" s="635"/>
    </row>
    <row r="29" spans="1:28" ht="27.6">
      <c r="A29" s="584"/>
      <c r="B29" s="585">
        <v>10</v>
      </c>
      <c r="C29" s="584" t="s">
        <v>361</v>
      </c>
      <c r="D29" s="624" t="s">
        <v>372</v>
      </c>
      <c r="E29" s="585" t="s">
        <v>345</v>
      </c>
      <c r="F29" s="584"/>
      <c r="G29" s="603">
        <v>0</v>
      </c>
      <c r="H29" s="603">
        <v>0</v>
      </c>
      <c r="I29" s="603">
        <v>0</v>
      </c>
      <c r="J29" s="603">
        <v>0</v>
      </c>
      <c r="K29" s="603">
        <v>0</v>
      </c>
      <c r="L29" s="143">
        <f t="shared" si="14"/>
        <v>0</v>
      </c>
      <c r="M29" s="143">
        <f>SUM(L30:L30)</f>
        <v>0.86290000000000011</v>
      </c>
      <c r="N29" s="630">
        <f>'6.Chiết tính'!J152</f>
        <v>0</v>
      </c>
      <c r="O29" s="630">
        <f>0*V29</f>
        <v>0</v>
      </c>
      <c r="P29" s="630">
        <f>'6.Chiết tính'!J153</f>
        <v>775015.02</v>
      </c>
      <c r="Q29" s="630">
        <f>'6.Chiết tính'!J155</f>
        <v>923192.63670857158</v>
      </c>
      <c r="R29" s="630">
        <f>M29*N29</f>
        <v>0</v>
      </c>
      <c r="S29" s="630">
        <f>M29*O29</f>
        <v>0</v>
      </c>
      <c r="T29" s="630">
        <f>M29*P29</f>
        <v>668760.46075800015</v>
      </c>
      <c r="U29" s="630">
        <f>M29*Q29</f>
        <v>796622.92621582653</v>
      </c>
      <c r="V29" s="584">
        <v>1</v>
      </c>
      <c r="W29" s="584">
        <v>1</v>
      </c>
      <c r="X29" s="584">
        <v>1</v>
      </c>
      <c r="Y29" s="635"/>
      <c r="Z29" s="635"/>
      <c r="AA29" s="635"/>
      <c r="AB29" s="637" t="s">
        <v>349</v>
      </c>
    </row>
    <row r="30" spans="1:28">
      <c r="A30" s="126"/>
      <c r="B30" s="127"/>
      <c r="C30" s="126"/>
      <c r="D30" s="129" t="s">
        <v>373</v>
      </c>
      <c r="E30" s="127"/>
      <c r="F30" s="126"/>
      <c r="G30" s="143">
        <v>0</v>
      </c>
      <c r="H30" s="143">
        <v>0</v>
      </c>
      <c r="I30" s="143">
        <v>0</v>
      </c>
      <c r="J30" s="143">
        <v>0</v>
      </c>
      <c r="K30" s="143">
        <v>0</v>
      </c>
      <c r="L30" s="143">
        <f>86.29/100</f>
        <v>0.86290000000000011</v>
      </c>
      <c r="M30" s="143"/>
      <c r="N30" s="629"/>
      <c r="O30" s="629"/>
      <c r="P30" s="629"/>
      <c r="Q30" s="629"/>
      <c r="R30" s="629"/>
      <c r="S30" s="629"/>
      <c r="T30" s="629"/>
      <c r="U30" s="629"/>
      <c r="V30" s="126">
        <v>1</v>
      </c>
      <c r="W30" s="126">
        <v>1</v>
      </c>
      <c r="X30" s="126">
        <v>1</v>
      </c>
      <c r="Y30" s="635"/>
      <c r="Z30" s="635"/>
      <c r="AA30" s="635"/>
    </row>
    <row r="31" spans="1:28" ht="27.6">
      <c r="A31" s="584"/>
      <c r="B31" s="585">
        <v>11</v>
      </c>
      <c r="C31" s="584" t="s">
        <v>343</v>
      </c>
      <c r="D31" s="624" t="s">
        <v>374</v>
      </c>
      <c r="E31" s="585" t="s">
        <v>345</v>
      </c>
      <c r="F31" s="584"/>
      <c r="G31" s="603">
        <v>0</v>
      </c>
      <c r="H31" s="603">
        <v>0</v>
      </c>
      <c r="I31" s="603">
        <v>0</v>
      </c>
      <c r="J31" s="603">
        <v>0</v>
      </c>
      <c r="K31" s="603">
        <v>0</v>
      </c>
      <c r="L31" s="143">
        <f>0</f>
        <v>0</v>
      </c>
      <c r="M31" s="143">
        <f>SUM(L32:L32)</f>
        <v>3.8552999999999997</v>
      </c>
      <c r="N31" s="630">
        <f>'6.Chiết tính'!J168</f>
        <v>0</v>
      </c>
      <c r="O31" s="630">
        <f>0*V31</f>
        <v>0</v>
      </c>
      <c r="P31" s="630">
        <f>'6.Chiết tính'!J169</f>
        <v>775015.02</v>
      </c>
      <c r="Q31" s="630">
        <f>'6.Chiết tính'!J171</f>
        <v>986868.38985857158</v>
      </c>
      <c r="R31" s="630">
        <f>M31*N31</f>
        <v>0</v>
      </c>
      <c r="S31" s="630">
        <f>M31*O31</f>
        <v>0</v>
      </c>
      <c r="T31" s="630">
        <f>M31*P31</f>
        <v>2987915.4066059999</v>
      </c>
      <c r="U31" s="630">
        <f>M31*Q31</f>
        <v>3804673.7034217506</v>
      </c>
      <c r="V31" s="584">
        <v>1</v>
      </c>
      <c r="W31" s="584">
        <v>1</v>
      </c>
      <c r="X31" s="584">
        <v>1</v>
      </c>
      <c r="Y31" s="635"/>
      <c r="Z31" s="635"/>
      <c r="AA31" s="635"/>
      <c r="AB31" s="637" t="s">
        <v>349</v>
      </c>
    </row>
    <row r="32" spans="1:28">
      <c r="A32" s="126"/>
      <c r="B32" s="127"/>
      <c r="C32" s="126"/>
      <c r="D32" s="129" t="s">
        <v>375</v>
      </c>
      <c r="E32" s="127"/>
      <c r="F32" s="126"/>
      <c r="G32" s="143">
        <v>0</v>
      </c>
      <c r="H32" s="143">
        <v>0</v>
      </c>
      <c r="I32" s="143">
        <v>0</v>
      </c>
      <c r="J32" s="143">
        <v>0</v>
      </c>
      <c r="K32" s="143">
        <v>0</v>
      </c>
      <c r="L32" s="143">
        <f>385.53/100</f>
        <v>3.8552999999999997</v>
      </c>
      <c r="M32" s="143"/>
      <c r="N32" s="629"/>
      <c r="O32" s="629"/>
      <c r="P32" s="629"/>
      <c r="Q32" s="629"/>
      <c r="R32" s="629"/>
      <c r="S32" s="629"/>
      <c r="T32" s="629"/>
      <c r="U32" s="629"/>
      <c r="V32" s="126">
        <v>1</v>
      </c>
      <c r="W32" s="126">
        <v>1</v>
      </c>
      <c r="X32" s="126">
        <v>1</v>
      </c>
      <c r="Y32" s="635"/>
      <c r="Z32" s="635"/>
      <c r="AA32" s="635"/>
    </row>
    <row r="33" spans="1:28">
      <c r="A33" s="620"/>
      <c r="B33" s="621"/>
      <c r="C33" s="620" t="s">
        <v>339</v>
      </c>
      <c r="D33" s="620" t="s">
        <v>376</v>
      </c>
      <c r="E33" s="621"/>
      <c r="F33" s="620"/>
      <c r="G33" s="622"/>
      <c r="H33" s="622"/>
      <c r="I33" s="622"/>
      <c r="J33" s="622"/>
      <c r="K33" s="627"/>
      <c r="L33" s="143"/>
      <c r="M33" s="143"/>
      <c r="N33" s="628"/>
      <c r="O33" s="628"/>
      <c r="P33" s="628"/>
      <c r="Q33" s="628"/>
      <c r="R33" s="628"/>
      <c r="S33" s="628"/>
      <c r="T33" s="628"/>
      <c r="U33" s="628"/>
      <c r="V33" s="633"/>
      <c r="W33" s="633"/>
      <c r="X33" s="633"/>
      <c r="Y33" s="635"/>
      <c r="Z33" s="635"/>
      <c r="AA33" s="635"/>
    </row>
    <row r="34" spans="1:28" ht="27.6" hidden="1">
      <c r="A34" s="584"/>
      <c r="B34" s="585">
        <v>13</v>
      </c>
      <c r="C34" s="584" t="s">
        <v>377</v>
      </c>
      <c r="D34" s="624" t="s">
        <v>378</v>
      </c>
      <c r="E34" s="585" t="s">
        <v>345</v>
      </c>
      <c r="F34" s="584"/>
      <c r="G34" s="603">
        <v>0</v>
      </c>
      <c r="H34" s="603">
        <v>0</v>
      </c>
      <c r="I34" s="603">
        <v>0</v>
      </c>
      <c r="J34" s="603">
        <v>0</v>
      </c>
      <c r="K34" s="603">
        <v>0</v>
      </c>
      <c r="L34" s="143">
        <f t="shared" ref="L34:L36" si="15">0</f>
        <v>0</v>
      </c>
      <c r="M34" s="143">
        <f>SUM(L35:L35)</f>
        <v>0</v>
      </c>
      <c r="N34" s="630">
        <f>'6.Chiết tính'!J185</f>
        <v>0</v>
      </c>
      <c r="O34" s="630">
        <f>0*V34</f>
        <v>0</v>
      </c>
      <c r="P34" s="630">
        <f>'6.Chiết tính'!J186</f>
        <v>857317.5</v>
      </c>
      <c r="Q34" s="630">
        <f>'6.Chiết tính'!J188</f>
        <v>3453228.9288000008</v>
      </c>
      <c r="R34" s="630">
        <f>M34*N34</f>
        <v>0</v>
      </c>
      <c r="S34" s="630">
        <f>M34*O34</f>
        <v>0</v>
      </c>
      <c r="T34" s="630">
        <f>M34*P34</f>
        <v>0</v>
      </c>
      <c r="U34" s="630">
        <f>M34*Q34</f>
        <v>0</v>
      </c>
      <c r="V34" s="584">
        <v>1</v>
      </c>
      <c r="W34" s="584">
        <v>1</v>
      </c>
      <c r="X34" s="584">
        <v>1</v>
      </c>
      <c r="Y34" s="635"/>
      <c r="Z34" s="635"/>
      <c r="AA34" s="635"/>
      <c r="AB34" s="637" t="s">
        <v>349</v>
      </c>
    </row>
    <row r="35" spans="1:28" hidden="1">
      <c r="A35" s="126"/>
      <c r="B35" s="127"/>
      <c r="C35" s="126"/>
      <c r="D35" s="129" t="s">
        <v>379</v>
      </c>
      <c r="E35" s="127"/>
      <c r="F35" s="126"/>
      <c r="G35" s="143">
        <v>0</v>
      </c>
      <c r="H35" s="143">
        <v>0</v>
      </c>
      <c r="I35" s="143">
        <v>0</v>
      </c>
      <c r="J35" s="143">
        <v>0</v>
      </c>
      <c r="K35" s="143">
        <v>0</v>
      </c>
      <c r="L35" s="143">
        <f t="shared" si="15"/>
        <v>0</v>
      </c>
      <c r="M35" s="143"/>
      <c r="N35" s="629"/>
      <c r="O35" s="629"/>
      <c r="P35" s="629"/>
      <c r="Q35" s="629"/>
      <c r="R35" s="629"/>
      <c r="S35" s="629"/>
      <c r="T35" s="629"/>
      <c r="U35" s="629"/>
      <c r="V35" s="126">
        <v>1</v>
      </c>
      <c r="W35" s="126">
        <v>1</v>
      </c>
      <c r="X35" s="126">
        <v>1</v>
      </c>
      <c r="Y35" s="635"/>
      <c r="Z35" s="635"/>
      <c r="AA35" s="635"/>
    </row>
    <row r="36" spans="1:28" ht="27.6">
      <c r="A36" s="584"/>
      <c r="B36" s="585">
        <v>12</v>
      </c>
      <c r="C36" s="584" t="s">
        <v>380</v>
      </c>
      <c r="D36" s="624" t="s">
        <v>381</v>
      </c>
      <c r="E36" s="585" t="s">
        <v>345</v>
      </c>
      <c r="F36" s="584"/>
      <c r="G36" s="603">
        <v>0</v>
      </c>
      <c r="H36" s="603">
        <v>0</v>
      </c>
      <c r="I36" s="603">
        <v>0</v>
      </c>
      <c r="J36" s="603">
        <v>0</v>
      </c>
      <c r="K36" s="603">
        <v>0</v>
      </c>
      <c r="L36" s="143">
        <f t="shared" si="15"/>
        <v>0</v>
      </c>
      <c r="M36" s="143">
        <f>SUM(L37:L37)</f>
        <v>9.2337371681415927</v>
      </c>
      <c r="N36" s="630">
        <f>'6.Chiết tính'!J200</f>
        <v>32221379.337286752</v>
      </c>
      <c r="O36" s="630">
        <f>0*V36</f>
        <v>0</v>
      </c>
      <c r="P36" s="630">
        <f>'6.Chiết tính'!J202</f>
        <v>770352.96000000008</v>
      </c>
      <c r="Q36" s="630">
        <f>'6.Chiết tính'!J204</f>
        <v>2369565.459726376</v>
      </c>
      <c r="R36" s="630">
        <f>M36*N36</f>
        <v>297523747.99549419</v>
      </c>
      <c r="S36" s="630">
        <f>M36*O36</f>
        <v>0</v>
      </c>
      <c r="T36" s="630">
        <f>M36*P36</f>
        <v>7113236.7593398942</v>
      </c>
      <c r="U36" s="630">
        <f>M36*Q36</f>
        <v>21879944.657819957</v>
      </c>
      <c r="V36" s="584">
        <v>1</v>
      </c>
      <c r="W36" s="584">
        <v>1</v>
      </c>
      <c r="X36" s="584">
        <v>1</v>
      </c>
      <c r="Y36" s="635" t="s">
        <v>382</v>
      </c>
      <c r="Z36" s="635"/>
      <c r="AA36" s="635"/>
      <c r="AB36" s="637" t="s">
        <v>349</v>
      </c>
    </row>
    <row r="37" spans="1:28" ht="41.4">
      <c r="A37" s="126"/>
      <c r="B37" s="127"/>
      <c r="C37" s="126"/>
      <c r="D37" s="129" t="s">
        <v>383</v>
      </c>
      <c r="E37" s="127"/>
      <c r="F37" s="126"/>
      <c r="G37" s="143">
        <v>0</v>
      </c>
      <c r="H37" s="143">
        <v>0</v>
      </c>
      <c r="I37" s="143">
        <v>0</v>
      </c>
      <c r="J37" s="143">
        <v>0</v>
      </c>
      <c r="K37" s="143">
        <v>0</v>
      </c>
      <c r="L37" s="143">
        <f>(1382.71-(486.02+1.53+31.5)/1.13)/100</f>
        <v>9.2337371681415927</v>
      </c>
      <c r="M37" s="143"/>
      <c r="N37" s="629"/>
      <c r="O37" s="629"/>
      <c r="P37" s="629"/>
      <c r="Q37" s="629"/>
      <c r="R37" s="629"/>
      <c r="S37" s="629"/>
      <c r="T37" s="629"/>
      <c r="U37" s="629"/>
      <c r="V37" s="126">
        <v>1</v>
      </c>
      <c r="W37" s="126">
        <v>1</v>
      </c>
      <c r="X37" s="126">
        <v>1</v>
      </c>
      <c r="Y37" s="635"/>
      <c r="Z37" s="635"/>
      <c r="AA37" s="635"/>
    </row>
    <row r="38" spans="1:28" ht="41.4">
      <c r="A38" s="584"/>
      <c r="B38" s="585">
        <v>13</v>
      </c>
      <c r="C38" s="584" t="s">
        <v>384</v>
      </c>
      <c r="D38" s="624" t="s">
        <v>385</v>
      </c>
      <c r="E38" s="585" t="s">
        <v>345</v>
      </c>
      <c r="F38" s="584"/>
      <c r="G38" s="603">
        <v>0</v>
      </c>
      <c r="H38" s="603">
        <v>0</v>
      </c>
      <c r="I38" s="603">
        <v>0</v>
      </c>
      <c r="J38" s="603">
        <v>0</v>
      </c>
      <c r="K38" s="603">
        <v>0</v>
      </c>
      <c r="L38" s="143">
        <f>0</f>
        <v>0</v>
      </c>
      <c r="M38" s="143">
        <f>SUM(L39:L39)</f>
        <v>4.593362831858407</v>
      </c>
      <c r="N38" s="630">
        <f>'6.Chiết tính'!J221</f>
        <v>0</v>
      </c>
      <c r="O38" s="630">
        <f>0*V38</f>
        <v>0</v>
      </c>
      <c r="P38" s="630">
        <f>'6.Chiết tính'!J222</f>
        <v>331496.09999999998</v>
      </c>
      <c r="Q38" s="630">
        <f>'6.Chiết tính'!J224</f>
        <v>775105.66290050559</v>
      </c>
      <c r="R38" s="630">
        <f>M38*N38</f>
        <v>0</v>
      </c>
      <c r="S38" s="630">
        <f>M38*O38</f>
        <v>0</v>
      </c>
      <c r="T38" s="630">
        <f>M38*P38</f>
        <v>1522681.8646460176</v>
      </c>
      <c r="U38" s="630">
        <f>M38*Q38</f>
        <v>3560341.542730154</v>
      </c>
      <c r="V38" s="584">
        <v>1</v>
      </c>
      <c r="W38" s="584">
        <v>1</v>
      </c>
      <c r="X38" s="584">
        <v>1</v>
      </c>
      <c r="Y38" s="635"/>
      <c r="Z38" s="635"/>
      <c r="AA38" s="635"/>
      <c r="AB38" s="637" t="s">
        <v>349</v>
      </c>
    </row>
    <row r="39" spans="1:28" ht="27.6">
      <c r="A39" s="126"/>
      <c r="B39" s="127"/>
      <c r="C39" s="126"/>
      <c r="D39" s="129" t="s">
        <v>386</v>
      </c>
      <c r="E39" s="127"/>
      <c r="F39" s="126"/>
      <c r="G39" s="143">
        <v>0</v>
      </c>
      <c r="H39" s="143">
        <v>0</v>
      </c>
      <c r="I39" s="143">
        <v>0</v>
      </c>
      <c r="J39" s="143">
        <v>0</v>
      </c>
      <c r="K39" s="143">
        <v>0</v>
      </c>
      <c r="L39" s="143">
        <f>((486.02+1.53+31.5)/1.13)/100</f>
        <v>4.593362831858407</v>
      </c>
      <c r="M39" s="143"/>
      <c r="N39" s="629"/>
      <c r="O39" s="629"/>
      <c r="P39" s="629"/>
      <c r="Q39" s="629"/>
      <c r="R39" s="629"/>
      <c r="S39" s="629"/>
      <c r="T39" s="629"/>
      <c r="U39" s="629"/>
      <c r="V39" s="126">
        <v>1</v>
      </c>
      <c r="W39" s="126">
        <v>1</v>
      </c>
      <c r="X39" s="126">
        <v>1</v>
      </c>
      <c r="Y39" s="635"/>
      <c r="Z39" s="635"/>
      <c r="AA39" s="635"/>
    </row>
    <row r="40" spans="1:28">
      <c r="A40" s="620"/>
      <c r="B40" s="621"/>
      <c r="C40" s="620" t="s">
        <v>339</v>
      </c>
      <c r="D40" s="620" t="s">
        <v>387</v>
      </c>
      <c r="E40" s="621"/>
      <c r="F40" s="620"/>
      <c r="G40" s="622"/>
      <c r="H40" s="622"/>
      <c r="I40" s="622"/>
      <c r="J40" s="622"/>
      <c r="K40" s="627"/>
      <c r="L40" s="143"/>
      <c r="M40" s="143"/>
      <c r="N40" s="628"/>
      <c r="O40" s="628"/>
      <c r="P40" s="628"/>
      <c r="Q40" s="628"/>
      <c r="V40" s="633"/>
      <c r="W40" s="633"/>
      <c r="X40" s="633"/>
      <c r="Y40" s="635"/>
      <c r="Z40" s="635"/>
      <c r="AA40" s="635"/>
    </row>
    <row r="41" spans="1:28">
      <c r="A41" s="620"/>
      <c r="B41" s="621"/>
      <c r="C41" s="620" t="s">
        <v>339</v>
      </c>
      <c r="D41" s="620" t="s">
        <v>388</v>
      </c>
      <c r="E41" s="621"/>
      <c r="F41" s="620"/>
      <c r="G41" s="622"/>
      <c r="H41" s="622"/>
      <c r="I41" s="622"/>
      <c r="J41" s="622"/>
      <c r="K41" s="627"/>
      <c r="L41" s="143"/>
      <c r="M41" s="143"/>
      <c r="N41" s="628"/>
      <c r="O41" s="628"/>
      <c r="P41" s="628"/>
      <c r="Q41" s="628"/>
      <c r="R41" s="628"/>
      <c r="S41" s="628"/>
      <c r="T41" s="628"/>
      <c r="U41" s="628"/>
      <c r="V41" s="633"/>
      <c r="W41" s="633"/>
      <c r="X41" s="633"/>
      <c r="Y41" s="635"/>
      <c r="Z41" s="635"/>
      <c r="AA41" s="635"/>
    </row>
    <row r="42" spans="1:28" ht="27.6">
      <c r="A42" s="584"/>
      <c r="B42" s="585">
        <v>14</v>
      </c>
      <c r="C42" s="584" t="s">
        <v>358</v>
      </c>
      <c r="D42" s="624" t="s">
        <v>389</v>
      </c>
      <c r="E42" s="585" t="s">
        <v>356</v>
      </c>
      <c r="F42" s="584"/>
      <c r="G42" s="603">
        <v>0</v>
      </c>
      <c r="H42" s="603">
        <v>0</v>
      </c>
      <c r="I42" s="603">
        <v>0</v>
      </c>
      <c r="J42" s="603">
        <v>0</v>
      </c>
      <c r="K42" s="603">
        <v>0</v>
      </c>
      <c r="L42" s="143">
        <f t="shared" ref="L42:L43" si="16">0</f>
        <v>0</v>
      </c>
      <c r="M42" s="143">
        <v>90.77</v>
      </c>
      <c r="N42" s="630">
        <f>'6.Chiết tính'!J240</f>
        <v>0</v>
      </c>
      <c r="O42" s="630">
        <f t="shared" ref="O42:O43" si="17">0*V42</f>
        <v>0</v>
      </c>
      <c r="P42" s="630">
        <f>'6.Chiết tính'!J241</f>
        <v>10996.525799999999</v>
      </c>
      <c r="Q42" s="630">
        <f>'6.Chiết tính'!J243</f>
        <v>15882.231451285714</v>
      </c>
      <c r="R42" s="630">
        <f t="shared" ref="R42:R43" si="18">M42*N42</f>
        <v>0</v>
      </c>
      <c r="S42" s="630">
        <f t="shared" ref="S42:S43" si="19">M42*O42</f>
        <v>0</v>
      </c>
      <c r="T42" s="630">
        <f t="shared" ref="T42:T43" si="20">M42*P42</f>
        <v>998154.64686599991</v>
      </c>
      <c r="U42" s="630">
        <f t="shared" ref="U42:U43" si="21">M42*Q42</f>
        <v>1441630.1488332041</v>
      </c>
      <c r="V42" s="584">
        <v>1</v>
      </c>
      <c r="W42" s="584">
        <v>1</v>
      </c>
      <c r="X42" s="584">
        <v>1</v>
      </c>
      <c r="Y42" s="635"/>
      <c r="Z42" s="635"/>
      <c r="AA42" s="635"/>
      <c r="AB42" s="637" t="s">
        <v>349</v>
      </c>
    </row>
    <row r="43" spans="1:28" ht="27.6">
      <c r="A43" s="584"/>
      <c r="B43" s="585">
        <v>15</v>
      </c>
      <c r="C43" s="584" t="s">
        <v>347</v>
      </c>
      <c r="D43" s="624" t="s">
        <v>348</v>
      </c>
      <c r="E43" s="585" t="s">
        <v>345</v>
      </c>
      <c r="F43" s="584"/>
      <c r="G43" s="603">
        <v>0</v>
      </c>
      <c r="H43" s="603">
        <v>0</v>
      </c>
      <c r="I43" s="603">
        <v>0</v>
      </c>
      <c r="J43" s="603">
        <v>0</v>
      </c>
      <c r="K43" s="603">
        <v>0</v>
      </c>
      <c r="L43" s="143">
        <f t="shared" si="16"/>
        <v>0</v>
      </c>
      <c r="M43" s="143">
        <f>SUM(L44:L44)</f>
        <v>1.2237</v>
      </c>
      <c r="N43" s="630">
        <f>'6.Chiết tính'!J256</f>
        <v>0</v>
      </c>
      <c r="O43" s="630">
        <f t="shared" si="17"/>
        <v>0</v>
      </c>
      <c r="P43" s="630">
        <f>'6.Chiết tính'!J257</f>
        <v>928189.08</v>
      </c>
      <c r="Q43" s="630">
        <f>'6.Chiết tính'!J259</f>
        <v>1160321.1908914286</v>
      </c>
      <c r="R43" s="630">
        <f t="shared" si="18"/>
        <v>0</v>
      </c>
      <c r="S43" s="630">
        <f t="shared" si="19"/>
        <v>0</v>
      </c>
      <c r="T43" s="630">
        <f t="shared" si="20"/>
        <v>1135824.9771960001</v>
      </c>
      <c r="U43" s="630">
        <f t="shared" si="21"/>
        <v>1419885.0412938413</v>
      </c>
      <c r="V43" s="584">
        <v>1</v>
      </c>
      <c r="W43" s="584">
        <v>1</v>
      </c>
      <c r="X43" s="584">
        <v>1</v>
      </c>
      <c r="Y43" s="635"/>
      <c r="Z43" s="635"/>
      <c r="AA43" s="635"/>
      <c r="AB43" s="637" t="s">
        <v>349</v>
      </c>
    </row>
    <row r="44" spans="1:28">
      <c r="A44" s="126"/>
      <c r="B44" s="127"/>
      <c r="C44" s="126"/>
      <c r="D44" s="129" t="s">
        <v>390</v>
      </c>
      <c r="E44" s="127"/>
      <c r="F44" s="126"/>
      <c r="G44" s="143">
        <v>0</v>
      </c>
      <c r="H44" s="143">
        <v>0</v>
      </c>
      <c r="I44" s="143">
        <v>0</v>
      </c>
      <c r="J44" s="143">
        <v>0</v>
      </c>
      <c r="K44" s="143">
        <v>0</v>
      </c>
      <c r="L44" s="143">
        <f>122.37/100</f>
        <v>1.2237</v>
      </c>
      <c r="M44" s="143"/>
      <c r="N44" s="629"/>
      <c r="O44" s="629"/>
      <c r="P44" s="629"/>
      <c r="Q44" s="629"/>
      <c r="R44" s="629"/>
      <c r="S44" s="629"/>
      <c r="T44" s="629"/>
      <c r="U44" s="629"/>
      <c r="V44" s="126">
        <v>1</v>
      </c>
      <c r="W44" s="126">
        <v>1</v>
      </c>
      <c r="X44" s="126">
        <v>1</v>
      </c>
      <c r="Y44" s="635"/>
      <c r="Z44" s="635"/>
      <c r="AA44" s="635"/>
    </row>
    <row r="45" spans="1:28">
      <c r="A45" s="620"/>
      <c r="B45" s="621"/>
      <c r="C45" s="620" t="s">
        <v>339</v>
      </c>
      <c r="D45" s="620" t="s">
        <v>391</v>
      </c>
      <c r="E45" s="621"/>
      <c r="F45" s="620"/>
      <c r="G45" s="622"/>
      <c r="H45" s="622"/>
      <c r="I45" s="622"/>
      <c r="J45" s="622"/>
      <c r="K45" s="627"/>
      <c r="L45" s="143"/>
      <c r="M45" s="143"/>
      <c r="N45" s="628"/>
      <c r="O45" s="628"/>
      <c r="P45" s="628"/>
      <c r="Q45" s="628"/>
      <c r="R45" s="634">
        <f>SUM(R46:R71)</f>
        <v>1174673090.9725521</v>
      </c>
      <c r="S45" s="634">
        <f t="shared" ref="S45:U45" si="22">SUM(S46:S71)</f>
        <v>0</v>
      </c>
      <c r="T45" s="634">
        <f t="shared" si="22"/>
        <v>351955531.09883362</v>
      </c>
      <c r="U45" s="634">
        <f t="shared" si="22"/>
        <v>103593789.61903873</v>
      </c>
      <c r="V45" s="633"/>
      <c r="W45" s="633"/>
      <c r="X45" s="633"/>
      <c r="Y45" s="635"/>
      <c r="Z45" s="635"/>
      <c r="AA45" s="635"/>
    </row>
    <row r="46" spans="1:28" ht="69">
      <c r="A46" s="584"/>
      <c r="B46" s="585">
        <v>16</v>
      </c>
      <c r="C46" s="584" t="s">
        <v>392</v>
      </c>
      <c r="D46" s="624" t="s">
        <v>393</v>
      </c>
      <c r="E46" s="585" t="s">
        <v>356</v>
      </c>
      <c r="F46" s="584"/>
      <c r="G46" s="603">
        <v>0</v>
      </c>
      <c r="H46" s="603">
        <v>0</v>
      </c>
      <c r="I46" s="603">
        <v>0</v>
      </c>
      <c r="J46" s="603">
        <v>0</v>
      </c>
      <c r="K46" s="603">
        <v>0</v>
      </c>
      <c r="L46" s="143">
        <f>0</f>
        <v>0</v>
      </c>
      <c r="M46" s="143">
        <f>SUM(L47:L48)</f>
        <v>900.03599999999994</v>
      </c>
      <c r="N46" s="630">
        <f>'6.Chiết tính'!J273</f>
        <v>1155340.0035279584</v>
      </c>
      <c r="O46" s="630">
        <f>0*V46</f>
        <v>0</v>
      </c>
      <c r="P46" s="630">
        <f>'6.Chiết tính'!J281</f>
        <v>332910</v>
      </c>
      <c r="Q46" s="630">
        <f>'6.Chiết tính'!J283</f>
        <v>82287.912777365709</v>
      </c>
      <c r="R46" s="630">
        <f>M46*N46</f>
        <v>1039847595.4152895</v>
      </c>
      <c r="S46" s="630">
        <f>M46*O46</f>
        <v>0</v>
      </c>
      <c r="T46" s="630">
        <f>M46*P46</f>
        <v>299630984.75999999</v>
      </c>
      <c r="U46" s="630">
        <f>M46*Q46</f>
        <v>74062083.864489123</v>
      </c>
      <c r="V46" s="584">
        <v>1</v>
      </c>
      <c r="W46" s="584">
        <v>0.9</v>
      </c>
      <c r="X46" s="584">
        <v>1</v>
      </c>
      <c r="Y46" s="635"/>
      <c r="Z46" s="635"/>
      <c r="AA46" s="635"/>
      <c r="AB46" s="637" t="s">
        <v>349</v>
      </c>
    </row>
    <row r="47" spans="1:28">
      <c r="A47" s="126"/>
      <c r="B47" s="127"/>
      <c r="C47" s="126"/>
      <c r="D47" s="129" t="s">
        <v>394</v>
      </c>
      <c r="E47" s="127"/>
      <c r="F47" s="126"/>
      <c r="G47" s="143">
        <v>0</v>
      </c>
      <c r="H47" s="143">
        <v>0</v>
      </c>
      <c r="I47" s="143">
        <v>0</v>
      </c>
      <c r="J47" s="143">
        <v>0</v>
      </c>
      <c r="K47" s="143">
        <v>0</v>
      </c>
      <c r="L47" s="143">
        <f>0.2*3385.2</f>
        <v>677.04</v>
      </c>
      <c r="M47" s="143"/>
      <c r="N47" s="629"/>
      <c r="O47" s="629"/>
      <c r="P47" s="629"/>
      <c r="Q47" s="629"/>
      <c r="R47" s="629"/>
      <c r="S47" s="629"/>
      <c r="T47" s="629"/>
      <c r="U47" s="629"/>
      <c r="V47" s="126">
        <v>1</v>
      </c>
      <c r="W47" s="126">
        <v>1</v>
      </c>
      <c r="X47" s="126">
        <v>1</v>
      </c>
      <c r="Y47" s="635"/>
      <c r="Z47" s="635"/>
      <c r="AA47" s="635"/>
    </row>
    <row r="48" spans="1:28">
      <c r="A48" s="126"/>
      <c r="B48" s="127"/>
      <c r="C48" s="126"/>
      <c r="D48" s="129" t="s">
        <v>395</v>
      </c>
      <c r="E48" s="127"/>
      <c r="F48" s="126"/>
      <c r="G48" s="143">
        <v>0</v>
      </c>
      <c r="H48" s="143">
        <v>0</v>
      </c>
      <c r="I48" s="143">
        <v>0</v>
      </c>
      <c r="J48" s="143">
        <v>0</v>
      </c>
      <c r="K48" s="143">
        <v>0</v>
      </c>
      <c r="L48" s="143">
        <f>0.2*1114.98</f>
        <v>222.99600000000001</v>
      </c>
      <c r="M48" s="143"/>
      <c r="N48" s="629"/>
      <c r="O48" s="629"/>
      <c r="P48" s="629"/>
      <c r="Q48" s="629"/>
      <c r="R48" s="629"/>
      <c r="S48" s="629"/>
      <c r="T48" s="629"/>
      <c r="U48" s="629"/>
      <c r="V48" s="126">
        <v>1</v>
      </c>
      <c r="W48" s="126">
        <v>1</v>
      </c>
      <c r="X48" s="126">
        <v>1</v>
      </c>
      <c r="Y48" s="635"/>
      <c r="Z48" s="635"/>
      <c r="AA48" s="635"/>
    </row>
    <row r="49" spans="1:28">
      <c r="A49" s="584"/>
      <c r="B49" s="585">
        <v>17</v>
      </c>
      <c r="C49" s="584" t="s">
        <v>396</v>
      </c>
      <c r="D49" s="624" t="s">
        <v>397</v>
      </c>
      <c r="E49" s="585" t="s">
        <v>398</v>
      </c>
      <c r="F49" s="584"/>
      <c r="G49" s="603">
        <v>0</v>
      </c>
      <c r="H49" s="603">
        <v>0</v>
      </c>
      <c r="I49" s="603">
        <v>0</v>
      </c>
      <c r="J49" s="603">
        <v>0</v>
      </c>
      <c r="K49" s="603">
        <v>0</v>
      </c>
      <c r="L49" s="143">
        <f>0</f>
        <v>0</v>
      </c>
      <c r="M49" s="143">
        <f>SUM(L50:L50)</f>
        <v>45.001800000000003</v>
      </c>
      <c r="N49" s="630">
        <f>'6.Chiết tính'!J298</f>
        <v>220440</v>
      </c>
      <c r="O49" s="630">
        <f>0*V49</f>
        <v>0</v>
      </c>
      <c r="P49" s="630">
        <f>'6.Chiết tính'!J301</f>
        <v>40500</v>
      </c>
      <c r="Q49" s="630">
        <f>'6.Chiết tính'!J303</f>
        <v>0</v>
      </c>
      <c r="R49" s="630">
        <f>M49*N49</f>
        <v>9920196.7920000013</v>
      </c>
      <c r="S49" s="630">
        <f>M49*O49</f>
        <v>0</v>
      </c>
      <c r="T49" s="630">
        <f>M49*P49</f>
        <v>1822572.9000000001</v>
      </c>
      <c r="U49" s="630">
        <f>M49*Q49</f>
        <v>0</v>
      </c>
      <c r="V49" s="584">
        <v>1</v>
      </c>
      <c r="W49" s="584">
        <v>1</v>
      </c>
      <c r="X49" s="584">
        <v>1</v>
      </c>
      <c r="Y49" s="635"/>
      <c r="Z49" s="635"/>
      <c r="AA49" s="635"/>
      <c r="AB49" s="637" t="s">
        <v>349</v>
      </c>
    </row>
    <row r="50" spans="1:28">
      <c r="A50" s="126"/>
      <c r="B50" s="127"/>
      <c r="C50" s="126"/>
      <c r="D50" s="129" t="s">
        <v>399</v>
      </c>
      <c r="E50" s="127"/>
      <c r="F50" s="126"/>
      <c r="G50" s="143">
        <v>0</v>
      </c>
      <c r="H50" s="143">
        <v>0</v>
      </c>
      <c r="I50" s="143">
        <v>0</v>
      </c>
      <c r="J50" s="143">
        <v>0</v>
      </c>
      <c r="K50" s="143">
        <v>0</v>
      </c>
      <c r="L50" s="143">
        <f>4500.18/100</f>
        <v>45.001800000000003</v>
      </c>
      <c r="M50" s="143"/>
      <c r="N50" s="629"/>
      <c r="O50" s="629"/>
      <c r="P50" s="629"/>
      <c r="Q50" s="629"/>
      <c r="R50" s="629"/>
      <c r="S50" s="629"/>
      <c r="T50" s="629"/>
      <c r="U50" s="629"/>
      <c r="V50" s="126">
        <v>1</v>
      </c>
      <c r="W50" s="126">
        <v>1</v>
      </c>
      <c r="X50" s="126">
        <v>1</v>
      </c>
      <c r="Y50" s="635"/>
      <c r="Z50" s="635"/>
      <c r="AA50" s="635"/>
    </row>
    <row r="51" spans="1:28" ht="27.6">
      <c r="A51" s="584"/>
      <c r="B51" s="585">
        <v>18</v>
      </c>
      <c r="C51" s="584" t="s">
        <v>380</v>
      </c>
      <c r="D51" s="624" t="s">
        <v>400</v>
      </c>
      <c r="E51" s="585" t="s">
        <v>345</v>
      </c>
      <c r="F51" s="584"/>
      <c r="G51" s="603">
        <v>0</v>
      </c>
      <c r="H51" s="603">
        <v>0</v>
      </c>
      <c r="I51" s="603">
        <v>0</v>
      </c>
      <c r="J51" s="603">
        <v>0</v>
      </c>
      <c r="K51" s="603">
        <v>0</v>
      </c>
      <c r="L51" s="143">
        <f>0</f>
        <v>0</v>
      </c>
      <c r="M51" s="143">
        <f>SUM(L52:L52)</f>
        <v>1.3379759999999998</v>
      </c>
      <c r="N51" s="630">
        <f>'6.Chiết tính'!J314</f>
        <v>32221379.337286752</v>
      </c>
      <c r="O51" s="630">
        <f>0*V51</f>
        <v>0</v>
      </c>
      <c r="P51" s="630">
        <f>'6.Chiết tính'!J316</f>
        <v>770352.96000000008</v>
      </c>
      <c r="Q51" s="630">
        <f>'6.Chiết tính'!J318</f>
        <v>2369565.459726376</v>
      </c>
      <c r="R51" s="630">
        <f>M51*N51</f>
        <v>43111432.240185574</v>
      </c>
      <c r="S51" s="630">
        <f>M51*O51</f>
        <v>0</v>
      </c>
      <c r="T51" s="630">
        <f>M51*P51</f>
        <v>1030713.77200896</v>
      </c>
      <c r="U51" s="630">
        <f>M51*Q51</f>
        <v>3170421.7155428571</v>
      </c>
      <c r="V51" s="584">
        <v>1</v>
      </c>
      <c r="W51" s="584">
        <v>1</v>
      </c>
      <c r="X51" s="584">
        <v>1</v>
      </c>
      <c r="Y51" s="635"/>
      <c r="Z51" s="635"/>
      <c r="AA51" s="635"/>
      <c r="AB51" s="637" t="s">
        <v>349</v>
      </c>
    </row>
    <row r="52" spans="1:28">
      <c r="A52" s="126"/>
      <c r="B52" s="127"/>
      <c r="C52" s="126"/>
      <c r="D52" s="129" t="s">
        <v>401</v>
      </c>
      <c r="E52" s="127"/>
      <c r="F52" s="126"/>
      <c r="G52" s="143">
        <v>0</v>
      </c>
      <c r="H52" s="143">
        <v>0</v>
      </c>
      <c r="I52" s="143">
        <v>0</v>
      </c>
      <c r="J52" s="143">
        <v>0</v>
      </c>
      <c r="K52" s="143">
        <v>0</v>
      </c>
      <c r="L52" s="143">
        <f>0.12*1114.98/100</f>
        <v>1.3379759999999998</v>
      </c>
      <c r="M52" s="143"/>
      <c r="N52" s="629"/>
      <c r="O52" s="629"/>
      <c r="P52" s="629"/>
      <c r="Q52" s="629"/>
      <c r="R52" s="629"/>
      <c r="S52" s="629"/>
      <c r="T52" s="629"/>
      <c r="U52" s="629"/>
      <c r="V52" s="126">
        <v>1</v>
      </c>
      <c r="W52" s="126">
        <v>1</v>
      </c>
      <c r="X52" s="126">
        <v>1</v>
      </c>
      <c r="Y52" s="635"/>
      <c r="Z52" s="635"/>
      <c r="AA52" s="635"/>
    </row>
    <row r="53" spans="1:28" ht="27.6">
      <c r="A53" s="584"/>
      <c r="B53" s="585">
        <v>19</v>
      </c>
      <c r="C53" s="584" t="s">
        <v>380</v>
      </c>
      <c r="D53" s="624" t="s">
        <v>400</v>
      </c>
      <c r="E53" s="585" t="s">
        <v>345</v>
      </c>
      <c r="F53" s="584"/>
      <c r="G53" s="603">
        <v>0</v>
      </c>
      <c r="H53" s="603">
        <v>0</v>
      </c>
      <c r="I53" s="603">
        <v>0</v>
      </c>
      <c r="J53" s="603">
        <v>0</v>
      </c>
      <c r="K53" s="603">
        <v>0</v>
      </c>
      <c r="L53" s="143">
        <f>0</f>
        <v>0</v>
      </c>
      <c r="M53" s="143">
        <f>SUM(L54:L55)</f>
        <v>1.7016</v>
      </c>
      <c r="N53" s="630">
        <f>'6.Chiết tính'!J335</f>
        <v>32221379.337286752</v>
      </c>
      <c r="O53" s="630">
        <f>0*V53</f>
        <v>0</v>
      </c>
      <c r="P53" s="630">
        <f>'6.Chiết tính'!J337</f>
        <v>770352.96000000008</v>
      </c>
      <c r="Q53" s="630">
        <f>'6.Chiết tính'!J339</f>
        <v>2369565.459726376</v>
      </c>
      <c r="R53" s="630">
        <f>M53*N53</f>
        <v>54827899.080327138</v>
      </c>
      <c r="S53" s="630">
        <f>M53*O53</f>
        <v>0</v>
      </c>
      <c r="T53" s="630">
        <f>M53*P53</f>
        <v>1310832.5967360002</v>
      </c>
      <c r="U53" s="630">
        <f>M53*Q53</f>
        <v>4032052.5862704013</v>
      </c>
      <c r="V53" s="584">
        <v>1</v>
      </c>
      <c r="W53" s="584">
        <v>1</v>
      </c>
      <c r="X53" s="584">
        <v>1</v>
      </c>
      <c r="Y53" s="635"/>
      <c r="Z53" s="635"/>
      <c r="AA53" s="635"/>
      <c r="AB53" s="637" t="s">
        <v>349</v>
      </c>
    </row>
    <row r="54" spans="1:28">
      <c r="A54" s="126"/>
      <c r="B54" s="127"/>
      <c r="C54" s="126"/>
      <c r="D54" s="129" t="s">
        <v>402</v>
      </c>
      <c r="E54" s="127"/>
      <c r="F54" s="126"/>
      <c r="G54" s="143">
        <v>0</v>
      </c>
      <c r="H54" s="143">
        <v>0</v>
      </c>
      <c r="I54" s="143">
        <v>0</v>
      </c>
      <c r="J54" s="143">
        <v>0</v>
      </c>
      <c r="K54" s="143">
        <v>0</v>
      </c>
      <c r="L54" s="143">
        <f>170.16/100</f>
        <v>1.7016</v>
      </c>
      <c r="M54" s="143"/>
      <c r="N54" s="629"/>
      <c r="O54" s="629"/>
      <c r="P54" s="629"/>
      <c r="Q54" s="629"/>
      <c r="R54" s="629"/>
      <c r="S54" s="629"/>
      <c r="T54" s="629"/>
      <c r="U54" s="629"/>
      <c r="V54" s="126">
        <v>1</v>
      </c>
      <c r="W54" s="126">
        <v>1</v>
      </c>
      <c r="X54" s="126">
        <v>1</v>
      </c>
      <c r="Y54" s="635"/>
      <c r="Z54" s="635"/>
      <c r="AA54" s="635"/>
    </row>
    <row r="55" spans="1:28">
      <c r="A55" s="126"/>
      <c r="B55" s="127"/>
      <c r="C55" s="126"/>
      <c r="D55" s="129"/>
      <c r="E55" s="127"/>
      <c r="F55" s="126"/>
      <c r="G55" s="143">
        <v>0</v>
      </c>
      <c r="H55" s="143">
        <v>0</v>
      </c>
      <c r="I55" s="143">
        <v>0</v>
      </c>
      <c r="J55" s="143">
        <v>0</v>
      </c>
      <c r="K55" s="143">
        <v>0</v>
      </c>
      <c r="L55" s="143">
        <f t="shared" ref="L55:L56" si="23">0</f>
        <v>0</v>
      </c>
      <c r="M55" s="143"/>
      <c r="N55" s="629"/>
      <c r="O55" s="629"/>
      <c r="P55" s="629"/>
      <c r="Q55" s="629"/>
      <c r="R55" s="629"/>
      <c r="S55" s="629"/>
      <c r="T55" s="629"/>
      <c r="U55" s="629"/>
      <c r="V55" s="126">
        <v>1</v>
      </c>
      <c r="W55" s="126">
        <v>1</v>
      </c>
      <c r="X55" s="126">
        <v>1</v>
      </c>
      <c r="Y55" s="635"/>
      <c r="Z55" s="635"/>
      <c r="AA55" s="635"/>
    </row>
    <row r="56" spans="1:28" ht="27.6">
      <c r="A56" s="584"/>
      <c r="B56" s="585">
        <v>20</v>
      </c>
      <c r="C56" s="584" t="s">
        <v>403</v>
      </c>
      <c r="D56" s="624" t="s">
        <v>404</v>
      </c>
      <c r="E56" s="585" t="s">
        <v>398</v>
      </c>
      <c r="F56" s="584"/>
      <c r="G56" s="603">
        <v>0</v>
      </c>
      <c r="H56" s="603">
        <v>0</v>
      </c>
      <c r="I56" s="603">
        <v>0</v>
      </c>
      <c r="J56" s="603">
        <v>0</v>
      </c>
      <c r="K56" s="603">
        <v>0</v>
      </c>
      <c r="L56" s="143">
        <f t="shared" si="23"/>
        <v>0</v>
      </c>
      <c r="M56" s="143">
        <f>SUM(L57:L57)</f>
        <v>3.6397000000000004</v>
      </c>
      <c r="N56" s="630">
        <f>'6.Chiết tính'!J356</f>
        <v>618210.99161675188</v>
      </c>
      <c r="O56" s="630">
        <f>0*V56</f>
        <v>0</v>
      </c>
      <c r="P56" s="630">
        <f>'6.Chiết tính'!J360</f>
        <v>3370558</v>
      </c>
      <c r="Q56" s="630">
        <f>'6.Chiết tính'!J362</f>
        <v>182920.82011862399</v>
      </c>
      <c r="R56" s="630">
        <f>M56*N56</f>
        <v>2250102.5461874921</v>
      </c>
      <c r="S56" s="630">
        <f>M56*O56</f>
        <v>0</v>
      </c>
      <c r="T56" s="630">
        <f>M56*P56</f>
        <v>12267819.9526</v>
      </c>
      <c r="U56" s="630">
        <f>M56*Q56</f>
        <v>665776.90898575576</v>
      </c>
      <c r="V56" s="584">
        <v>1</v>
      </c>
      <c r="W56" s="584">
        <v>1</v>
      </c>
      <c r="X56" s="584">
        <v>1</v>
      </c>
      <c r="Y56" s="635"/>
      <c r="Z56" s="635"/>
      <c r="AA56" s="635"/>
      <c r="AB56" s="637" t="s">
        <v>349</v>
      </c>
    </row>
    <row r="57" spans="1:28">
      <c r="A57" s="126"/>
      <c r="B57" s="127"/>
      <c r="C57" s="126"/>
      <c r="D57" s="129" t="s">
        <v>405</v>
      </c>
      <c r="E57" s="127"/>
      <c r="F57" s="126"/>
      <c r="G57" s="143">
        <v>0</v>
      </c>
      <c r="H57" s="143">
        <v>0</v>
      </c>
      <c r="I57" s="143">
        <v>0</v>
      </c>
      <c r="J57" s="143">
        <v>0</v>
      </c>
      <c r="K57" s="143">
        <v>0</v>
      </c>
      <c r="L57" s="143">
        <f>363.97/100</f>
        <v>3.6397000000000004</v>
      </c>
      <c r="M57" s="143"/>
      <c r="N57" s="629"/>
      <c r="O57" s="629"/>
      <c r="P57" s="629"/>
      <c r="Q57" s="629"/>
      <c r="R57" s="629"/>
      <c r="S57" s="629"/>
      <c r="T57" s="629"/>
      <c r="U57" s="629"/>
      <c r="V57" s="126">
        <v>1</v>
      </c>
      <c r="W57" s="126">
        <v>1</v>
      </c>
      <c r="X57" s="126">
        <v>1</v>
      </c>
      <c r="Y57" s="635"/>
      <c r="Z57" s="635"/>
      <c r="AA57" s="635"/>
    </row>
    <row r="58" spans="1:28">
      <c r="A58" s="620"/>
      <c r="B58" s="621"/>
      <c r="C58" s="620" t="s">
        <v>339</v>
      </c>
      <c r="D58" s="620" t="s">
        <v>406</v>
      </c>
      <c r="E58" s="621"/>
      <c r="F58" s="620"/>
      <c r="G58" s="622"/>
      <c r="H58" s="622"/>
      <c r="I58" s="622"/>
      <c r="J58" s="622"/>
      <c r="K58" s="627"/>
      <c r="L58" s="143"/>
      <c r="M58" s="143"/>
      <c r="N58" s="628"/>
      <c r="O58" s="628"/>
      <c r="P58" s="628"/>
      <c r="Q58" s="628"/>
      <c r="R58" s="628"/>
      <c r="S58" s="628"/>
      <c r="T58" s="628"/>
      <c r="U58" s="628"/>
      <c r="V58" s="633"/>
      <c r="W58" s="633"/>
      <c r="X58" s="633"/>
      <c r="Y58" s="635"/>
      <c r="Z58" s="635"/>
      <c r="AA58" s="635"/>
    </row>
    <row r="59" spans="1:28" ht="69">
      <c r="A59" s="584"/>
      <c r="B59" s="585">
        <v>21</v>
      </c>
      <c r="C59" s="584" t="s">
        <v>392</v>
      </c>
      <c r="D59" s="624" t="s">
        <v>393</v>
      </c>
      <c r="E59" s="585" t="s">
        <v>356</v>
      </c>
      <c r="F59" s="584"/>
      <c r="G59" s="603">
        <v>0</v>
      </c>
      <c r="H59" s="603">
        <v>0</v>
      </c>
      <c r="I59" s="603">
        <v>0</v>
      </c>
      <c r="J59" s="603">
        <v>0</v>
      </c>
      <c r="K59" s="603">
        <v>0</v>
      </c>
      <c r="L59" s="143">
        <f>0</f>
        <v>0</v>
      </c>
      <c r="M59" s="143">
        <f>SUM(L60:L60)</f>
        <v>12.764000000000001</v>
      </c>
      <c r="N59" s="630">
        <f>'6.Chiết tính'!J376</f>
        <v>1155340.0035279584</v>
      </c>
      <c r="O59" s="630">
        <f>0*V59</f>
        <v>0</v>
      </c>
      <c r="P59" s="630">
        <f>'6.Chiết tính'!J384</f>
        <v>332910</v>
      </c>
      <c r="Q59" s="630">
        <f>'6.Chiết tính'!J386</f>
        <v>82287.912777365709</v>
      </c>
      <c r="R59" s="630">
        <f>M59*N59</f>
        <v>14746759.805030862</v>
      </c>
      <c r="S59" s="630">
        <f>M59*O59</f>
        <v>0</v>
      </c>
      <c r="T59" s="630">
        <f>M59*P59</f>
        <v>4249263.24</v>
      </c>
      <c r="U59" s="630">
        <f>M59*Q59</f>
        <v>1050322.9186902959</v>
      </c>
      <c r="V59" s="584">
        <v>1</v>
      </c>
      <c r="W59" s="584">
        <v>0.9</v>
      </c>
      <c r="X59" s="584">
        <v>1</v>
      </c>
      <c r="Y59" s="635"/>
      <c r="Z59" s="635"/>
      <c r="AA59" s="635"/>
      <c r="AB59" s="637" t="s">
        <v>349</v>
      </c>
    </row>
    <row r="60" spans="1:28">
      <c r="A60" s="126"/>
      <c r="B60" s="127"/>
      <c r="C60" s="126"/>
      <c r="D60" s="129" t="s">
        <v>407</v>
      </c>
      <c r="E60" s="127"/>
      <c r="F60" s="126"/>
      <c r="G60" s="143">
        <v>0</v>
      </c>
      <c r="H60" s="143">
        <v>0</v>
      </c>
      <c r="I60" s="143">
        <v>0</v>
      </c>
      <c r="J60" s="143">
        <v>0</v>
      </c>
      <c r="K60" s="143">
        <v>0</v>
      </c>
      <c r="L60" s="143">
        <f>0.2*63.82</f>
        <v>12.764000000000001</v>
      </c>
      <c r="M60" s="143"/>
      <c r="N60" s="629"/>
      <c r="O60" s="629"/>
      <c r="P60" s="629"/>
      <c r="Q60" s="629"/>
      <c r="R60" s="629"/>
      <c r="S60" s="629"/>
      <c r="T60" s="629"/>
      <c r="U60" s="629"/>
      <c r="V60" s="126">
        <v>1</v>
      </c>
      <c r="W60" s="126">
        <v>1</v>
      </c>
      <c r="X60" s="126">
        <v>1</v>
      </c>
      <c r="Y60" s="635"/>
      <c r="Z60" s="635"/>
      <c r="AA60" s="635"/>
    </row>
    <row r="61" spans="1:28">
      <c r="A61" s="584"/>
      <c r="B61" s="585">
        <v>22</v>
      </c>
      <c r="C61" s="584" t="s">
        <v>396</v>
      </c>
      <c r="D61" s="624" t="s">
        <v>408</v>
      </c>
      <c r="E61" s="585" t="s">
        <v>398</v>
      </c>
      <c r="F61" s="584"/>
      <c r="G61" s="603">
        <v>0</v>
      </c>
      <c r="H61" s="603">
        <v>0</v>
      </c>
      <c r="I61" s="603">
        <v>0</v>
      </c>
      <c r="J61" s="603">
        <v>0</v>
      </c>
      <c r="K61" s="603">
        <v>0</v>
      </c>
      <c r="L61" s="143">
        <f>0</f>
        <v>0</v>
      </c>
      <c r="M61" s="143">
        <f>SUM(L62:L62)</f>
        <v>0.63819999999999999</v>
      </c>
      <c r="N61" s="630">
        <f>'6.Chiết tính'!J401</f>
        <v>220440</v>
      </c>
      <c r="O61" s="630">
        <f>0*V61</f>
        <v>0</v>
      </c>
      <c r="P61" s="630">
        <f>'6.Chiết tính'!J404</f>
        <v>40500</v>
      </c>
      <c r="Q61" s="630">
        <f>'6.Chiết tính'!J406</f>
        <v>0</v>
      </c>
      <c r="R61" s="630">
        <f>M61*N61</f>
        <v>140684.80799999999</v>
      </c>
      <c r="S61" s="630">
        <f>M61*O61</f>
        <v>0</v>
      </c>
      <c r="T61" s="630">
        <f>M61*P61</f>
        <v>25847.1</v>
      </c>
      <c r="U61" s="630">
        <f>M61*Q61</f>
        <v>0</v>
      </c>
      <c r="V61" s="584">
        <v>1</v>
      </c>
      <c r="W61" s="584">
        <v>1</v>
      </c>
      <c r="X61" s="584">
        <v>1</v>
      </c>
      <c r="Y61" s="635"/>
      <c r="Z61" s="635"/>
      <c r="AA61" s="635"/>
      <c r="AB61" s="637" t="s">
        <v>349</v>
      </c>
    </row>
    <row r="62" spans="1:28">
      <c r="A62" s="126"/>
      <c r="B62" s="127"/>
      <c r="C62" s="126"/>
      <c r="D62" s="129" t="s">
        <v>409</v>
      </c>
      <c r="E62" s="127"/>
      <c r="F62" s="126"/>
      <c r="G62" s="143">
        <v>0</v>
      </c>
      <c r="H62" s="143">
        <v>0</v>
      </c>
      <c r="I62" s="143">
        <v>0</v>
      </c>
      <c r="J62" s="143">
        <v>0</v>
      </c>
      <c r="K62" s="143">
        <v>0</v>
      </c>
      <c r="L62" s="143">
        <f>63.82/100</f>
        <v>0.63819999999999999</v>
      </c>
      <c r="M62" s="143"/>
      <c r="N62" s="629"/>
      <c r="O62" s="629"/>
      <c r="P62" s="629"/>
      <c r="Q62" s="629"/>
      <c r="R62" s="629"/>
      <c r="S62" s="629"/>
      <c r="T62" s="629"/>
      <c r="U62" s="629"/>
      <c r="V62" s="126">
        <v>1</v>
      </c>
      <c r="W62" s="126">
        <v>1</v>
      </c>
      <c r="X62" s="126">
        <v>1</v>
      </c>
      <c r="Y62" s="635"/>
      <c r="Z62" s="635"/>
      <c r="AA62" s="635"/>
    </row>
    <row r="63" spans="1:28" ht="27.6">
      <c r="A63" s="584"/>
      <c r="B63" s="585">
        <v>23</v>
      </c>
      <c r="C63" s="584" t="s">
        <v>380</v>
      </c>
      <c r="D63" s="624" t="s">
        <v>400</v>
      </c>
      <c r="E63" s="585" t="s">
        <v>345</v>
      </c>
      <c r="F63" s="584"/>
      <c r="G63" s="603">
        <v>0</v>
      </c>
      <c r="H63" s="603">
        <v>0</v>
      </c>
      <c r="I63" s="603">
        <v>0</v>
      </c>
      <c r="J63" s="603">
        <v>0</v>
      </c>
      <c r="K63" s="603">
        <v>0</v>
      </c>
      <c r="L63" s="143">
        <f>0</f>
        <v>0</v>
      </c>
      <c r="M63" s="143">
        <f>SUM(L64:L64)</f>
        <v>7.6583999999999999E-2</v>
      </c>
      <c r="N63" s="630">
        <f>'6.Chiết tính'!J417</f>
        <v>32221379.337286752</v>
      </c>
      <c r="O63" s="630">
        <f>0*V63</f>
        <v>0</v>
      </c>
      <c r="P63" s="630">
        <f>'6.Chiết tính'!J419</f>
        <v>770352.96000000008</v>
      </c>
      <c r="Q63" s="630">
        <f>'6.Chiết tính'!J421</f>
        <v>2369565.459726376</v>
      </c>
      <c r="R63" s="630">
        <f>M63*N63</f>
        <v>2467642.1151667684</v>
      </c>
      <c r="S63" s="630">
        <f>M63*O63</f>
        <v>0</v>
      </c>
      <c r="T63" s="630">
        <f>M63*P63</f>
        <v>58996.711088640004</v>
      </c>
      <c r="U63" s="630">
        <f>M63*Q63</f>
        <v>181470.80116768478</v>
      </c>
      <c r="V63" s="584">
        <v>1</v>
      </c>
      <c r="W63" s="584">
        <v>1</v>
      </c>
      <c r="X63" s="584">
        <v>1</v>
      </c>
      <c r="Y63" s="635"/>
      <c r="Z63" s="635"/>
      <c r="AA63" s="635"/>
      <c r="AB63" s="637" t="s">
        <v>349</v>
      </c>
    </row>
    <row r="64" spans="1:28">
      <c r="A64" s="126"/>
      <c r="B64" s="127"/>
      <c r="C64" s="126"/>
      <c r="D64" s="129" t="s">
        <v>410</v>
      </c>
      <c r="E64" s="127"/>
      <c r="F64" s="126"/>
      <c r="G64" s="143">
        <v>0</v>
      </c>
      <c r="H64" s="143">
        <v>0</v>
      </c>
      <c r="I64" s="143">
        <v>0</v>
      </c>
      <c r="J64" s="143">
        <v>0</v>
      </c>
      <c r="K64" s="143">
        <v>0</v>
      </c>
      <c r="L64" s="143">
        <f>0.12*63.82/100</f>
        <v>7.6583999999999999E-2</v>
      </c>
      <c r="M64" s="143"/>
      <c r="N64" s="629"/>
      <c r="O64" s="629"/>
      <c r="P64" s="629"/>
      <c r="Q64" s="629"/>
      <c r="R64" s="629"/>
      <c r="S64" s="629"/>
      <c r="T64" s="629"/>
      <c r="U64" s="629"/>
      <c r="V64" s="126">
        <v>1</v>
      </c>
      <c r="W64" s="126">
        <v>1</v>
      </c>
      <c r="X64" s="126">
        <v>1</v>
      </c>
      <c r="Y64" s="635"/>
      <c r="Z64" s="635"/>
      <c r="AA64" s="635"/>
    </row>
    <row r="65" spans="1:28" ht="27.6">
      <c r="A65" s="584"/>
      <c r="B65" s="585">
        <v>24</v>
      </c>
      <c r="C65" s="584" t="s">
        <v>403</v>
      </c>
      <c r="D65" s="624" t="s">
        <v>404</v>
      </c>
      <c r="E65" s="585" t="s">
        <v>398</v>
      </c>
      <c r="F65" s="584"/>
      <c r="G65" s="603">
        <v>0</v>
      </c>
      <c r="H65" s="603">
        <v>0</v>
      </c>
      <c r="I65" s="603">
        <v>0</v>
      </c>
      <c r="J65" s="603">
        <v>0</v>
      </c>
      <c r="K65" s="603">
        <v>0</v>
      </c>
      <c r="L65" s="143">
        <f>0</f>
        <v>0</v>
      </c>
      <c r="M65" s="143">
        <f>SUM(L66:L66)</f>
        <v>0.14080000000000001</v>
      </c>
      <c r="N65" s="630">
        <f>'6.Chiết tính'!J438</f>
        <v>618210.99161675188</v>
      </c>
      <c r="O65" s="630">
        <f>0*V65</f>
        <v>0</v>
      </c>
      <c r="P65" s="630">
        <f>'6.Chiết tính'!J442</f>
        <v>3370558</v>
      </c>
      <c r="Q65" s="630">
        <f>'6.Chiết tính'!J444</f>
        <v>182920.82011862399</v>
      </c>
      <c r="R65" s="630">
        <f>M65*N65</f>
        <v>87044.107619638671</v>
      </c>
      <c r="S65" s="630">
        <f>M65*O65</f>
        <v>0</v>
      </c>
      <c r="T65" s="630">
        <f>M65*P65</f>
        <v>474574.56640000001</v>
      </c>
      <c r="U65" s="630">
        <f>M65*Q65</f>
        <v>25755.251472702261</v>
      </c>
      <c r="V65" s="584">
        <v>1</v>
      </c>
      <c r="W65" s="584">
        <v>1</v>
      </c>
      <c r="X65" s="584">
        <v>1</v>
      </c>
      <c r="Y65" s="635"/>
      <c r="Z65" s="635"/>
      <c r="AA65" s="635"/>
      <c r="AB65" s="637" t="s">
        <v>349</v>
      </c>
    </row>
    <row r="66" spans="1:28">
      <c r="A66" s="126"/>
      <c r="B66" s="127"/>
      <c r="C66" s="126"/>
      <c r="D66" s="129" t="s">
        <v>411</v>
      </c>
      <c r="E66" s="127"/>
      <c r="F66" s="126"/>
      <c r="G66" s="143">
        <v>0</v>
      </c>
      <c r="H66" s="143">
        <v>0</v>
      </c>
      <c r="I66" s="143">
        <v>0</v>
      </c>
      <c r="J66" s="143">
        <v>0</v>
      </c>
      <c r="K66" s="143">
        <v>0</v>
      </c>
      <c r="L66" s="143">
        <f>14.08/100</f>
        <v>0.14080000000000001</v>
      </c>
      <c r="M66" s="143"/>
      <c r="N66" s="629"/>
      <c r="O66" s="629"/>
      <c r="P66" s="629"/>
      <c r="Q66" s="629"/>
      <c r="R66" s="629"/>
      <c r="S66" s="629"/>
      <c r="T66" s="629"/>
      <c r="U66" s="629"/>
      <c r="V66" s="126">
        <v>1</v>
      </c>
      <c r="W66" s="126">
        <v>1</v>
      </c>
      <c r="X66" s="126">
        <v>1</v>
      </c>
      <c r="Y66" s="635"/>
      <c r="Z66" s="635"/>
      <c r="AA66" s="635"/>
    </row>
    <row r="67" spans="1:28" ht="27.6">
      <c r="A67" s="584"/>
      <c r="B67" s="585">
        <v>25</v>
      </c>
      <c r="C67" s="584" t="s">
        <v>412</v>
      </c>
      <c r="D67" s="624" t="s">
        <v>413</v>
      </c>
      <c r="E67" s="585" t="s">
        <v>414</v>
      </c>
      <c r="F67" s="584"/>
      <c r="G67" s="603">
        <v>0</v>
      </c>
      <c r="H67" s="603">
        <v>0</v>
      </c>
      <c r="I67" s="603">
        <v>0</v>
      </c>
      <c r="J67" s="603">
        <v>0</v>
      </c>
      <c r="K67" s="603">
        <v>0</v>
      </c>
      <c r="L67" s="143">
        <f t="shared" ref="L67:L70" si="24">0</f>
        <v>0</v>
      </c>
      <c r="M67" s="143">
        <v>1026</v>
      </c>
      <c r="N67" s="630">
        <f>'6.Chiết tính'!J457</f>
        <v>2417.31</v>
      </c>
      <c r="O67" s="630">
        <f t="shared" ref="O67:O70" si="25">0*V67</f>
        <v>0</v>
      </c>
      <c r="P67" s="630">
        <f>'6.Chiết tính'!J462</f>
        <v>24300</v>
      </c>
      <c r="Q67" s="630">
        <f>'6.Chiết tính'!J464</f>
        <v>7949.0956880000003</v>
      </c>
      <c r="R67" s="630">
        <f t="shared" ref="R67:R70" si="26">M67*N67</f>
        <v>2480160.06</v>
      </c>
      <c r="S67" s="630">
        <f t="shared" ref="S67:S70" si="27">M67*O67</f>
        <v>0</v>
      </c>
      <c r="T67" s="630">
        <f t="shared" ref="T67:T70" si="28">M67*P67</f>
        <v>24931800</v>
      </c>
      <c r="U67" s="630">
        <f t="shared" ref="U67:U70" si="29">M67*Q67</f>
        <v>8155772.1758880001</v>
      </c>
      <c r="V67" s="584">
        <v>1</v>
      </c>
      <c r="W67" s="584">
        <v>1</v>
      </c>
      <c r="X67" s="584">
        <v>1</v>
      </c>
      <c r="Y67" s="635"/>
      <c r="Z67" s="635"/>
      <c r="AA67" s="635"/>
      <c r="AB67" s="637" t="s">
        <v>349</v>
      </c>
    </row>
    <row r="68" spans="1:28">
      <c r="A68" s="584"/>
      <c r="B68" s="585">
        <v>26</v>
      </c>
      <c r="C68" s="584" t="s">
        <v>415</v>
      </c>
      <c r="D68" s="624" t="s">
        <v>416</v>
      </c>
      <c r="E68" s="585" t="s">
        <v>414</v>
      </c>
      <c r="F68" s="584"/>
      <c r="G68" s="603">
        <v>0</v>
      </c>
      <c r="H68" s="603">
        <v>0</v>
      </c>
      <c r="I68" s="603">
        <v>0</v>
      </c>
      <c r="J68" s="603">
        <v>0</v>
      </c>
      <c r="K68" s="603">
        <v>0</v>
      </c>
      <c r="L68" s="143">
        <f t="shared" si="24"/>
        <v>0</v>
      </c>
      <c r="M68" s="143">
        <v>103.46</v>
      </c>
      <c r="N68" s="630">
        <f>'6.Chiết tính'!J478</f>
        <v>14775.189795528619</v>
      </c>
      <c r="O68" s="630">
        <f t="shared" si="25"/>
        <v>0</v>
      </c>
      <c r="P68" s="630"/>
      <c r="Q68" s="630">
        <f>'6.Chiết tính'!J488</f>
        <v>15541.363596162601</v>
      </c>
      <c r="R68" s="630">
        <f t="shared" si="26"/>
        <v>1528641.1362453909</v>
      </c>
      <c r="S68" s="630">
        <f t="shared" si="27"/>
        <v>0</v>
      </c>
      <c r="T68" s="630">
        <f t="shared" si="28"/>
        <v>0</v>
      </c>
      <c r="U68" s="630">
        <f t="shared" si="29"/>
        <v>1607909.4776589826</v>
      </c>
      <c r="V68" s="584">
        <v>1</v>
      </c>
      <c r="W68" s="584">
        <v>1</v>
      </c>
      <c r="X68" s="584">
        <v>1</v>
      </c>
      <c r="Y68" s="635"/>
      <c r="Z68" s="635"/>
      <c r="AA68" s="635"/>
      <c r="AB68" s="637" t="s">
        <v>349</v>
      </c>
    </row>
    <row r="69" spans="1:28">
      <c r="A69" s="584"/>
      <c r="B69" s="585">
        <v>27</v>
      </c>
      <c r="C69" s="584" t="s">
        <v>417</v>
      </c>
      <c r="D69" s="624" t="s">
        <v>418</v>
      </c>
      <c r="E69" s="585" t="s">
        <v>414</v>
      </c>
      <c r="F69" s="584"/>
      <c r="G69" s="603">
        <v>0</v>
      </c>
      <c r="H69" s="603">
        <v>0</v>
      </c>
      <c r="I69" s="603">
        <v>0</v>
      </c>
      <c r="J69" s="603">
        <v>0</v>
      </c>
      <c r="K69" s="603">
        <v>0</v>
      </c>
      <c r="L69" s="143">
        <f t="shared" si="24"/>
        <v>0</v>
      </c>
      <c r="M69" s="143">
        <v>1000.04</v>
      </c>
      <c r="N69" s="630">
        <f>'6.Chiết tính'!J502</f>
        <v>3213</v>
      </c>
      <c r="O69" s="630">
        <f t="shared" si="25"/>
        <v>0</v>
      </c>
      <c r="P69" s="630"/>
      <c r="Q69" s="630">
        <f>'6.Chiết tính'!J508</f>
        <v>7949.0956880000003</v>
      </c>
      <c r="R69" s="630">
        <f t="shared" si="26"/>
        <v>3213128.52</v>
      </c>
      <c r="S69" s="630">
        <f t="shared" si="27"/>
        <v>0</v>
      </c>
      <c r="T69" s="630">
        <f t="shared" si="28"/>
        <v>0</v>
      </c>
      <c r="U69" s="630">
        <f t="shared" si="29"/>
        <v>7949413.6518275198</v>
      </c>
      <c r="V69" s="584">
        <v>1</v>
      </c>
      <c r="W69" s="584">
        <v>1</v>
      </c>
      <c r="X69" s="584">
        <v>1</v>
      </c>
      <c r="Y69" s="635"/>
      <c r="Z69" s="635"/>
      <c r="AA69" s="635"/>
      <c r="AB69" s="637" t="s">
        <v>349</v>
      </c>
    </row>
    <row r="70" spans="1:28">
      <c r="A70" s="584"/>
      <c r="B70" s="585">
        <v>28</v>
      </c>
      <c r="C70" s="584" t="s">
        <v>419</v>
      </c>
      <c r="D70" s="624" t="s">
        <v>420</v>
      </c>
      <c r="E70" s="585" t="s">
        <v>421</v>
      </c>
      <c r="F70" s="584"/>
      <c r="G70" s="603">
        <v>0</v>
      </c>
      <c r="H70" s="603">
        <v>0</v>
      </c>
      <c r="I70" s="603">
        <v>0</v>
      </c>
      <c r="J70" s="603">
        <v>0</v>
      </c>
      <c r="K70" s="603">
        <v>0</v>
      </c>
      <c r="L70" s="143">
        <f t="shared" si="24"/>
        <v>0</v>
      </c>
      <c r="M70" s="143">
        <f>SUM(L71:L71)</f>
        <v>21.295000000000002</v>
      </c>
      <c r="N70" s="630">
        <f>'6.Chiết tính'!J522</f>
        <v>2432.6999999999998</v>
      </c>
      <c r="O70" s="630">
        <f t="shared" si="25"/>
        <v>0</v>
      </c>
      <c r="P70" s="630">
        <f>'6.Chiết tính'!J525</f>
        <v>288900</v>
      </c>
      <c r="Q70" s="630">
        <f>'6.Chiết tính'!J527</f>
        <v>126452.70096479999</v>
      </c>
      <c r="R70" s="630">
        <f t="shared" si="26"/>
        <v>51804.3465</v>
      </c>
      <c r="S70" s="630">
        <f t="shared" si="27"/>
        <v>0</v>
      </c>
      <c r="T70" s="630">
        <f t="shared" si="28"/>
        <v>6152125.5000000009</v>
      </c>
      <c r="U70" s="630">
        <f t="shared" si="29"/>
        <v>2692810.2670454159</v>
      </c>
      <c r="V70" s="584">
        <v>1</v>
      </c>
      <c r="W70" s="584">
        <v>1</v>
      </c>
      <c r="X70" s="584">
        <v>1</v>
      </c>
      <c r="Y70" s="635"/>
      <c r="Z70" s="635"/>
      <c r="AA70" s="635"/>
      <c r="AB70" s="637" t="s">
        <v>349</v>
      </c>
    </row>
    <row r="71" spans="1:28" ht="27.6">
      <c r="A71" s="126"/>
      <c r="B71" s="127"/>
      <c r="C71" s="126"/>
      <c r="D71" s="129" t="s">
        <v>422</v>
      </c>
      <c r="E71" s="127"/>
      <c r="F71" s="126"/>
      <c r="G71" s="143">
        <v>0</v>
      </c>
      <c r="H71" s="143">
        <v>0</v>
      </c>
      <c r="I71" s="143">
        <v>0</v>
      </c>
      <c r="J71" s="143">
        <v>0</v>
      </c>
      <c r="K71" s="143">
        <v>0</v>
      </c>
      <c r="L71" s="143">
        <f>(1026+103.46+1000.04)/100</f>
        <v>21.295000000000002</v>
      </c>
      <c r="M71" s="625" t="s">
        <v>420</v>
      </c>
      <c r="N71" s="629"/>
      <c r="O71" s="629"/>
      <c r="P71" s="629"/>
      <c r="Q71" s="629"/>
      <c r="R71" s="629"/>
      <c r="S71" s="629"/>
      <c r="T71" s="629"/>
      <c r="U71" s="629"/>
      <c r="V71" s="126">
        <v>1</v>
      </c>
      <c r="W71" s="126">
        <v>1</v>
      </c>
      <c r="X71" s="126">
        <v>1</v>
      </c>
      <c r="Y71" s="635"/>
      <c r="Z71" s="635"/>
      <c r="AA71" s="635"/>
    </row>
    <row r="72" spans="1:28">
      <c r="A72" s="618"/>
      <c r="B72" s="619"/>
      <c r="C72" s="618"/>
      <c r="D72" s="919" t="s">
        <v>423</v>
      </c>
      <c r="E72" s="920"/>
      <c r="F72" s="921"/>
      <c r="G72" s="922"/>
      <c r="H72" s="922"/>
      <c r="I72" s="922"/>
      <c r="J72" s="922"/>
      <c r="K72" s="922"/>
      <c r="L72" s="923"/>
      <c r="M72" s="923"/>
      <c r="N72" s="924"/>
      <c r="O72" s="924"/>
      <c r="P72" s="924"/>
      <c r="Q72" s="924"/>
      <c r="R72" s="631">
        <f>SUMIF(B73:B166,"&gt;0",R73:R166)</f>
        <v>2119327961.037097</v>
      </c>
      <c r="S72" s="631">
        <f>SUMIF(B73:B166,"&gt;0",S73:S166)</f>
        <v>0</v>
      </c>
      <c r="T72" s="631">
        <f>SUMIF(B73:B166,"&gt;0",T73:T166)</f>
        <v>270251586.988428</v>
      </c>
      <c r="U72" s="631">
        <f>SUMIF(B73:B166,"&gt;0",U73:U166)</f>
        <v>467004058.5492571</v>
      </c>
      <c r="V72" s="618"/>
      <c r="W72" s="618"/>
      <c r="X72" s="618"/>
      <c r="Y72" s="635"/>
      <c r="Z72" s="635"/>
      <c r="AA72" s="635"/>
    </row>
    <row r="73" spans="1:28">
      <c r="A73" s="620"/>
      <c r="B73" s="621"/>
      <c r="C73" s="620"/>
      <c r="D73" s="620" t="s">
        <v>340</v>
      </c>
      <c r="E73" s="621"/>
      <c r="F73" s="620"/>
      <c r="G73" s="622"/>
      <c r="H73" s="622"/>
      <c r="I73" s="622"/>
      <c r="J73" s="622"/>
      <c r="K73" s="627"/>
      <c r="L73" s="143"/>
      <c r="M73" s="143"/>
      <c r="N73" s="628"/>
      <c r="O73" s="628"/>
      <c r="P73" s="628"/>
      <c r="Q73" s="628"/>
      <c r="R73" s="628"/>
      <c r="S73" s="628"/>
      <c r="T73" s="628"/>
      <c r="U73" s="628"/>
      <c r="V73" s="633"/>
      <c r="W73" s="633"/>
      <c r="X73" s="633"/>
      <c r="Y73" s="635"/>
      <c r="Z73" s="635"/>
      <c r="AA73" s="635"/>
    </row>
    <row r="74" spans="1:28">
      <c r="A74" s="620"/>
      <c r="B74" s="621"/>
      <c r="C74" s="620"/>
      <c r="D74" s="620" t="s">
        <v>341</v>
      </c>
      <c r="E74" s="621"/>
      <c r="F74" s="620"/>
      <c r="G74" s="622"/>
      <c r="H74" s="622"/>
      <c r="I74" s="622"/>
      <c r="J74" s="622"/>
      <c r="K74" s="627"/>
      <c r="L74" s="143"/>
      <c r="M74" s="143"/>
      <c r="N74" s="628"/>
      <c r="O74" s="628"/>
      <c r="P74" s="628"/>
      <c r="Q74" s="628"/>
      <c r="R74" s="628"/>
      <c r="S74" s="628"/>
      <c r="T74" s="628"/>
      <c r="U74" s="628"/>
      <c r="V74" s="633"/>
      <c r="W74" s="633"/>
      <c r="X74" s="633"/>
      <c r="Y74" s="635"/>
      <c r="Z74" s="635"/>
      <c r="AA74" s="635"/>
    </row>
    <row r="75" spans="1:28" ht="15">
      <c r="A75" s="638"/>
      <c r="B75" s="639"/>
      <c r="C75" s="638"/>
      <c r="D75" s="640" t="s">
        <v>342</v>
      </c>
      <c r="E75" s="639"/>
      <c r="F75" s="638"/>
      <c r="G75" s="641">
        <v>0</v>
      </c>
      <c r="H75" s="641">
        <v>0</v>
      </c>
      <c r="I75" s="641">
        <v>0</v>
      </c>
      <c r="J75" s="641">
        <v>0</v>
      </c>
      <c r="K75" s="641">
        <v>0</v>
      </c>
      <c r="L75" s="641">
        <f t="shared" ref="L75:L76" si="30">0</f>
        <v>0</v>
      </c>
      <c r="M75" s="641"/>
      <c r="N75" s="645"/>
      <c r="O75" s="645"/>
      <c r="P75" s="645"/>
      <c r="Q75" s="645"/>
      <c r="R75" s="645"/>
      <c r="S75" s="645"/>
      <c r="T75" s="645"/>
      <c r="U75" s="645"/>
      <c r="V75" s="638">
        <v>1</v>
      </c>
      <c r="W75" s="638">
        <v>1</v>
      </c>
      <c r="X75" s="638">
        <v>1</v>
      </c>
      <c r="Y75" s="635"/>
      <c r="Z75" s="635"/>
      <c r="AA75" s="635"/>
    </row>
    <row r="76" spans="1:28" ht="27.6">
      <c r="A76" s="584"/>
      <c r="B76" s="585">
        <v>29</v>
      </c>
      <c r="C76" s="584" t="s">
        <v>343</v>
      </c>
      <c r="D76" s="624" t="s">
        <v>344</v>
      </c>
      <c r="E76" s="585" t="s">
        <v>345</v>
      </c>
      <c r="F76" s="584"/>
      <c r="G76" s="603">
        <v>0</v>
      </c>
      <c r="H76" s="603">
        <v>0</v>
      </c>
      <c r="I76" s="603">
        <v>0</v>
      </c>
      <c r="J76" s="603">
        <v>0</v>
      </c>
      <c r="K76" s="603">
        <v>0</v>
      </c>
      <c r="L76" s="143">
        <f t="shared" si="30"/>
        <v>0</v>
      </c>
      <c r="M76" s="143">
        <f>SUM(L77:L77)</f>
        <v>1.2262999999999999</v>
      </c>
      <c r="N76" s="630">
        <f>'6.Chiết tính'!J542</f>
        <v>0</v>
      </c>
      <c r="O76" s="630">
        <f>0*V76</f>
        <v>0</v>
      </c>
      <c r="P76" s="630">
        <f>'6.Chiết tính'!J543</f>
        <v>775015.02</v>
      </c>
      <c r="Q76" s="630">
        <f>'6.Chiết tính'!J545</f>
        <v>986868.38985857158</v>
      </c>
      <c r="R76" s="630">
        <f>M76*N76</f>
        <v>0</v>
      </c>
      <c r="S76" s="630">
        <f>M76*O76</f>
        <v>0</v>
      </c>
      <c r="T76" s="630">
        <f>M76*P76</f>
        <v>950400.91902599996</v>
      </c>
      <c r="U76" s="630">
        <f>M76*Q76</f>
        <v>1210196.7064835662</v>
      </c>
      <c r="V76" s="584">
        <v>1</v>
      </c>
      <c r="W76" s="584">
        <v>1</v>
      </c>
      <c r="X76" s="584">
        <v>1</v>
      </c>
      <c r="Y76" s="635"/>
      <c r="Z76" s="635"/>
      <c r="AA76" s="635"/>
      <c r="AB76" s="637" t="s">
        <v>349</v>
      </c>
    </row>
    <row r="77" spans="1:28">
      <c r="A77" s="126"/>
      <c r="B77" s="127"/>
      <c r="C77" s="126"/>
      <c r="D77" s="129" t="s">
        <v>424</v>
      </c>
      <c r="E77" s="127"/>
      <c r="F77" s="126"/>
      <c r="G77" s="143">
        <v>0</v>
      </c>
      <c r="H77" s="143">
        <v>0</v>
      </c>
      <c r="I77" s="143">
        <v>0</v>
      </c>
      <c r="J77" s="143">
        <v>0</v>
      </c>
      <c r="K77" s="143">
        <v>0</v>
      </c>
      <c r="L77" s="143">
        <f>122.63/100</f>
        <v>1.2262999999999999</v>
      </c>
      <c r="M77" s="143"/>
      <c r="N77" s="629"/>
      <c r="O77" s="629"/>
      <c r="P77" s="629"/>
      <c r="Q77" s="629"/>
      <c r="R77" s="629"/>
      <c r="S77" s="629"/>
      <c r="T77" s="629"/>
      <c r="U77" s="629"/>
      <c r="V77" s="126">
        <v>1</v>
      </c>
      <c r="W77" s="126">
        <v>1</v>
      </c>
      <c r="X77" s="126">
        <v>1</v>
      </c>
      <c r="Y77" s="635"/>
      <c r="Z77" s="635"/>
      <c r="AA77" s="635"/>
    </row>
    <row r="78" spans="1:28" ht="27.6">
      <c r="A78" s="584"/>
      <c r="B78" s="585">
        <v>30</v>
      </c>
      <c r="C78" s="584" t="s">
        <v>347</v>
      </c>
      <c r="D78" s="624" t="s">
        <v>348</v>
      </c>
      <c r="E78" s="585" t="s">
        <v>345</v>
      </c>
      <c r="F78" s="584"/>
      <c r="G78" s="603">
        <v>0</v>
      </c>
      <c r="H78" s="603">
        <v>0</v>
      </c>
      <c r="I78" s="603">
        <v>0</v>
      </c>
      <c r="J78" s="603">
        <v>0</v>
      </c>
      <c r="K78" s="603">
        <v>0</v>
      </c>
      <c r="L78" s="143">
        <f>0</f>
        <v>0</v>
      </c>
      <c r="M78" s="143">
        <f>SUM(L79:L79)</f>
        <v>3.6326000000000001</v>
      </c>
      <c r="N78" s="630">
        <f>'6.Chiết tính'!J558</f>
        <v>0</v>
      </c>
      <c r="O78" s="630">
        <f>0*V78</f>
        <v>0</v>
      </c>
      <c r="P78" s="630">
        <f>'6.Chiết tính'!J559</f>
        <v>928189.08</v>
      </c>
      <c r="Q78" s="630">
        <f>'6.Chiết tính'!J561</f>
        <v>1160321.1908914286</v>
      </c>
      <c r="R78" s="630">
        <f>M78*N78</f>
        <v>0</v>
      </c>
      <c r="S78" s="630">
        <f>M78*O78</f>
        <v>0</v>
      </c>
      <c r="T78" s="630">
        <f>M78*P78</f>
        <v>3371739.6520079998</v>
      </c>
      <c r="U78" s="630">
        <f>M78*Q78</f>
        <v>4214982.7580322037</v>
      </c>
      <c r="V78" s="584">
        <v>1</v>
      </c>
      <c r="W78" s="584">
        <v>1</v>
      </c>
      <c r="X78" s="584">
        <v>1</v>
      </c>
      <c r="Y78" s="635"/>
      <c r="Z78" s="635"/>
      <c r="AA78" s="635"/>
      <c r="AB78" s="637" t="s">
        <v>349</v>
      </c>
    </row>
    <row r="79" spans="1:28">
      <c r="A79" s="126"/>
      <c r="B79" s="127"/>
      <c r="C79" s="126"/>
      <c r="D79" s="129" t="s">
        <v>425</v>
      </c>
      <c r="E79" s="127"/>
      <c r="F79" s="126"/>
      <c r="G79" s="143">
        <v>0</v>
      </c>
      <c r="H79" s="143">
        <v>0</v>
      </c>
      <c r="I79" s="143">
        <v>0</v>
      </c>
      <c r="J79" s="143">
        <v>0</v>
      </c>
      <c r="K79" s="143">
        <v>0</v>
      </c>
      <c r="L79" s="143">
        <f>363.26/100</f>
        <v>3.6326000000000001</v>
      </c>
      <c r="M79" s="143"/>
      <c r="N79" s="629"/>
      <c r="O79" s="629"/>
      <c r="P79" s="629"/>
      <c r="Q79" s="629"/>
      <c r="R79" s="629"/>
      <c r="S79" s="629"/>
      <c r="T79" s="629"/>
      <c r="U79" s="629"/>
      <c r="V79" s="126">
        <v>1</v>
      </c>
      <c r="W79" s="126">
        <v>1</v>
      </c>
      <c r="X79" s="126">
        <v>1</v>
      </c>
      <c r="Y79" s="635"/>
      <c r="Z79" s="635"/>
      <c r="AA79" s="635"/>
    </row>
    <row r="80" spans="1:28" ht="27.6">
      <c r="A80" s="584"/>
      <c r="B80" s="585">
        <v>31</v>
      </c>
      <c r="C80" s="584" t="s">
        <v>351</v>
      </c>
      <c r="D80" s="624" t="s">
        <v>352</v>
      </c>
      <c r="E80" s="585" t="s">
        <v>345</v>
      </c>
      <c r="F80" s="584"/>
      <c r="G80" s="603">
        <v>0</v>
      </c>
      <c r="H80" s="603">
        <v>0</v>
      </c>
      <c r="I80" s="603">
        <v>0</v>
      </c>
      <c r="J80" s="603">
        <v>0</v>
      </c>
      <c r="K80" s="603">
        <v>0</v>
      </c>
      <c r="L80" s="143">
        <f>0</f>
        <v>0</v>
      </c>
      <c r="M80" s="143">
        <f>SUM(L81:L81)</f>
        <v>0.48090000000000005</v>
      </c>
      <c r="N80" s="630">
        <f>'6.Chiết tính'!J574</f>
        <v>0</v>
      </c>
      <c r="O80" s="630">
        <f>0*V80</f>
        <v>0</v>
      </c>
      <c r="P80" s="630">
        <f>'6.Chiết tính'!J575</f>
        <v>1099652.5799999998</v>
      </c>
      <c r="Q80" s="630">
        <f>'6.Chiết tính'!J577</f>
        <v>1588223.1451285714</v>
      </c>
      <c r="R80" s="630">
        <f>M80*N80</f>
        <v>0</v>
      </c>
      <c r="S80" s="630">
        <f>M80*O80</f>
        <v>0</v>
      </c>
      <c r="T80" s="630">
        <f>M80*P80</f>
        <v>528822.92572199996</v>
      </c>
      <c r="U80" s="630">
        <f>M80*Q80</f>
        <v>763776.51049233007</v>
      </c>
      <c r="V80" s="584">
        <v>1</v>
      </c>
      <c r="W80" s="584">
        <v>1</v>
      </c>
      <c r="X80" s="584">
        <v>1</v>
      </c>
      <c r="Y80" s="635"/>
      <c r="Z80" s="635"/>
      <c r="AA80" s="635"/>
      <c r="AB80" s="637" t="s">
        <v>349</v>
      </c>
    </row>
    <row r="81" spans="1:28">
      <c r="A81" s="126"/>
      <c r="B81" s="127"/>
      <c r="C81" s="126"/>
      <c r="D81" s="129" t="s">
        <v>426</v>
      </c>
      <c r="E81" s="127"/>
      <c r="F81" s="126"/>
      <c r="G81" s="143">
        <v>0</v>
      </c>
      <c r="H81" s="143">
        <v>0</v>
      </c>
      <c r="I81" s="143">
        <v>0</v>
      </c>
      <c r="J81" s="143">
        <v>0</v>
      </c>
      <c r="K81" s="143">
        <v>0</v>
      </c>
      <c r="L81" s="143">
        <f>48.09/100</f>
        <v>0.48090000000000005</v>
      </c>
      <c r="M81" s="143"/>
      <c r="N81" s="629"/>
      <c r="O81" s="629"/>
      <c r="P81" s="629"/>
      <c r="Q81" s="629"/>
      <c r="R81" s="629"/>
      <c r="S81" s="629"/>
      <c r="T81" s="629"/>
      <c r="U81" s="629"/>
      <c r="V81" s="126">
        <v>1</v>
      </c>
      <c r="W81" s="126">
        <v>1</v>
      </c>
      <c r="X81" s="126">
        <v>1</v>
      </c>
      <c r="Y81" s="635"/>
      <c r="Z81" s="635"/>
      <c r="AA81" s="635"/>
    </row>
    <row r="82" spans="1:28" ht="27.6">
      <c r="A82" s="584"/>
      <c r="B82" s="585">
        <v>32</v>
      </c>
      <c r="C82" s="584" t="s">
        <v>358</v>
      </c>
      <c r="D82" s="624" t="s">
        <v>359</v>
      </c>
      <c r="E82" s="585" t="s">
        <v>356</v>
      </c>
      <c r="F82" s="584"/>
      <c r="G82" s="603">
        <v>0</v>
      </c>
      <c r="H82" s="603">
        <v>0</v>
      </c>
      <c r="I82" s="603">
        <v>0</v>
      </c>
      <c r="J82" s="603">
        <v>0</v>
      </c>
      <c r="K82" s="603">
        <v>0</v>
      </c>
      <c r="L82" s="143">
        <f>0</f>
        <v>0</v>
      </c>
      <c r="M82" s="143">
        <f>SUM(L83:L84)</f>
        <v>32.340000000000003</v>
      </c>
      <c r="N82" s="630">
        <f>'6.Chiết tính'!J590</f>
        <v>0</v>
      </c>
      <c r="O82" s="630">
        <f>0*V82</f>
        <v>0</v>
      </c>
      <c r="P82" s="630">
        <f>'6.Chiết tính'!J591</f>
        <v>10996.525799999999</v>
      </c>
      <c r="Q82" s="630">
        <f>'6.Chiết tính'!J593</f>
        <v>15882.231451285714</v>
      </c>
      <c r="R82" s="630">
        <f>M82*N82</f>
        <v>0</v>
      </c>
      <c r="S82" s="630">
        <f>M82*O82</f>
        <v>0</v>
      </c>
      <c r="T82" s="630">
        <f>M82*P82</f>
        <v>355627.64437200001</v>
      </c>
      <c r="U82" s="630">
        <f>M82*Q82</f>
        <v>513631.36513458006</v>
      </c>
      <c r="V82" s="584">
        <v>1</v>
      </c>
      <c r="W82" s="584">
        <v>1</v>
      </c>
      <c r="X82" s="584">
        <v>1</v>
      </c>
      <c r="Y82" s="635"/>
      <c r="Z82" s="635"/>
      <c r="AA82" s="635"/>
      <c r="AB82" s="637" t="s">
        <v>349</v>
      </c>
    </row>
    <row r="83" spans="1:28">
      <c r="A83" s="126"/>
      <c r="B83" s="127"/>
      <c r="C83" s="126"/>
      <c r="D83" s="129" t="s">
        <v>427</v>
      </c>
      <c r="E83" s="127"/>
      <c r="F83" s="126"/>
      <c r="G83" s="143">
        <v>0</v>
      </c>
      <c r="H83" s="143">
        <v>0</v>
      </c>
      <c r="I83" s="143">
        <v>0</v>
      </c>
      <c r="J83" s="143">
        <v>0</v>
      </c>
      <c r="K83" s="143">
        <v>0</v>
      </c>
      <c r="L83" s="143">
        <f>32.34</f>
        <v>32.340000000000003</v>
      </c>
      <c r="M83" s="143"/>
      <c r="N83" s="629"/>
      <c r="O83" s="629"/>
      <c r="P83" s="629"/>
      <c r="Q83" s="629"/>
      <c r="R83" s="629"/>
      <c r="S83" s="629"/>
      <c r="T83" s="629"/>
      <c r="U83" s="629"/>
      <c r="V83" s="126">
        <v>1</v>
      </c>
      <c r="W83" s="126">
        <v>1</v>
      </c>
      <c r="X83" s="126">
        <v>1</v>
      </c>
      <c r="Y83" s="635"/>
      <c r="Z83" s="635"/>
      <c r="AA83" s="635"/>
    </row>
    <row r="84" spans="1:28" ht="15">
      <c r="A84" s="638"/>
      <c r="B84" s="639"/>
      <c r="C84" s="638"/>
      <c r="D84" s="640" t="s">
        <v>360</v>
      </c>
      <c r="E84" s="639"/>
      <c r="F84" s="638"/>
      <c r="G84" s="641">
        <v>0</v>
      </c>
      <c r="H84" s="641">
        <v>0</v>
      </c>
      <c r="I84" s="641">
        <v>0</v>
      </c>
      <c r="J84" s="641">
        <v>0</v>
      </c>
      <c r="K84" s="641">
        <v>0</v>
      </c>
      <c r="L84" s="641">
        <f t="shared" ref="L84:L85" si="31">0</f>
        <v>0</v>
      </c>
      <c r="M84" s="641"/>
      <c r="N84" s="645"/>
      <c r="O84" s="645"/>
      <c r="P84" s="645"/>
      <c r="Q84" s="645"/>
      <c r="R84" s="645"/>
      <c r="S84" s="645"/>
      <c r="T84" s="645"/>
      <c r="U84" s="645"/>
      <c r="V84" s="638">
        <v>1</v>
      </c>
      <c r="W84" s="638">
        <v>1</v>
      </c>
      <c r="X84" s="638">
        <v>1</v>
      </c>
      <c r="Y84" s="635"/>
      <c r="Z84" s="635"/>
      <c r="AA84" s="635"/>
    </row>
    <row r="85" spans="1:28" ht="30">
      <c r="A85" s="584"/>
      <c r="B85" s="585">
        <v>33</v>
      </c>
      <c r="C85" s="584" t="s">
        <v>361</v>
      </c>
      <c r="D85" s="625" t="s">
        <v>362</v>
      </c>
      <c r="E85" s="585" t="s">
        <v>345</v>
      </c>
      <c r="F85" s="584"/>
      <c r="G85" s="603">
        <v>0</v>
      </c>
      <c r="H85" s="603">
        <v>0</v>
      </c>
      <c r="I85" s="603">
        <v>0</v>
      </c>
      <c r="J85" s="603">
        <v>0</v>
      </c>
      <c r="K85" s="603">
        <v>0</v>
      </c>
      <c r="L85" s="143">
        <f t="shared" si="31"/>
        <v>0</v>
      </c>
      <c r="M85" s="143">
        <f>SUM(L86:L86)</f>
        <v>0.2107</v>
      </c>
      <c r="N85" s="630">
        <f>'6.Chiết tính'!J606</f>
        <v>0</v>
      </c>
      <c r="O85" s="630">
        <f>0*V85</f>
        <v>0</v>
      </c>
      <c r="P85" s="630">
        <f>'6.Chiết tính'!J607</f>
        <v>775015.02</v>
      </c>
      <c r="Q85" s="630">
        <f>'6.Chiết tính'!J609</f>
        <v>923192.63670857158</v>
      </c>
      <c r="R85" s="630">
        <f>M85*N85</f>
        <v>0</v>
      </c>
      <c r="S85" s="630">
        <f>M85*O85</f>
        <v>0</v>
      </c>
      <c r="T85" s="630">
        <f>M85*P85</f>
        <v>163295.66471400001</v>
      </c>
      <c r="U85" s="630">
        <f>M85*Q85</f>
        <v>194516.68855449604</v>
      </c>
      <c r="V85" s="584">
        <v>1</v>
      </c>
      <c r="W85" s="584">
        <v>1</v>
      </c>
      <c r="X85" s="584">
        <v>1</v>
      </c>
      <c r="Y85" s="635"/>
      <c r="Z85" s="635"/>
      <c r="AA85" s="635"/>
      <c r="AB85" s="637" t="s">
        <v>349</v>
      </c>
    </row>
    <row r="86" spans="1:28">
      <c r="A86" s="126"/>
      <c r="B86" s="127"/>
      <c r="C86" s="126"/>
      <c r="D86" s="129" t="s">
        <v>428</v>
      </c>
      <c r="E86" s="127"/>
      <c r="F86" s="126"/>
      <c r="G86" s="143">
        <v>0</v>
      </c>
      <c r="H86" s="143">
        <v>0</v>
      </c>
      <c r="I86" s="143">
        <v>0</v>
      </c>
      <c r="J86" s="143">
        <v>0</v>
      </c>
      <c r="K86" s="143">
        <v>0</v>
      </c>
      <c r="L86" s="143">
        <f>21.07/100</f>
        <v>0.2107</v>
      </c>
      <c r="M86" s="143"/>
      <c r="N86" s="629"/>
      <c r="O86" s="629"/>
      <c r="P86" s="629"/>
      <c r="Q86" s="629"/>
      <c r="R86" s="629"/>
      <c r="S86" s="629"/>
      <c r="T86" s="629"/>
      <c r="U86" s="629"/>
      <c r="V86" s="126">
        <v>1</v>
      </c>
      <c r="W86" s="126">
        <v>1</v>
      </c>
      <c r="X86" s="126">
        <v>1</v>
      </c>
      <c r="Y86" s="635"/>
      <c r="Z86" s="635"/>
      <c r="AA86" s="635"/>
    </row>
    <row r="87" spans="1:28" ht="30">
      <c r="A87" s="584"/>
      <c r="B87" s="585">
        <v>34</v>
      </c>
      <c r="C87" s="584" t="s">
        <v>364</v>
      </c>
      <c r="D87" s="625" t="s">
        <v>365</v>
      </c>
      <c r="E87" s="585" t="s">
        <v>345</v>
      </c>
      <c r="F87" s="584"/>
      <c r="G87" s="603">
        <v>0</v>
      </c>
      <c r="H87" s="603">
        <v>0</v>
      </c>
      <c r="I87" s="603">
        <v>0</v>
      </c>
      <c r="J87" s="603">
        <v>0</v>
      </c>
      <c r="K87" s="603">
        <v>0</v>
      </c>
      <c r="L87" s="143">
        <f>0</f>
        <v>0</v>
      </c>
      <c r="M87" s="143">
        <f>SUM(L88:L88)</f>
        <v>2.9964</v>
      </c>
      <c r="N87" s="630">
        <f>'6.Chiết tính'!J622</f>
        <v>0</v>
      </c>
      <c r="O87" s="630">
        <f>0*V87</f>
        <v>0</v>
      </c>
      <c r="P87" s="630">
        <f>'6.Chiết tính'!J623</f>
        <v>928189.08</v>
      </c>
      <c r="Q87" s="630">
        <f>'6.Chiết tính'!J625</f>
        <v>1087548.901577143</v>
      </c>
      <c r="R87" s="630">
        <f>M87*N87</f>
        <v>0</v>
      </c>
      <c r="S87" s="630">
        <f>M87*O87</f>
        <v>0</v>
      </c>
      <c r="T87" s="630">
        <f>M87*P87</f>
        <v>2781225.7593119997</v>
      </c>
      <c r="U87" s="630">
        <f>M87*Q87</f>
        <v>3258731.5286857514</v>
      </c>
      <c r="V87" s="584">
        <v>1</v>
      </c>
      <c r="W87" s="584">
        <v>1</v>
      </c>
      <c r="X87" s="584">
        <v>1</v>
      </c>
      <c r="Y87" s="635"/>
      <c r="Z87" s="635"/>
      <c r="AA87" s="635"/>
      <c r="AB87" s="637" t="s">
        <v>349</v>
      </c>
    </row>
    <row r="88" spans="1:28">
      <c r="A88" s="126"/>
      <c r="B88" s="127"/>
      <c r="C88" s="126"/>
      <c r="D88" s="129" t="s">
        <v>429</v>
      </c>
      <c r="E88" s="127"/>
      <c r="F88" s="126"/>
      <c r="G88" s="143">
        <v>0</v>
      </c>
      <c r="H88" s="143">
        <v>0</v>
      </c>
      <c r="I88" s="143">
        <v>0</v>
      </c>
      <c r="J88" s="143">
        <v>0</v>
      </c>
      <c r="K88" s="143">
        <v>0</v>
      </c>
      <c r="L88" s="143">
        <f>299.64/100</f>
        <v>2.9964</v>
      </c>
      <c r="M88" s="143"/>
      <c r="N88" s="629"/>
      <c r="O88" s="629"/>
      <c r="P88" s="629"/>
      <c r="Q88" s="629"/>
      <c r="R88" s="629"/>
      <c r="S88" s="629"/>
      <c r="T88" s="629"/>
      <c r="U88" s="629"/>
      <c r="V88" s="126">
        <v>1</v>
      </c>
      <c r="W88" s="126">
        <v>1</v>
      </c>
      <c r="X88" s="126">
        <v>1</v>
      </c>
      <c r="Y88" s="635"/>
      <c r="Z88" s="635"/>
      <c r="AA88" s="635"/>
    </row>
    <row r="89" spans="1:28" ht="27.6">
      <c r="A89" s="584"/>
      <c r="B89" s="585">
        <v>35</v>
      </c>
      <c r="C89" s="584" t="s">
        <v>367</v>
      </c>
      <c r="D89" s="624" t="s">
        <v>368</v>
      </c>
      <c r="E89" s="585" t="s">
        <v>345</v>
      </c>
      <c r="F89" s="584"/>
      <c r="G89" s="603">
        <v>0</v>
      </c>
      <c r="H89" s="603">
        <v>0</v>
      </c>
      <c r="I89" s="603">
        <v>0</v>
      </c>
      <c r="J89" s="603">
        <v>0</v>
      </c>
      <c r="K89" s="603">
        <v>0</v>
      </c>
      <c r="L89" s="143">
        <f>0</f>
        <v>0</v>
      </c>
      <c r="M89" s="143">
        <f>SUM(L90:L91)</f>
        <v>6.1699999999999998E-2</v>
      </c>
      <c r="N89" s="630">
        <f>'6.Chiết tính'!J638</f>
        <v>0</v>
      </c>
      <c r="O89" s="630">
        <f>0*V89</f>
        <v>0</v>
      </c>
      <c r="P89" s="630">
        <f>'6.Chiết tính'!J639</f>
        <v>1099652.5799999998</v>
      </c>
      <c r="Q89" s="630">
        <f>'6.Chiết tính'!J641</f>
        <v>1482703.3256228571</v>
      </c>
      <c r="R89" s="630">
        <f>M89*N89</f>
        <v>0</v>
      </c>
      <c r="S89" s="630">
        <f>M89*O89</f>
        <v>0</v>
      </c>
      <c r="T89" s="630">
        <f>M89*P89</f>
        <v>67848.564185999989</v>
      </c>
      <c r="U89" s="630">
        <f>M89*Q89</f>
        <v>91482.795190930279</v>
      </c>
      <c r="V89" s="584">
        <v>1</v>
      </c>
      <c r="W89" s="584">
        <v>1</v>
      </c>
      <c r="X89" s="584">
        <v>1</v>
      </c>
      <c r="Y89" s="635"/>
      <c r="Z89" s="635"/>
      <c r="AA89" s="635"/>
      <c r="AB89" s="637" t="s">
        <v>349</v>
      </c>
    </row>
    <row r="90" spans="1:28">
      <c r="A90" s="126"/>
      <c r="B90" s="127"/>
      <c r="C90" s="126"/>
      <c r="D90" s="129" t="s">
        <v>430</v>
      </c>
      <c r="E90" s="127"/>
      <c r="F90" s="126"/>
      <c r="G90" s="143">
        <v>0</v>
      </c>
      <c r="H90" s="143">
        <v>0</v>
      </c>
      <c r="I90" s="143">
        <v>0</v>
      </c>
      <c r="J90" s="143">
        <v>0</v>
      </c>
      <c r="K90" s="143">
        <v>0</v>
      </c>
      <c r="L90" s="143">
        <f>6.17/100</f>
        <v>6.1699999999999998E-2</v>
      </c>
      <c r="M90" s="143"/>
      <c r="N90" s="629"/>
      <c r="O90" s="629"/>
      <c r="P90" s="629"/>
      <c r="Q90" s="629"/>
      <c r="R90" s="629"/>
      <c r="S90" s="629"/>
      <c r="T90" s="629"/>
      <c r="U90" s="629"/>
      <c r="V90" s="126">
        <v>1</v>
      </c>
      <c r="W90" s="126">
        <v>1</v>
      </c>
      <c r="X90" s="126">
        <v>1</v>
      </c>
      <c r="Y90" s="635"/>
      <c r="Z90" s="635"/>
      <c r="AA90" s="635"/>
    </row>
    <row r="91" spans="1:28" ht="15">
      <c r="A91" s="638"/>
      <c r="B91" s="639"/>
      <c r="C91" s="638"/>
      <c r="D91" s="640" t="s">
        <v>371</v>
      </c>
      <c r="E91" s="639"/>
      <c r="F91" s="638"/>
      <c r="G91" s="641">
        <v>0</v>
      </c>
      <c r="H91" s="641">
        <v>0</v>
      </c>
      <c r="I91" s="641">
        <v>0</v>
      </c>
      <c r="J91" s="641">
        <v>0</v>
      </c>
      <c r="K91" s="641">
        <v>0</v>
      </c>
      <c r="L91" s="641">
        <f t="shared" ref="L91:L92" si="32">0</f>
        <v>0</v>
      </c>
      <c r="M91" s="641"/>
      <c r="N91" s="645"/>
      <c r="O91" s="645"/>
      <c r="P91" s="645"/>
      <c r="Q91" s="645"/>
      <c r="R91" s="645"/>
      <c r="S91" s="645"/>
      <c r="T91" s="645"/>
      <c r="U91" s="645"/>
      <c r="V91" s="638">
        <v>1</v>
      </c>
      <c r="W91" s="638">
        <v>1</v>
      </c>
      <c r="X91" s="638">
        <v>1</v>
      </c>
      <c r="Y91" s="635"/>
      <c r="Z91" s="635"/>
      <c r="AA91" s="635"/>
    </row>
    <row r="92" spans="1:28" ht="27.6">
      <c r="A92" s="584"/>
      <c r="B92" s="585">
        <v>36</v>
      </c>
      <c r="C92" s="584" t="s">
        <v>361</v>
      </c>
      <c r="D92" s="624" t="s">
        <v>372</v>
      </c>
      <c r="E92" s="585" t="s">
        <v>345</v>
      </c>
      <c r="F92" s="584"/>
      <c r="G92" s="603">
        <v>0</v>
      </c>
      <c r="H92" s="603">
        <v>0</v>
      </c>
      <c r="I92" s="603">
        <v>0</v>
      </c>
      <c r="J92" s="603">
        <v>0</v>
      </c>
      <c r="K92" s="603">
        <v>0</v>
      </c>
      <c r="L92" s="143">
        <f t="shared" si="32"/>
        <v>0</v>
      </c>
      <c r="M92" s="143">
        <f>SUM(L93:L93)</f>
        <v>0.92680000000000007</v>
      </c>
      <c r="N92" s="630">
        <f>'6.Chiết tính'!J654</f>
        <v>0</v>
      </c>
      <c r="O92" s="630">
        <f>0*V92</f>
        <v>0</v>
      </c>
      <c r="P92" s="630">
        <f>'6.Chiết tính'!J655</f>
        <v>775015.02</v>
      </c>
      <c r="Q92" s="630">
        <f>'6.Chiết tính'!J657</f>
        <v>923192.63670857158</v>
      </c>
      <c r="R92" s="630">
        <f>M92*N92</f>
        <v>0</v>
      </c>
      <c r="S92" s="630">
        <f>M92*O92</f>
        <v>0</v>
      </c>
      <c r="T92" s="630">
        <f>M92*P92</f>
        <v>718283.92053600005</v>
      </c>
      <c r="U92" s="630">
        <f>M92*Q92</f>
        <v>855614.93570150423</v>
      </c>
      <c r="V92" s="584">
        <v>1</v>
      </c>
      <c r="W92" s="584">
        <v>1</v>
      </c>
      <c r="X92" s="584">
        <v>1</v>
      </c>
      <c r="Y92" s="635"/>
      <c r="Z92" s="635"/>
      <c r="AA92" s="635"/>
      <c r="AB92" s="637" t="s">
        <v>349</v>
      </c>
    </row>
    <row r="93" spans="1:28">
      <c r="A93" s="126"/>
      <c r="B93" s="127"/>
      <c r="C93" s="126"/>
      <c r="D93" s="129" t="s">
        <v>431</v>
      </c>
      <c r="E93" s="127"/>
      <c r="F93" s="126"/>
      <c r="G93" s="143">
        <v>0</v>
      </c>
      <c r="H93" s="143">
        <v>0</v>
      </c>
      <c r="I93" s="143">
        <v>0</v>
      </c>
      <c r="J93" s="143">
        <v>0</v>
      </c>
      <c r="K93" s="143">
        <v>0</v>
      </c>
      <c r="L93" s="143">
        <f>92.68/100</f>
        <v>0.92680000000000007</v>
      </c>
      <c r="M93" s="143"/>
      <c r="N93" s="629"/>
      <c r="O93" s="629"/>
      <c r="P93" s="629"/>
      <c r="Q93" s="629"/>
      <c r="R93" s="629"/>
      <c r="S93" s="629"/>
      <c r="T93" s="629"/>
      <c r="U93" s="629"/>
      <c r="V93" s="126">
        <v>1</v>
      </c>
      <c r="W93" s="126">
        <v>1</v>
      </c>
      <c r="X93" s="126">
        <v>1</v>
      </c>
      <c r="Y93" s="635"/>
      <c r="Z93" s="635"/>
      <c r="AA93" s="635"/>
    </row>
    <row r="94" spans="1:28" ht="27.6">
      <c r="A94" s="584"/>
      <c r="B94" s="585">
        <v>37</v>
      </c>
      <c r="C94" s="584" t="s">
        <v>343</v>
      </c>
      <c r="D94" s="624" t="s">
        <v>374</v>
      </c>
      <c r="E94" s="585" t="s">
        <v>345</v>
      </c>
      <c r="F94" s="584"/>
      <c r="G94" s="603">
        <v>0</v>
      </c>
      <c r="H94" s="603">
        <v>0</v>
      </c>
      <c r="I94" s="603">
        <v>0</v>
      </c>
      <c r="J94" s="603">
        <v>0</v>
      </c>
      <c r="K94" s="603">
        <v>0</v>
      </c>
      <c r="L94" s="143">
        <f>0</f>
        <v>0</v>
      </c>
      <c r="M94" s="143">
        <f>SUM(L95:L95)</f>
        <v>1.2434000000000001</v>
      </c>
      <c r="N94" s="630">
        <f>'6.Chiết tính'!J670</f>
        <v>0</v>
      </c>
      <c r="O94" s="630">
        <f>0*V94</f>
        <v>0</v>
      </c>
      <c r="P94" s="630">
        <f>'6.Chiết tính'!J671</f>
        <v>775015.02</v>
      </c>
      <c r="Q94" s="630">
        <f>'6.Chiết tính'!J673</f>
        <v>986868.38985857158</v>
      </c>
      <c r="R94" s="630">
        <f>M94*N94</f>
        <v>0</v>
      </c>
      <c r="S94" s="630">
        <f>M94*O94</f>
        <v>0</v>
      </c>
      <c r="T94" s="630">
        <f>M94*P94</f>
        <v>963653.67586800002</v>
      </c>
      <c r="U94" s="630">
        <f>M94*Q94</f>
        <v>1227072.1559501479</v>
      </c>
      <c r="V94" s="584">
        <v>1</v>
      </c>
      <c r="W94" s="584">
        <v>1</v>
      </c>
      <c r="X94" s="584">
        <v>1</v>
      </c>
      <c r="Y94" s="635"/>
      <c r="Z94" s="635"/>
      <c r="AA94" s="635"/>
      <c r="AB94" s="637" t="s">
        <v>349</v>
      </c>
    </row>
    <row r="95" spans="1:28">
      <c r="A95" s="126"/>
      <c r="B95" s="127"/>
      <c r="C95" s="126"/>
      <c r="D95" s="129" t="s">
        <v>432</v>
      </c>
      <c r="E95" s="127"/>
      <c r="F95" s="126"/>
      <c r="G95" s="143">
        <v>0</v>
      </c>
      <c r="H95" s="143">
        <v>0</v>
      </c>
      <c r="I95" s="143">
        <v>0</v>
      </c>
      <c r="J95" s="143">
        <v>0</v>
      </c>
      <c r="K95" s="143">
        <v>0</v>
      </c>
      <c r="L95" s="143">
        <f>124.34/100</f>
        <v>1.2434000000000001</v>
      </c>
      <c r="M95" s="143"/>
      <c r="N95" s="629"/>
      <c r="O95" s="629"/>
      <c r="P95" s="629"/>
      <c r="Q95" s="629"/>
      <c r="R95" s="629"/>
      <c r="S95" s="629"/>
      <c r="T95" s="629"/>
      <c r="U95" s="629"/>
      <c r="V95" s="126">
        <v>1</v>
      </c>
      <c r="W95" s="126">
        <v>1</v>
      </c>
      <c r="X95" s="126">
        <v>1</v>
      </c>
      <c r="Y95" s="635"/>
      <c r="Z95" s="635"/>
      <c r="AA95" s="635"/>
    </row>
    <row r="96" spans="1:28">
      <c r="A96" s="620"/>
      <c r="B96" s="621"/>
      <c r="C96" s="620" t="s">
        <v>339</v>
      </c>
      <c r="D96" s="620" t="s">
        <v>376</v>
      </c>
      <c r="E96" s="621"/>
      <c r="F96" s="620"/>
      <c r="G96" s="622"/>
      <c r="H96" s="622"/>
      <c r="I96" s="622"/>
      <c r="J96" s="622"/>
      <c r="K96" s="627"/>
      <c r="L96" s="143"/>
      <c r="M96" s="143"/>
      <c r="N96" s="628"/>
      <c r="O96" s="628"/>
      <c r="P96" s="628"/>
      <c r="Q96" s="628"/>
      <c r="R96" s="628"/>
      <c r="S96" s="628"/>
      <c r="T96" s="628"/>
      <c r="U96" s="628"/>
      <c r="V96" s="633"/>
      <c r="W96" s="633"/>
      <c r="X96" s="633"/>
      <c r="Y96" s="635"/>
      <c r="Z96" s="635"/>
      <c r="AA96" s="635"/>
    </row>
    <row r="97" spans="1:28" ht="27.6">
      <c r="A97" s="584"/>
      <c r="B97" s="585">
        <v>38</v>
      </c>
      <c r="C97" s="584" t="s">
        <v>377</v>
      </c>
      <c r="D97" s="624" t="s">
        <v>378</v>
      </c>
      <c r="E97" s="585" t="s">
        <v>345</v>
      </c>
      <c r="F97" s="584"/>
      <c r="G97" s="603">
        <v>0</v>
      </c>
      <c r="H97" s="603">
        <v>0</v>
      </c>
      <c r="I97" s="603">
        <v>0</v>
      </c>
      <c r="J97" s="603">
        <v>0</v>
      </c>
      <c r="K97" s="603">
        <v>0</v>
      </c>
      <c r="L97" s="143">
        <f t="shared" ref="L97:L99" si="33">0</f>
        <v>0</v>
      </c>
      <c r="M97" s="143">
        <f>SUM(L98:L98)</f>
        <v>0</v>
      </c>
      <c r="N97" s="630">
        <f>'6.Chiết tính'!J687</f>
        <v>0</v>
      </c>
      <c r="O97" s="630">
        <f>0*V97</f>
        <v>0</v>
      </c>
      <c r="P97" s="630">
        <f>'6.Chiết tính'!J688</f>
        <v>857317.5</v>
      </c>
      <c r="Q97" s="630">
        <f>'6.Chiết tính'!J690</f>
        <v>3453228.9288000008</v>
      </c>
      <c r="R97" s="630">
        <f>M97*N97</f>
        <v>0</v>
      </c>
      <c r="S97" s="630">
        <f>M97*O97</f>
        <v>0</v>
      </c>
      <c r="T97" s="630">
        <f>M97*P97</f>
        <v>0</v>
      </c>
      <c r="U97" s="630">
        <f>M97*Q97</f>
        <v>0</v>
      </c>
      <c r="V97" s="584">
        <v>1</v>
      </c>
      <c r="W97" s="584">
        <v>1</v>
      </c>
      <c r="X97" s="584">
        <v>1</v>
      </c>
      <c r="Y97" s="635"/>
      <c r="Z97" s="635"/>
      <c r="AA97" s="635"/>
      <c r="AB97" s="637" t="s">
        <v>349</v>
      </c>
    </row>
    <row r="98" spans="1:28">
      <c r="A98" s="126"/>
      <c r="B98" s="127"/>
      <c r="C98" s="126"/>
      <c r="D98" s="129" t="s">
        <v>379</v>
      </c>
      <c r="E98" s="127"/>
      <c r="F98" s="126"/>
      <c r="G98" s="143">
        <v>0</v>
      </c>
      <c r="H98" s="143">
        <v>0</v>
      </c>
      <c r="I98" s="143">
        <v>0</v>
      </c>
      <c r="J98" s="143">
        <v>0</v>
      </c>
      <c r="K98" s="143">
        <v>0</v>
      </c>
      <c r="L98" s="143">
        <f t="shared" si="33"/>
        <v>0</v>
      </c>
      <c r="M98" s="143"/>
      <c r="N98" s="629"/>
      <c r="O98" s="629"/>
      <c r="P98" s="629"/>
      <c r="Q98" s="629"/>
      <c r="R98" s="629"/>
      <c r="S98" s="629"/>
      <c r="T98" s="629"/>
      <c r="U98" s="629"/>
      <c r="V98" s="126">
        <v>1</v>
      </c>
      <c r="W98" s="126">
        <v>1</v>
      </c>
      <c r="X98" s="126">
        <v>1</v>
      </c>
      <c r="Y98" s="635"/>
      <c r="Z98" s="635"/>
      <c r="AA98" s="635"/>
    </row>
    <row r="99" spans="1:28" ht="27.6">
      <c r="A99" s="584"/>
      <c r="B99" s="585">
        <v>39</v>
      </c>
      <c r="C99" s="584" t="s">
        <v>380</v>
      </c>
      <c r="D99" s="624" t="s">
        <v>400</v>
      </c>
      <c r="E99" s="585" t="s">
        <v>345</v>
      </c>
      <c r="F99" s="584"/>
      <c r="G99" s="603">
        <v>0</v>
      </c>
      <c r="H99" s="603">
        <v>0</v>
      </c>
      <c r="I99" s="603">
        <v>0</v>
      </c>
      <c r="J99" s="603">
        <v>0</v>
      </c>
      <c r="K99" s="603">
        <v>0</v>
      </c>
      <c r="L99" s="143">
        <f t="shared" si="33"/>
        <v>0</v>
      </c>
      <c r="M99" s="143">
        <f>SUM(L100:L100)</f>
        <v>4.3350070000000001</v>
      </c>
      <c r="N99" s="630">
        <f>'6.Chiết tính'!J702</f>
        <v>32221379.337286752</v>
      </c>
      <c r="O99" s="630">
        <f>0*V99</f>
        <v>0</v>
      </c>
      <c r="P99" s="630">
        <f>'6.Chiết tính'!J704</f>
        <v>770352.96000000008</v>
      </c>
      <c r="Q99" s="630">
        <f>'6.Chiết tính'!J706</f>
        <v>2369565.459726376</v>
      </c>
      <c r="R99" s="630">
        <f>M99*N99</f>
        <v>139679904.97679344</v>
      </c>
      <c r="S99" s="630">
        <f>M99*O99</f>
        <v>0</v>
      </c>
      <c r="T99" s="630">
        <f>M99*P99</f>
        <v>3339485.4740707204</v>
      </c>
      <c r="U99" s="630">
        <f>M99*Q99</f>
        <v>10272082.854872059</v>
      </c>
      <c r="V99" s="584">
        <v>1</v>
      </c>
      <c r="W99" s="584">
        <v>1</v>
      </c>
      <c r="X99" s="584">
        <v>1</v>
      </c>
      <c r="Y99" s="635" t="s">
        <v>433</v>
      </c>
      <c r="Z99" s="635"/>
      <c r="AA99" s="635"/>
      <c r="AB99" s="637" t="s">
        <v>349</v>
      </c>
    </row>
    <row r="100" spans="1:28">
      <c r="A100" s="126"/>
      <c r="B100" s="127"/>
      <c r="C100" s="126"/>
      <c r="D100" s="129" t="s">
        <v>434</v>
      </c>
      <c r="E100" s="127"/>
      <c r="F100" s="126"/>
      <c r="G100" s="143">
        <v>0</v>
      </c>
      <c r="H100" s="143">
        <v>0</v>
      </c>
      <c r="I100" s="143">
        <v>0</v>
      </c>
      <c r="J100" s="143">
        <v>0</v>
      </c>
      <c r="K100" s="143">
        <v>0</v>
      </c>
      <c r="L100" s="143">
        <f>433.5007/100</f>
        <v>4.3350070000000001</v>
      </c>
      <c r="M100" s="143"/>
      <c r="N100" s="629"/>
      <c r="O100" s="629"/>
      <c r="P100" s="629"/>
      <c r="Q100" s="629"/>
      <c r="R100" s="629"/>
      <c r="S100" s="629"/>
      <c r="T100" s="629"/>
      <c r="U100" s="629"/>
      <c r="V100" s="126">
        <v>1</v>
      </c>
      <c r="W100" s="126">
        <v>1</v>
      </c>
      <c r="X100" s="126">
        <v>1</v>
      </c>
      <c r="Y100" s="635"/>
      <c r="Z100" s="635"/>
      <c r="AA100" s="635"/>
    </row>
    <row r="101" spans="1:28" ht="41.4">
      <c r="A101" s="584"/>
      <c r="B101" s="585">
        <v>40</v>
      </c>
      <c r="C101" s="584" t="s">
        <v>435</v>
      </c>
      <c r="D101" s="624" t="s">
        <v>436</v>
      </c>
      <c r="E101" s="585" t="s">
        <v>345</v>
      </c>
      <c r="F101" s="584"/>
      <c r="G101" s="603">
        <v>0</v>
      </c>
      <c r="H101" s="603">
        <v>0</v>
      </c>
      <c r="I101" s="603">
        <v>0</v>
      </c>
      <c r="J101" s="603">
        <v>0</v>
      </c>
      <c r="K101" s="603">
        <v>0</v>
      </c>
      <c r="L101" s="143">
        <f>0</f>
        <v>0</v>
      </c>
      <c r="M101" s="143">
        <f>SUM(L102:L102)</f>
        <v>8.2415929999999999</v>
      </c>
      <c r="N101" s="630">
        <f>'6.Chiết tính'!J723</f>
        <v>0</v>
      </c>
      <c r="O101" s="630">
        <f>0*V101</f>
        <v>0</v>
      </c>
      <c r="P101" s="630">
        <f>'6.Chiết tính'!J724</f>
        <v>377219.69999999995</v>
      </c>
      <c r="Q101" s="630">
        <f>'6.Chiết tính'!J726</f>
        <v>818124.93843149999</v>
      </c>
      <c r="R101" s="630">
        <f>M101*N101</f>
        <v>0</v>
      </c>
      <c r="S101" s="630">
        <f>M101*O101</f>
        <v>0</v>
      </c>
      <c r="T101" s="630">
        <f>M101*P101</f>
        <v>3108891.2389820996</v>
      </c>
      <c r="U101" s="630">
        <f>M101*Q101</f>
        <v>6742652.7657024814</v>
      </c>
      <c r="V101" s="584">
        <v>1</v>
      </c>
      <c r="W101" s="584">
        <v>1</v>
      </c>
      <c r="X101" s="584">
        <v>1</v>
      </c>
      <c r="Y101" s="635"/>
      <c r="Z101" s="635"/>
      <c r="AA101" s="635"/>
      <c r="AB101" s="637" t="s">
        <v>349</v>
      </c>
    </row>
    <row r="102" spans="1:28">
      <c r="A102" s="126"/>
      <c r="B102" s="127"/>
      <c r="C102" s="126"/>
      <c r="D102" s="129" t="s">
        <v>437</v>
      </c>
      <c r="E102" s="127"/>
      <c r="F102" s="126"/>
      <c r="G102" s="143">
        <v>0</v>
      </c>
      <c r="H102" s="143">
        <v>0</v>
      </c>
      <c r="I102" s="143">
        <v>0</v>
      </c>
      <c r="J102" s="143">
        <v>0</v>
      </c>
      <c r="K102" s="143">
        <v>0</v>
      </c>
      <c r="L102" s="143">
        <f>824.1593/100</f>
        <v>8.2415929999999999</v>
      </c>
      <c r="M102" s="143"/>
      <c r="N102" s="629"/>
      <c r="O102" s="629"/>
      <c r="P102" s="629"/>
      <c r="Q102" s="629"/>
      <c r="R102" s="629"/>
      <c r="S102" s="629"/>
      <c r="T102" s="629"/>
      <c r="U102" s="629"/>
      <c r="V102" s="126">
        <v>1</v>
      </c>
      <c r="W102" s="126">
        <v>1</v>
      </c>
      <c r="X102" s="126">
        <v>1</v>
      </c>
      <c r="Y102" s="635"/>
      <c r="Z102" s="635"/>
      <c r="AA102" s="635"/>
    </row>
    <row r="103" spans="1:28">
      <c r="A103" s="620"/>
      <c r="B103" s="621"/>
      <c r="C103" s="620"/>
      <c r="D103" s="620" t="s">
        <v>387</v>
      </c>
      <c r="E103" s="621"/>
      <c r="F103" s="620"/>
      <c r="G103" s="622"/>
      <c r="H103" s="622"/>
      <c r="I103" s="622"/>
      <c r="J103" s="622"/>
      <c r="K103" s="627"/>
      <c r="L103" s="143"/>
      <c r="M103" s="143"/>
      <c r="N103" s="628"/>
      <c r="O103" s="628"/>
      <c r="P103" s="628"/>
      <c r="Q103" s="628"/>
      <c r="R103" s="628"/>
      <c r="S103" s="628"/>
      <c r="T103" s="628"/>
      <c r="U103" s="628"/>
      <c r="V103" s="633"/>
      <c r="W103" s="633"/>
      <c r="X103" s="633"/>
      <c r="Y103" s="635"/>
      <c r="Z103" s="635"/>
      <c r="AA103" s="635"/>
    </row>
    <row r="104" spans="1:28">
      <c r="A104" s="620"/>
      <c r="B104" s="621"/>
      <c r="C104" s="620"/>
      <c r="D104" s="620" t="s">
        <v>438</v>
      </c>
      <c r="E104" s="621"/>
      <c r="F104" s="620"/>
      <c r="G104" s="622"/>
      <c r="H104" s="622"/>
      <c r="I104" s="622"/>
      <c r="J104" s="622"/>
      <c r="K104" s="627"/>
      <c r="L104" s="143"/>
      <c r="M104" s="143"/>
      <c r="N104" s="628"/>
      <c r="O104" s="628"/>
      <c r="P104" s="628"/>
      <c r="Q104" s="628"/>
      <c r="R104" s="628"/>
      <c r="S104" s="628"/>
      <c r="T104" s="628"/>
      <c r="U104" s="628"/>
      <c r="V104" s="633"/>
      <c r="W104" s="633"/>
      <c r="X104" s="633"/>
      <c r="Y104" s="635"/>
      <c r="Z104" s="635"/>
      <c r="AA104" s="635"/>
    </row>
    <row r="105" spans="1:28" ht="41.4">
      <c r="A105" s="584"/>
      <c r="B105" s="585">
        <v>41</v>
      </c>
      <c r="C105" s="584" t="s">
        <v>439</v>
      </c>
      <c r="D105" s="624" t="s">
        <v>440</v>
      </c>
      <c r="E105" s="585" t="s">
        <v>345</v>
      </c>
      <c r="F105" s="584"/>
      <c r="G105" s="603">
        <v>0</v>
      </c>
      <c r="H105" s="603">
        <v>0</v>
      </c>
      <c r="I105" s="603">
        <v>0</v>
      </c>
      <c r="J105" s="603">
        <v>0</v>
      </c>
      <c r="K105" s="603">
        <v>0</v>
      </c>
      <c r="L105" s="143">
        <f>0</f>
        <v>0</v>
      </c>
      <c r="M105" s="143">
        <f>SUM(L106:L106)</f>
        <v>10.24</v>
      </c>
      <c r="N105" s="630">
        <f>'6.Chiết tính'!J742</f>
        <v>32221379.337286752</v>
      </c>
      <c r="O105" s="630">
        <f>0*V105</f>
        <v>0</v>
      </c>
      <c r="P105" s="630">
        <f>'6.Chiết tính'!J744</f>
        <v>770352.96000000008</v>
      </c>
      <c r="Q105" s="630">
        <f>'6.Chiết tính'!J746</f>
        <v>753972.67550500005</v>
      </c>
      <c r="R105" s="630">
        <f>M105*N105</f>
        <v>329946924.41381633</v>
      </c>
      <c r="S105" s="630">
        <f>M105*O105</f>
        <v>0</v>
      </c>
      <c r="T105" s="630">
        <f>M105*P105</f>
        <v>7888414.3104000008</v>
      </c>
      <c r="U105" s="630">
        <f>M105*Q105</f>
        <v>7720680.197171201</v>
      </c>
      <c r="V105" s="584">
        <v>1</v>
      </c>
      <c r="W105" s="584">
        <v>1</v>
      </c>
      <c r="X105" s="584">
        <v>1</v>
      </c>
      <c r="Y105" s="635"/>
      <c r="Z105" s="635"/>
      <c r="AA105" s="635"/>
      <c r="AB105" s="637" t="s">
        <v>349</v>
      </c>
    </row>
    <row r="106" spans="1:28">
      <c r="A106" s="126"/>
      <c r="B106" s="127"/>
      <c r="C106" s="126"/>
      <c r="D106" s="129" t="s">
        <v>441</v>
      </c>
      <c r="E106" s="127"/>
      <c r="F106" s="126"/>
      <c r="G106" s="143">
        <v>0</v>
      </c>
      <c r="H106" s="143">
        <v>0</v>
      </c>
      <c r="I106" s="143">
        <v>0</v>
      </c>
      <c r="J106" s="143">
        <v>0</v>
      </c>
      <c r="K106" s="143">
        <v>0</v>
      </c>
      <c r="L106" s="143">
        <f>1024/100</f>
        <v>10.24</v>
      </c>
      <c r="M106" s="143"/>
      <c r="N106" s="629"/>
      <c r="O106" s="629"/>
      <c r="P106" s="629"/>
      <c r="Q106" s="629"/>
      <c r="R106" s="629"/>
      <c r="S106" s="629"/>
      <c r="T106" s="629"/>
      <c r="U106" s="629"/>
      <c r="V106" s="126">
        <v>1</v>
      </c>
      <c r="W106" s="126">
        <v>1</v>
      </c>
      <c r="X106" s="126">
        <v>1</v>
      </c>
      <c r="Y106" s="635"/>
      <c r="Z106" s="635"/>
      <c r="AA106" s="635"/>
    </row>
    <row r="107" spans="1:28" ht="27.6">
      <c r="A107" s="584"/>
      <c r="B107" s="585">
        <v>42</v>
      </c>
      <c r="C107" s="584" t="s">
        <v>347</v>
      </c>
      <c r="D107" s="624" t="s">
        <v>442</v>
      </c>
      <c r="E107" s="585" t="s">
        <v>345</v>
      </c>
      <c r="F107" s="584"/>
      <c r="G107" s="603">
        <v>0</v>
      </c>
      <c r="H107" s="603">
        <v>0</v>
      </c>
      <c r="I107" s="603">
        <v>0</v>
      </c>
      <c r="J107" s="603">
        <v>0</v>
      </c>
      <c r="K107" s="603">
        <v>0</v>
      </c>
      <c r="L107" s="143">
        <f>0</f>
        <v>0</v>
      </c>
      <c r="M107" s="143">
        <f>SUM(L108:L108)</f>
        <v>2.1415000000000002</v>
      </c>
      <c r="N107" s="630">
        <f>'6.Chiết tính'!J763</f>
        <v>0</v>
      </c>
      <c r="O107" s="630">
        <f>0*V107</f>
        <v>0</v>
      </c>
      <c r="P107" s="630">
        <f>'6.Chiết tính'!J764</f>
        <v>928189.08</v>
      </c>
      <c r="Q107" s="630">
        <f>'6.Chiết tính'!J766</f>
        <v>1160321.1908914286</v>
      </c>
      <c r="R107" s="630">
        <f>M107*N107</f>
        <v>0</v>
      </c>
      <c r="S107" s="630">
        <f>M107*O107</f>
        <v>0</v>
      </c>
      <c r="T107" s="630">
        <f>M107*P107</f>
        <v>1987716.9148200001</v>
      </c>
      <c r="U107" s="630">
        <f>M107*Q107</f>
        <v>2484827.8302939944</v>
      </c>
      <c r="V107" s="584">
        <v>1</v>
      </c>
      <c r="W107" s="584">
        <v>1</v>
      </c>
      <c r="X107" s="584">
        <v>1</v>
      </c>
      <c r="Y107" s="635"/>
      <c r="Z107" s="635"/>
      <c r="AA107" s="635"/>
      <c r="AB107" s="637" t="s">
        <v>349</v>
      </c>
    </row>
    <row r="108" spans="1:28">
      <c r="A108" s="126"/>
      <c r="B108" s="127"/>
      <c r="C108" s="126"/>
      <c r="D108" s="129" t="s">
        <v>443</v>
      </c>
      <c r="E108" s="127"/>
      <c r="F108" s="126"/>
      <c r="G108" s="143">
        <v>0</v>
      </c>
      <c r="H108" s="143">
        <v>0</v>
      </c>
      <c r="I108" s="143">
        <v>0</v>
      </c>
      <c r="J108" s="143">
        <v>0</v>
      </c>
      <c r="K108" s="143">
        <v>0</v>
      </c>
      <c r="L108" s="143">
        <f>214.15/100</f>
        <v>2.1415000000000002</v>
      </c>
      <c r="M108" s="143"/>
      <c r="N108" s="629"/>
      <c r="O108" s="629"/>
      <c r="P108" s="629"/>
      <c r="Q108" s="629"/>
      <c r="R108" s="629"/>
      <c r="S108" s="629"/>
      <c r="T108" s="629"/>
      <c r="U108" s="629"/>
      <c r="V108" s="126">
        <v>1</v>
      </c>
      <c r="W108" s="126">
        <v>1</v>
      </c>
      <c r="X108" s="126">
        <v>1</v>
      </c>
      <c r="Y108" s="635"/>
      <c r="Z108" s="635"/>
      <c r="AA108" s="635"/>
    </row>
    <row r="109" spans="1:28" ht="41.4">
      <c r="A109" s="584"/>
      <c r="B109" s="585">
        <v>43</v>
      </c>
      <c r="C109" s="584" t="s">
        <v>380</v>
      </c>
      <c r="D109" s="624" t="s">
        <v>444</v>
      </c>
      <c r="E109" s="585" t="s">
        <v>345</v>
      </c>
      <c r="F109" s="584"/>
      <c r="G109" s="603">
        <v>0</v>
      </c>
      <c r="H109" s="603">
        <v>0</v>
      </c>
      <c r="I109" s="603">
        <v>0</v>
      </c>
      <c r="J109" s="603">
        <v>0</v>
      </c>
      <c r="K109" s="603">
        <v>0</v>
      </c>
      <c r="L109" s="143">
        <f>0</f>
        <v>0</v>
      </c>
      <c r="M109" s="143">
        <f>SUM(L110:L110)</f>
        <v>4.8311000000000002</v>
      </c>
      <c r="N109" s="630">
        <f>'6.Chiết tính'!J779</f>
        <v>32221379.337286752</v>
      </c>
      <c r="O109" s="630">
        <f>0*V109</f>
        <v>0</v>
      </c>
      <c r="P109" s="630">
        <f>'6.Chiết tính'!J781</f>
        <v>770352.96000000008</v>
      </c>
      <c r="Q109" s="630">
        <f>'6.Chiết tính'!J783</f>
        <v>750221.5676666667</v>
      </c>
      <c r="R109" s="630">
        <f>M109*N109</f>
        <v>155664705.71636602</v>
      </c>
      <c r="S109" s="630">
        <f>M109*O109</f>
        <v>0</v>
      </c>
      <c r="T109" s="630">
        <f>M109*P109</f>
        <v>3721652.1850560005</v>
      </c>
      <c r="U109" s="630">
        <f>M109*Q109</f>
        <v>3624395.4155544336</v>
      </c>
      <c r="V109" s="584">
        <v>1</v>
      </c>
      <c r="W109" s="584">
        <v>1</v>
      </c>
      <c r="X109" s="584">
        <v>1</v>
      </c>
      <c r="Y109" s="635"/>
      <c r="Z109" s="635"/>
      <c r="AA109" s="635"/>
      <c r="AB109" s="637" t="s">
        <v>349</v>
      </c>
    </row>
    <row r="110" spans="1:28">
      <c r="A110" s="126"/>
      <c r="B110" s="127"/>
      <c r="C110" s="126"/>
      <c r="D110" s="129" t="s">
        <v>445</v>
      </c>
      <c r="E110" s="127"/>
      <c r="F110" s="126"/>
      <c r="G110" s="143">
        <v>0</v>
      </c>
      <c r="H110" s="143">
        <v>0</v>
      </c>
      <c r="I110" s="143">
        <v>0</v>
      </c>
      <c r="J110" s="143">
        <v>0</v>
      </c>
      <c r="K110" s="143">
        <v>0</v>
      </c>
      <c r="L110" s="143">
        <f>483.11/100</f>
        <v>4.8311000000000002</v>
      </c>
      <c r="M110" s="143"/>
      <c r="N110" s="629"/>
      <c r="O110" s="629"/>
      <c r="P110" s="629"/>
      <c r="Q110" s="629"/>
      <c r="R110" s="629"/>
      <c r="S110" s="629"/>
      <c r="T110" s="629"/>
      <c r="U110" s="629"/>
      <c r="V110" s="126">
        <v>1</v>
      </c>
      <c r="W110" s="126">
        <v>1</v>
      </c>
      <c r="X110" s="126">
        <v>1</v>
      </c>
      <c r="Y110" s="635"/>
      <c r="Z110" s="635"/>
      <c r="AA110" s="635"/>
    </row>
    <row r="111" spans="1:28" ht="69">
      <c r="A111" s="584"/>
      <c r="B111" s="585">
        <v>44</v>
      </c>
      <c r="C111" s="584" t="s">
        <v>446</v>
      </c>
      <c r="D111" s="624" t="s">
        <v>447</v>
      </c>
      <c r="E111" s="585" t="s">
        <v>345</v>
      </c>
      <c r="F111" s="584"/>
      <c r="G111" s="603">
        <v>0</v>
      </c>
      <c r="H111" s="603">
        <v>0</v>
      </c>
      <c r="I111" s="603">
        <v>0</v>
      </c>
      <c r="J111" s="603">
        <v>0</v>
      </c>
      <c r="K111" s="603">
        <v>0</v>
      </c>
      <c r="L111" s="143">
        <f>0</f>
        <v>0</v>
      </c>
      <c r="M111" s="143">
        <f>SUM(L112:L112)</f>
        <v>19.253299999999999</v>
      </c>
      <c r="N111" s="630">
        <f>'6.Chiết tính'!J800</f>
        <v>19188881.861584913</v>
      </c>
      <c r="O111" s="630">
        <f>0*V111</f>
        <v>0</v>
      </c>
      <c r="P111" s="630">
        <f>'6.Chiết tính'!J805</f>
        <v>2466402.8760000002</v>
      </c>
      <c r="Q111" s="630">
        <f>'6.Chiết tính'!J808</f>
        <v>15451394.796850514</v>
      </c>
      <c r="R111" s="630">
        <f>M111*N111</f>
        <v>369449299.14565277</v>
      </c>
      <c r="S111" s="630">
        <f>M111*O111</f>
        <v>0</v>
      </c>
      <c r="T111" s="630">
        <f>M111*P111</f>
        <v>47486394.492490798</v>
      </c>
      <c r="U111" s="630">
        <f>M111*Q111</f>
        <v>297490339.44220197</v>
      </c>
      <c r="V111" s="584">
        <v>0.9</v>
      </c>
      <c r="W111" s="584">
        <v>0.9</v>
      </c>
      <c r="X111" s="584">
        <v>0.9</v>
      </c>
      <c r="Y111" s="635"/>
      <c r="Z111" s="635"/>
      <c r="AA111" s="635"/>
      <c r="AB111" s="637" t="s">
        <v>357</v>
      </c>
    </row>
    <row r="112" spans="1:28">
      <c r="A112" s="126"/>
      <c r="B112" s="127"/>
      <c r="C112" s="126"/>
      <c r="D112" s="129" t="s">
        <v>448</v>
      </c>
      <c r="E112" s="127"/>
      <c r="F112" s="126"/>
      <c r="G112" s="143">
        <v>0</v>
      </c>
      <c r="H112" s="143">
        <v>0</v>
      </c>
      <c r="I112" s="143">
        <v>0</v>
      </c>
      <c r="J112" s="143">
        <v>0</v>
      </c>
      <c r="K112" s="143">
        <v>0</v>
      </c>
      <c r="L112" s="143">
        <f>1925.33/100</f>
        <v>19.253299999999999</v>
      </c>
      <c r="M112" s="143"/>
      <c r="N112" s="629"/>
      <c r="O112" s="629"/>
      <c r="P112" s="629"/>
      <c r="Q112" s="629"/>
      <c r="R112" s="629"/>
      <c r="S112" s="629"/>
      <c r="T112" s="629"/>
      <c r="U112" s="629"/>
      <c r="V112" s="126">
        <v>1</v>
      </c>
      <c r="W112" s="126">
        <v>1</v>
      </c>
      <c r="X112" s="126">
        <v>1</v>
      </c>
      <c r="Y112" s="635"/>
      <c r="Z112" s="635"/>
      <c r="AA112" s="635"/>
    </row>
    <row r="113" spans="1:28" ht="60" customHeight="1">
      <c r="A113" s="642"/>
      <c r="B113" s="643">
        <v>45</v>
      </c>
      <c r="C113" s="642" t="s">
        <v>449</v>
      </c>
      <c r="D113" s="625" t="s">
        <v>450</v>
      </c>
      <c r="E113" s="643" t="s">
        <v>398</v>
      </c>
      <c r="F113" s="642"/>
      <c r="G113" s="644">
        <v>0</v>
      </c>
      <c r="H113" s="644">
        <v>0</v>
      </c>
      <c r="I113" s="644">
        <v>0</v>
      </c>
      <c r="J113" s="644">
        <v>0</v>
      </c>
      <c r="K113" s="644">
        <v>0</v>
      </c>
      <c r="L113" s="641">
        <f>0</f>
        <v>0</v>
      </c>
      <c r="M113" s="641">
        <f>SUM(L114:L114)</f>
        <v>106.9627</v>
      </c>
      <c r="N113" s="646">
        <f>'6.Chiết tính'!J828</f>
        <v>1406043.8394685537</v>
      </c>
      <c r="O113" s="646">
        <f>0*V113</f>
        <v>0</v>
      </c>
      <c r="P113" s="646">
        <f>'6.Chiết tính'!J830</f>
        <v>62100</v>
      </c>
      <c r="Q113" s="646">
        <f>'6.Chiết tính'!J832</f>
        <v>259243.05535040001</v>
      </c>
      <c r="R113" s="646">
        <f>M113*N113</f>
        <v>150394245.38792306</v>
      </c>
      <c r="S113" s="646">
        <f>M113*O113</f>
        <v>0</v>
      </c>
      <c r="T113" s="646">
        <f>M113*P113</f>
        <v>6642383.6699999999</v>
      </c>
      <c r="U113" s="646">
        <f>M113*Q113</f>
        <v>27729337.156528231</v>
      </c>
      <c r="V113" s="642">
        <v>1</v>
      </c>
      <c r="W113" s="642">
        <v>1</v>
      </c>
      <c r="X113" s="642">
        <v>1</v>
      </c>
      <c r="Y113" s="635"/>
      <c r="Z113" s="635"/>
      <c r="AA113" s="635"/>
      <c r="AB113" s="637" t="s">
        <v>349</v>
      </c>
    </row>
    <row r="114" spans="1:28">
      <c r="A114" s="126"/>
      <c r="B114" s="127"/>
      <c r="C114" s="126"/>
      <c r="D114" s="129" t="s">
        <v>451</v>
      </c>
      <c r="E114" s="127"/>
      <c r="F114" s="126"/>
      <c r="G114" s="143">
        <v>0</v>
      </c>
      <c r="H114" s="143">
        <v>0</v>
      </c>
      <c r="I114" s="143">
        <v>0</v>
      </c>
      <c r="J114" s="143">
        <v>0</v>
      </c>
      <c r="K114" s="143">
        <v>0</v>
      </c>
      <c r="L114" s="143">
        <f>10696.27/100</f>
        <v>106.9627</v>
      </c>
      <c r="M114" s="143"/>
      <c r="N114" s="629"/>
      <c r="O114" s="629"/>
      <c r="P114" s="629"/>
      <c r="Q114" s="629"/>
      <c r="R114" s="629"/>
      <c r="S114" s="629"/>
      <c r="T114" s="629"/>
      <c r="U114" s="629"/>
      <c r="V114" s="126">
        <v>1</v>
      </c>
      <c r="W114" s="126">
        <v>1</v>
      </c>
      <c r="X114" s="126">
        <v>1</v>
      </c>
      <c r="Y114" s="635"/>
      <c r="Z114" s="635"/>
      <c r="AA114" s="635"/>
    </row>
    <row r="115" spans="1:28" ht="41.4">
      <c r="A115" s="584"/>
      <c r="B115" s="585">
        <v>46</v>
      </c>
      <c r="C115" s="584" t="s">
        <v>452</v>
      </c>
      <c r="D115" s="624" t="s">
        <v>453</v>
      </c>
      <c r="E115" s="585" t="s">
        <v>398</v>
      </c>
      <c r="F115" s="584"/>
      <c r="G115" s="603">
        <v>0</v>
      </c>
      <c r="H115" s="603">
        <v>0</v>
      </c>
      <c r="I115" s="603">
        <v>0</v>
      </c>
      <c r="J115" s="603">
        <v>0</v>
      </c>
      <c r="K115" s="603">
        <v>0</v>
      </c>
      <c r="L115" s="143">
        <f>0</f>
        <v>0</v>
      </c>
      <c r="M115" s="143">
        <f>SUM(L116:L116)</f>
        <v>106.9627</v>
      </c>
      <c r="N115" s="630">
        <f>'6.Chiết tính'!J846</f>
        <v>7572500.995428551</v>
      </c>
      <c r="O115" s="630">
        <f>0*V115</f>
        <v>0</v>
      </c>
      <c r="P115" s="630">
        <f>'6.Chiết tính'!J851</f>
        <v>1166400</v>
      </c>
      <c r="Q115" s="630">
        <f>'6.Chiết tính'!J853</f>
        <v>821220.38320153835</v>
      </c>
      <c r="R115" s="630">
        <f>M115*N115</f>
        <v>809975152.22372544</v>
      </c>
      <c r="S115" s="630">
        <f>M115*O115</f>
        <v>0</v>
      </c>
      <c r="T115" s="630">
        <f>M115*P115</f>
        <v>124761293.28</v>
      </c>
      <c r="U115" s="630">
        <f>M115*Q115</f>
        <v>87839949.48227118</v>
      </c>
      <c r="V115" s="584">
        <v>1</v>
      </c>
      <c r="W115" s="584">
        <v>1</v>
      </c>
      <c r="X115" s="584">
        <v>1</v>
      </c>
      <c r="Y115" s="635"/>
      <c r="Z115" s="635"/>
      <c r="AA115" s="635"/>
      <c r="AB115" s="637" t="s">
        <v>349</v>
      </c>
    </row>
    <row r="116" spans="1:28">
      <c r="A116" s="126"/>
      <c r="B116" s="127"/>
      <c r="C116" s="126"/>
      <c r="D116" s="129" t="s">
        <v>451</v>
      </c>
      <c r="E116" s="127"/>
      <c r="F116" s="126"/>
      <c r="G116" s="143">
        <v>0</v>
      </c>
      <c r="H116" s="143">
        <v>0</v>
      </c>
      <c r="I116" s="143">
        <v>0</v>
      </c>
      <c r="J116" s="143">
        <v>0</v>
      </c>
      <c r="K116" s="143">
        <v>0</v>
      </c>
      <c r="L116" s="143">
        <f>10696.27/100</f>
        <v>106.9627</v>
      </c>
      <c r="M116" s="143"/>
      <c r="N116" s="629"/>
      <c r="O116" s="629"/>
      <c r="P116" s="629"/>
      <c r="Q116" s="629"/>
      <c r="R116" s="629"/>
      <c r="S116" s="629"/>
      <c r="T116" s="629"/>
      <c r="U116" s="629"/>
      <c r="V116" s="126">
        <v>1</v>
      </c>
      <c r="W116" s="126">
        <v>1</v>
      </c>
      <c r="X116" s="126">
        <v>1</v>
      </c>
      <c r="Y116" s="635"/>
      <c r="Z116" s="635"/>
      <c r="AA116" s="635"/>
    </row>
    <row r="117" spans="1:28">
      <c r="A117" s="620"/>
      <c r="B117" s="621"/>
      <c r="C117" s="620" t="s">
        <v>339</v>
      </c>
      <c r="D117" s="620" t="s">
        <v>454</v>
      </c>
      <c r="E117" s="621"/>
      <c r="F117" s="620"/>
      <c r="G117" s="622"/>
      <c r="H117" s="622"/>
      <c r="I117" s="622"/>
      <c r="J117" s="622"/>
      <c r="K117" s="627"/>
      <c r="L117" s="143"/>
      <c r="M117" s="143"/>
      <c r="N117" s="628"/>
      <c r="O117" s="628"/>
      <c r="P117" s="628"/>
      <c r="Q117" s="628"/>
      <c r="R117" s="628"/>
      <c r="S117" s="628"/>
      <c r="T117" s="628"/>
      <c r="U117" s="628"/>
      <c r="V117" s="633"/>
      <c r="W117" s="633"/>
      <c r="X117" s="633"/>
      <c r="Y117" s="635"/>
      <c r="Z117" s="635"/>
      <c r="AA117" s="635"/>
    </row>
    <row r="118" spans="1:28" ht="69">
      <c r="A118" s="584"/>
      <c r="B118" s="585">
        <v>47</v>
      </c>
      <c r="C118" s="584" t="s">
        <v>446</v>
      </c>
      <c r="D118" s="624" t="s">
        <v>447</v>
      </c>
      <c r="E118" s="585" t="s">
        <v>345</v>
      </c>
      <c r="F118" s="584"/>
      <c r="G118" s="603">
        <v>0</v>
      </c>
      <c r="H118" s="603">
        <v>0</v>
      </c>
      <c r="I118" s="603">
        <v>0</v>
      </c>
      <c r="J118" s="603">
        <v>0</v>
      </c>
      <c r="K118" s="603">
        <v>0</v>
      </c>
      <c r="L118" s="143">
        <f>0</f>
        <v>0</v>
      </c>
      <c r="M118" s="143">
        <f>SUM(L119:L119)</f>
        <v>0.2389</v>
      </c>
      <c r="N118" s="630">
        <f>'6.Chiết tính'!J868</f>
        <v>19188881.861584913</v>
      </c>
      <c r="O118" s="630">
        <f>0*V118</f>
        <v>0</v>
      </c>
      <c r="P118" s="630">
        <f>'6.Chiết tính'!J873</f>
        <v>2466402.8760000002</v>
      </c>
      <c r="Q118" s="630">
        <f>'6.Chiết tính'!J876</f>
        <v>15451394.796850514</v>
      </c>
      <c r="R118" s="630">
        <f>M118*N118</f>
        <v>4584223.8767326353</v>
      </c>
      <c r="S118" s="630">
        <f>M118*O118</f>
        <v>0</v>
      </c>
      <c r="T118" s="630">
        <f>M118*P118</f>
        <v>589223.6470764</v>
      </c>
      <c r="U118" s="630">
        <f>M118*Q118</f>
        <v>3691338.2169675878</v>
      </c>
      <c r="V118" s="584">
        <v>0.9</v>
      </c>
      <c r="W118" s="584">
        <v>0.9</v>
      </c>
      <c r="X118" s="584">
        <v>0.9</v>
      </c>
      <c r="Y118" s="635"/>
      <c r="Z118" s="635"/>
      <c r="AA118" s="635"/>
      <c r="AB118" s="637" t="s">
        <v>357</v>
      </c>
    </row>
    <row r="119" spans="1:28">
      <c r="A119" s="126"/>
      <c r="B119" s="127"/>
      <c r="C119" s="126"/>
      <c r="D119" s="129" t="s">
        <v>455</v>
      </c>
      <c r="E119" s="127"/>
      <c r="F119" s="126"/>
      <c r="G119" s="143">
        <v>0</v>
      </c>
      <c r="H119" s="143">
        <v>0</v>
      </c>
      <c r="I119" s="143">
        <v>0</v>
      </c>
      <c r="J119" s="143">
        <v>0</v>
      </c>
      <c r="K119" s="143">
        <v>0</v>
      </c>
      <c r="L119" s="143">
        <f>23.89/100</f>
        <v>0.2389</v>
      </c>
      <c r="M119" s="143"/>
      <c r="N119" s="629"/>
      <c r="O119" s="629"/>
      <c r="P119" s="629"/>
      <c r="Q119" s="629"/>
      <c r="R119" s="629"/>
      <c r="S119" s="629"/>
      <c r="T119" s="629"/>
      <c r="U119" s="629"/>
      <c r="V119" s="126">
        <v>1</v>
      </c>
      <c r="W119" s="126">
        <v>1</v>
      </c>
      <c r="X119" s="126">
        <v>1</v>
      </c>
      <c r="Y119" s="635"/>
      <c r="Z119" s="635"/>
      <c r="AA119" s="635"/>
    </row>
    <row r="120" spans="1:28" ht="41.4">
      <c r="A120" s="584"/>
      <c r="B120" s="585">
        <v>48</v>
      </c>
      <c r="C120" s="584" t="s">
        <v>449</v>
      </c>
      <c r="D120" s="624" t="s">
        <v>450</v>
      </c>
      <c r="E120" s="585" t="s">
        <v>398</v>
      </c>
      <c r="F120" s="584"/>
      <c r="G120" s="603">
        <v>0</v>
      </c>
      <c r="H120" s="603">
        <v>0</v>
      </c>
      <c r="I120" s="603">
        <v>0</v>
      </c>
      <c r="J120" s="603">
        <v>0</v>
      </c>
      <c r="K120" s="603">
        <v>0</v>
      </c>
      <c r="L120" s="143">
        <f>0</f>
        <v>0</v>
      </c>
      <c r="M120" s="143">
        <f>SUM(L121:L121)</f>
        <v>1.3271999999999999</v>
      </c>
      <c r="N120" s="630">
        <f>'6.Chiết tính'!J896</f>
        <v>1406043.8394685537</v>
      </c>
      <c r="O120" s="630">
        <f>0*V120</f>
        <v>0</v>
      </c>
      <c r="P120" s="630">
        <f>'6.Chiết tính'!J898</f>
        <v>62100</v>
      </c>
      <c r="Q120" s="630">
        <f>'6.Chiết tính'!J900</f>
        <v>259243.05535040001</v>
      </c>
      <c r="R120" s="630">
        <f>M120*N120</f>
        <v>1866101.3837426642</v>
      </c>
      <c r="S120" s="630">
        <f>M120*O120</f>
        <v>0</v>
      </c>
      <c r="T120" s="630">
        <f>M120*P120</f>
        <v>82419.12</v>
      </c>
      <c r="U120" s="630">
        <f>M120*Q120</f>
        <v>344067.3830610509</v>
      </c>
      <c r="V120" s="584">
        <v>1</v>
      </c>
      <c r="W120" s="584">
        <v>1</v>
      </c>
      <c r="X120" s="584">
        <v>1</v>
      </c>
      <c r="Y120" s="635"/>
      <c r="Z120" s="635"/>
      <c r="AA120" s="635"/>
      <c r="AB120" s="637" t="s">
        <v>349</v>
      </c>
    </row>
    <row r="121" spans="1:28">
      <c r="A121" s="126"/>
      <c r="B121" s="127"/>
      <c r="C121" s="126"/>
      <c r="D121" s="129" t="s">
        <v>456</v>
      </c>
      <c r="E121" s="127"/>
      <c r="F121" s="126"/>
      <c r="G121" s="143">
        <v>0</v>
      </c>
      <c r="H121" s="143">
        <v>0</v>
      </c>
      <c r="I121" s="143">
        <v>0</v>
      </c>
      <c r="J121" s="143">
        <v>0</v>
      </c>
      <c r="K121" s="143">
        <v>0</v>
      </c>
      <c r="L121" s="143">
        <f>132.72/100</f>
        <v>1.3271999999999999</v>
      </c>
      <c r="M121" s="143"/>
      <c r="N121" s="629"/>
      <c r="O121" s="629"/>
      <c r="P121" s="629"/>
      <c r="Q121" s="629"/>
      <c r="R121" s="629"/>
      <c r="S121" s="629"/>
      <c r="T121" s="629"/>
      <c r="U121" s="629"/>
      <c r="V121" s="126">
        <v>1</v>
      </c>
      <c r="W121" s="126">
        <v>1</v>
      </c>
      <c r="X121" s="126">
        <v>1</v>
      </c>
      <c r="Y121" s="635"/>
      <c r="Z121" s="635"/>
      <c r="AA121" s="635"/>
    </row>
    <row r="122" spans="1:28" ht="41.4">
      <c r="A122" s="584"/>
      <c r="B122" s="585">
        <v>49</v>
      </c>
      <c r="C122" s="584" t="s">
        <v>452</v>
      </c>
      <c r="D122" s="624" t="s">
        <v>453</v>
      </c>
      <c r="E122" s="585" t="s">
        <v>398</v>
      </c>
      <c r="F122" s="584"/>
      <c r="G122" s="603">
        <v>0</v>
      </c>
      <c r="H122" s="603">
        <v>0</v>
      </c>
      <c r="I122" s="603">
        <v>0</v>
      </c>
      <c r="J122" s="603">
        <v>0</v>
      </c>
      <c r="K122" s="603">
        <v>0</v>
      </c>
      <c r="L122" s="143">
        <f>0</f>
        <v>0</v>
      </c>
      <c r="M122" s="143">
        <f>SUM(L123:L123)</f>
        <v>1.3271999999999999</v>
      </c>
      <c r="N122" s="630">
        <f>'6.Chiết tính'!J914</f>
        <v>7572500.995428551</v>
      </c>
      <c r="O122" s="630">
        <f>0*V122</f>
        <v>0</v>
      </c>
      <c r="P122" s="630">
        <f>'6.Chiết tính'!J919</f>
        <v>1166400</v>
      </c>
      <c r="Q122" s="630">
        <f>'6.Chiết tính'!J921</f>
        <v>821220.38320153835</v>
      </c>
      <c r="R122" s="630">
        <f>M122*N122</f>
        <v>10050223.321132772</v>
      </c>
      <c r="S122" s="630">
        <f>M122*O122</f>
        <v>0</v>
      </c>
      <c r="T122" s="630">
        <f>M122*P122</f>
        <v>1548046.0799999998</v>
      </c>
      <c r="U122" s="630">
        <f>M122*Q122</f>
        <v>1089923.6925850816</v>
      </c>
      <c r="V122" s="584">
        <v>1</v>
      </c>
      <c r="W122" s="584">
        <v>1</v>
      </c>
      <c r="X122" s="584">
        <v>1</v>
      </c>
      <c r="Y122" s="635"/>
      <c r="Z122" s="635"/>
      <c r="AA122" s="635"/>
      <c r="AB122" s="637" t="s">
        <v>349</v>
      </c>
    </row>
    <row r="123" spans="1:28">
      <c r="A123" s="126"/>
      <c r="B123" s="127"/>
      <c r="C123" s="126"/>
      <c r="D123" s="129" t="s">
        <v>456</v>
      </c>
      <c r="E123" s="127"/>
      <c r="F123" s="126"/>
      <c r="G123" s="143">
        <v>0</v>
      </c>
      <c r="H123" s="143">
        <v>0</v>
      </c>
      <c r="I123" s="143">
        <v>0</v>
      </c>
      <c r="J123" s="143">
        <v>0</v>
      </c>
      <c r="K123" s="143">
        <v>0</v>
      </c>
      <c r="L123" s="143">
        <f>132.72/100</f>
        <v>1.3271999999999999</v>
      </c>
      <c r="M123" s="143"/>
      <c r="N123" s="629"/>
      <c r="O123" s="629"/>
      <c r="P123" s="629"/>
      <c r="Q123" s="629"/>
      <c r="R123" s="629"/>
      <c r="S123" s="629"/>
      <c r="T123" s="629"/>
      <c r="U123" s="629"/>
      <c r="V123" s="126">
        <v>1</v>
      </c>
      <c r="W123" s="126">
        <v>1</v>
      </c>
      <c r="X123" s="126">
        <v>1</v>
      </c>
      <c r="Y123" s="635"/>
      <c r="Z123" s="635"/>
      <c r="AA123" s="635"/>
    </row>
    <row r="124" spans="1:28">
      <c r="A124" s="620"/>
      <c r="B124" s="621"/>
      <c r="C124" s="620"/>
      <c r="D124" s="620" t="s">
        <v>457</v>
      </c>
      <c r="E124" s="621"/>
      <c r="F124" s="620"/>
      <c r="G124" s="622"/>
      <c r="H124" s="622"/>
      <c r="I124" s="622"/>
      <c r="J124" s="622"/>
      <c r="K124" s="627"/>
      <c r="L124" s="143"/>
      <c r="M124" s="143"/>
      <c r="N124" s="628"/>
      <c r="O124" s="628"/>
      <c r="P124" s="628"/>
      <c r="Q124" s="628"/>
      <c r="R124" s="628"/>
      <c r="S124" s="628"/>
      <c r="T124" s="628"/>
      <c r="U124" s="628"/>
      <c r="V124" s="633"/>
      <c r="W124" s="633"/>
      <c r="X124" s="633"/>
      <c r="Y124" s="635"/>
      <c r="Z124" s="635"/>
      <c r="AA124" s="635"/>
    </row>
    <row r="125" spans="1:28">
      <c r="A125" s="620"/>
      <c r="B125" s="621"/>
      <c r="C125" s="620"/>
      <c r="D125" s="620" t="s">
        <v>458</v>
      </c>
      <c r="E125" s="621"/>
      <c r="F125" s="620"/>
      <c r="G125" s="622"/>
      <c r="H125" s="622"/>
      <c r="I125" s="622"/>
      <c r="J125" s="622"/>
      <c r="K125" s="627"/>
      <c r="L125" s="143"/>
      <c r="M125" s="143"/>
      <c r="N125" s="628"/>
      <c r="O125" s="628"/>
      <c r="P125" s="628"/>
      <c r="Q125" s="628"/>
      <c r="R125" s="628"/>
      <c r="S125" s="628"/>
      <c r="T125" s="628"/>
      <c r="U125" s="628"/>
      <c r="V125" s="633"/>
      <c r="W125" s="633"/>
      <c r="X125" s="633"/>
      <c r="Y125" s="635"/>
      <c r="Z125" s="635"/>
      <c r="AA125" s="635"/>
    </row>
    <row r="126" spans="1:28" ht="15">
      <c r="A126" s="638"/>
      <c r="B126" s="639"/>
      <c r="C126" s="638"/>
      <c r="D126" s="640" t="s">
        <v>459</v>
      </c>
      <c r="E126" s="639"/>
      <c r="F126" s="638"/>
      <c r="G126" s="641">
        <v>0</v>
      </c>
      <c r="H126" s="641">
        <v>0</v>
      </c>
      <c r="I126" s="641">
        <v>0</v>
      </c>
      <c r="J126" s="641">
        <v>0</v>
      </c>
      <c r="K126" s="641">
        <v>0</v>
      </c>
      <c r="L126" s="641">
        <f t="shared" ref="L126:L133" si="34">0</f>
        <v>0</v>
      </c>
      <c r="M126" s="641"/>
      <c r="N126" s="645"/>
      <c r="O126" s="645"/>
      <c r="P126" s="645"/>
      <c r="Q126" s="645"/>
      <c r="R126" s="645"/>
      <c r="S126" s="645"/>
      <c r="T126" s="645"/>
      <c r="U126" s="645"/>
      <c r="V126" s="638">
        <v>1</v>
      </c>
      <c r="W126" s="638">
        <v>1</v>
      </c>
      <c r="X126" s="638">
        <v>1</v>
      </c>
      <c r="Y126" s="635"/>
      <c r="Z126" s="635"/>
      <c r="AA126" s="635"/>
    </row>
    <row r="127" spans="1:28" ht="27.6">
      <c r="A127" s="584"/>
      <c r="B127" s="585">
        <v>50</v>
      </c>
      <c r="C127" s="584" t="s">
        <v>460</v>
      </c>
      <c r="D127" s="624" t="s">
        <v>461</v>
      </c>
      <c r="E127" s="585" t="s">
        <v>356</v>
      </c>
      <c r="F127" s="584"/>
      <c r="G127" s="603">
        <v>0</v>
      </c>
      <c r="H127" s="603">
        <v>0</v>
      </c>
      <c r="I127" s="603">
        <v>0</v>
      </c>
      <c r="J127" s="603">
        <v>0</v>
      </c>
      <c r="K127" s="603">
        <v>0</v>
      </c>
      <c r="L127" s="143">
        <f t="shared" si="34"/>
        <v>0</v>
      </c>
      <c r="M127" s="143">
        <v>7.43</v>
      </c>
      <c r="N127" s="630">
        <f>'6.Chiết tính'!J937</f>
        <v>396549.66570704553</v>
      </c>
      <c r="O127" s="630">
        <f t="shared" ref="O127:O130" si="35">0*V127</f>
        <v>0</v>
      </c>
      <c r="P127" s="630">
        <f>'6.Chiết tính'!J940</f>
        <v>347020.92800000001</v>
      </c>
      <c r="Q127" s="630">
        <f>'6.Chiết tính'!J942</f>
        <v>0</v>
      </c>
      <c r="R127" s="630">
        <f t="shared" ref="R127:R130" si="36">M127*N127</f>
        <v>2946364.0162033481</v>
      </c>
      <c r="S127" s="630">
        <f t="shared" ref="S127:S130" si="37">M127*O127</f>
        <v>0</v>
      </c>
      <c r="T127" s="630">
        <f t="shared" ref="T127:T130" si="38">M127*P127</f>
        <v>2578365.49504</v>
      </c>
      <c r="U127" s="630">
        <f t="shared" ref="U127:U130" si="39">M127*Q127</f>
        <v>0</v>
      </c>
      <c r="V127" s="584">
        <v>1</v>
      </c>
      <c r="W127" s="584">
        <v>0.8</v>
      </c>
      <c r="X127" s="584">
        <v>1</v>
      </c>
      <c r="Y127" s="635"/>
      <c r="Z127" s="635"/>
      <c r="AA127" s="635"/>
      <c r="AB127" s="637" t="s">
        <v>349</v>
      </c>
    </row>
    <row r="128" spans="1:28" ht="27.6">
      <c r="A128" s="584"/>
      <c r="B128" s="585">
        <v>51</v>
      </c>
      <c r="C128" s="584" t="s">
        <v>462</v>
      </c>
      <c r="D128" s="624" t="s">
        <v>463</v>
      </c>
      <c r="E128" s="585" t="s">
        <v>356</v>
      </c>
      <c r="F128" s="584"/>
      <c r="G128" s="603">
        <v>0</v>
      </c>
      <c r="H128" s="603">
        <v>0</v>
      </c>
      <c r="I128" s="603">
        <v>0</v>
      </c>
      <c r="J128" s="603">
        <v>0</v>
      </c>
      <c r="K128" s="603">
        <v>0</v>
      </c>
      <c r="L128" s="143">
        <f t="shared" si="34"/>
        <v>0</v>
      </c>
      <c r="M128" s="143">
        <v>7.43</v>
      </c>
      <c r="N128" s="630">
        <f>'6.Chiết tính'!J953</f>
        <v>1030429.0629510203</v>
      </c>
      <c r="O128" s="630">
        <f t="shared" si="35"/>
        <v>0</v>
      </c>
      <c r="P128" s="630">
        <f>'6.Chiết tính'!J959</f>
        <v>303696.83999999997</v>
      </c>
      <c r="Q128" s="630">
        <f>'6.Chiết tính'!J961</f>
        <v>56032.926787260003</v>
      </c>
      <c r="R128" s="630">
        <f t="shared" si="36"/>
        <v>7656087.9377260804</v>
      </c>
      <c r="S128" s="630">
        <f t="shared" si="37"/>
        <v>0</v>
      </c>
      <c r="T128" s="630">
        <f t="shared" si="38"/>
        <v>2256467.5211999998</v>
      </c>
      <c r="U128" s="630">
        <f t="shared" si="39"/>
        <v>416324.64602934179</v>
      </c>
      <c r="V128" s="584">
        <v>1</v>
      </c>
      <c r="W128" s="584">
        <v>1</v>
      </c>
      <c r="X128" s="584">
        <v>1</v>
      </c>
      <c r="Y128" s="635"/>
      <c r="Z128" s="635"/>
      <c r="AA128" s="635"/>
      <c r="AB128" s="637" t="s">
        <v>349</v>
      </c>
    </row>
    <row r="129" spans="1:28" ht="41.4">
      <c r="A129" s="584"/>
      <c r="B129" s="585">
        <v>52</v>
      </c>
      <c r="C129" s="584" t="s">
        <v>464</v>
      </c>
      <c r="D129" s="624" t="s">
        <v>465</v>
      </c>
      <c r="E129" s="585" t="s">
        <v>356</v>
      </c>
      <c r="F129" s="584"/>
      <c r="G129" s="603">
        <v>0</v>
      </c>
      <c r="H129" s="603">
        <v>0</v>
      </c>
      <c r="I129" s="603">
        <v>0</v>
      </c>
      <c r="J129" s="603">
        <v>0</v>
      </c>
      <c r="K129" s="603">
        <v>0</v>
      </c>
      <c r="L129" s="143">
        <f t="shared" si="34"/>
        <v>0</v>
      </c>
      <c r="M129" s="143">
        <v>10.43</v>
      </c>
      <c r="N129" s="630">
        <f>'6.Chiết tính'!J974</f>
        <v>1194550.9401206358</v>
      </c>
      <c r="O129" s="630">
        <f t="shared" si="35"/>
        <v>0</v>
      </c>
      <c r="P129" s="630">
        <f>'6.Chiết tính'!J980</f>
        <v>1215000</v>
      </c>
      <c r="Q129" s="630">
        <f>'6.Chiết tính'!J982</f>
        <v>11685.075274722354</v>
      </c>
      <c r="R129" s="630">
        <f t="shared" si="36"/>
        <v>12459166.305458231</v>
      </c>
      <c r="S129" s="630">
        <f t="shared" si="37"/>
        <v>0</v>
      </c>
      <c r="T129" s="630">
        <f t="shared" si="38"/>
        <v>12672450</v>
      </c>
      <c r="U129" s="630">
        <f t="shared" si="39"/>
        <v>121875.33511535414</v>
      </c>
      <c r="V129" s="584">
        <v>1</v>
      </c>
      <c r="W129" s="584">
        <v>1</v>
      </c>
      <c r="X129" s="584">
        <v>1</v>
      </c>
      <c r="Y129" s="635"/>
      <c r="Z129" s="635"/>
      <c r="AA129" s="635"/>
      <c r="AB129" s="637" t="s">
        <v>349</v>
      </c>
    </row>
    <row r="130" spans="1:28" ht="27.6">
      <c r="A130" s="584"/>
      <c r="B130" s="585">
        <v>53</v>
      </c>
      <c r="C130" s="584" t="s">
        <v>466</v>
      </c>
      <c r="D130" s="624" t="s">
        <v>467</v>
      </c>
      <c r="E130" s="585" t="s">
        <v>468</v>
      </c>
      <c r="F130" s="584"/>
      <c r="G130" s="603">
        <v>0</v>
      </c>
      <c r="H130" s="603">
        <v>0</v>
      </c>
      <c r="I130" s="603">
        <v>0</v>
      </c>
      <c r="J130" s="603">
        <v>0</v>
      </c>
      <c r="K130" s="603">
        <v>0</v>
      </c>
      <c r="L130" s="143">
        <f t="shared" si="34"/>
        <v>0</v>
      </c>
      <c r="M130" s="143">
        <v>47.4</v>
      </c>
      <c r="N130" s="630">
        <f>'6.Chiết tính'!J994</f>
        <v>10929.274998675268</v>
      </c>
      <c r="O130" s="630">
        <f t="shared" si="35"/>
        <v>0</v>
      </c>
      <c r="P130" s="630">
        <f>'6.Chiết tính'!J999</f>
        <v>59400</v>
      </c>
      <c r="Q130" s="630">
        <f>'6.Chiết tính'!J1001</f>
        <v>599.23462947294126</v>
      </c>
      <c r="R130" s="630">
        <f t="shared" si="36"/>
        <v>518047.63493720768</v>
      </c>
      <c r="S130" s="630">
        <f t="shared" si="37"/>
        <v>0</v>
      </c>
      <c r="T130" s="630">
        <f t="shared" si="38"/>
        <v>2815560</v>
      </c>
      <c r="U130" s="630">
        <f t="shared" si="39"/>
        <v>28403.721437017415</v>
      </c>
      <c r="V130" s="584">
        <v>1</v>
      </c>
      <c r="W130" s="584">
        <v>1</v>
      </c>
      <c r="X130" s="584">
        <v>1</v>
      </c>
      <c r="Y130" s="635"/>
      <c r="Z130" s="635"/>
      <c r="AA130" s="635"/>
      <c r="AB130" s="637" t="s">
        <v>349</v>
      </c>
    </row>
    <row r="131" spans="1:28" ht="15">
      <c r="A131" s="638"/>
      <c r="B131" s="639"/>
      <c r="C131" s="638"/>
      <c r="D131" s="640" t="s">
        <v>469</v>
      </c>
      <c r="E131" s="639"/>
      <c r="F131" s="638"/>
      <c r="G131" s="641">
        <v>0</v>
      </c>
      <c r="H131" s="641">
        <v>0</v>
      </c>
      <c r="I131" s="641">
        <v>0</v>
      </c>
      <c r="J131" s="641">
        <v>0</v>
      </c>
      <c r="K131" s="641">
        <v>0</v>
      </c>
      <c r="L131" s="641">
        <f t="shared" si="34"/>
        <v>0</v>
      </c>
      <c r="M131" s="641"/>
      <c r="N131" s="645"/>
      <c r="O131" s="645"/>
      <c r="P131" s="645"/>
      <c r="Q131" s="645"/>
      <c r="R131" s="645"/>
      <c r="S131" s="645"/>
      <c r="T131" s="645"/>
      <c r="U131" s="645"/>
      <c r="V131" s="638">
        <v>1</v>
      </c>
      <c r="W131" s="638">
        <v>1</v>
      </c>
      <c r="X131" s="638">
        <v>1</v>
      </c>
      <c r="Y131" s="635"/>
      <c r="Z131" s="635"/>
      <c r="AA131" s="635"/>
    </row>
    <row r="132" spans="1:28" ht="55.2">
      <c r="A132" s="584"/>
      <c r="B132" s="585">
        <v>54</v>
      </c>
      <c r="C132" s="584" t="s">
        <v>470</v>
      </c>
      <c r="D132" s="624" t="s">
        <v>471</v>
      </c>
      <c r="E132" s="585" t="s">
        <v>356</v>
      </c>
      <c r="F132" s="584"/>
      <c r="G132" s="603">
        <v>0</v>
      </c>
      <c r="H132" s="603">
        <v>0</v>
      </c>
      <c r="I132" s="603">
        <v>0</v>
      </c>
      <c r="J132" s="603">
        <v>0</v>
      </c>
      <c r="K132" s="603">
        <v>0</v>
      </c>
      <c r="L132" s="143">
        <f t="shared" si="34"/>
        <v>0</v>
      </c>
      <c r="M132" s="143">
        <v>5.91</v>
      </c>
      <c r="N132" s="630">
        <f>'6.Chiết tính'!J1013</f>
        <v>1136050.7081554648</v>
      </c>
      <c r="O132" s="630">
        <f t="shared" ref="O132:O133" si="40">0*V132</f>
        <v>0</v>
      </c>
      <c r="P132" s="630">
        <f>'6.Chiết tính'!J1019</f>
        <v>696600</v>
      </c>
      <c r="Q132" s="630">
        <f>'6.Chiết tính'!J1021</f>
        <v>149696.7062941326</v>
      </c>
      <c r="R132" s="630">
        <f t="shared" ref="R132:R133" si="41">M132*N132</f>
        <v>6714059.6851987978</v>
      </c>
      <c r="S132" s="630">
        <f t="shared" ref="S132:S133" si="42">M132*O132</f>
        <v>0</v>
      </c>
      <c r="T132" s="630">
        <f t="shared" ref="T132:T133" si="43">M132*P132</f>
        <v>4116906</v>
      </c>
      <c r="U132" s="630">
        <f t="shared" ref="U132:U133" si="44">M132*Q132</f>
        <v>884707.53419832373</v>
      </c>
      <c r="V132" s="584">
        <v>1</v>
      </c>
      <c r="W132" s="584">
        <v>1</v>
      </c>
      <c r="X132" s="584">
        <v>1</v>
      </c>
      <c r="Y132" s="635"/>
      <c r="Z132" s="635"/>
      <c r="AA132" s="635"/>
      <c r="AB132" s="637" t="s">
        <v>349</v>
      </c>
    </row>
    <row r="133" spans="1:28" ht="27.6">
      <c r="A133" s="584"/>
      <c r="B133" s="585">
        <v>55</v>
      </c>
      <c r="C133" s="584" t="s">
        <v>472</v>
      </c>
      <c r="D133" s="624" t="s">
        <v>473</v>
      </c>
      <c r="E133" s="585" t="s">
        <v>474</v>
      </c>
      <c r="F133" s="584"/>
      <c r="G133" s="603">
        <v>0</v>
      </c>
      <c r="H133" s="603">
        <v>0</v>
      </c>
      <c r="I133" s="603">
        <v>0</v>
      </c>
      <c r="J133" s="603">
        <v>0</v>
      </c>
      <c r="K133" s="603">
        <v>0</v>
      </c>
      <c r="L133" s="143">
        <f t="shared" si="34"/>
        <v>0</v>
      </c>
      <c r="M133" s="143">
        <f>SUM(L134:L134)</f>
        <v>0.24490000000000001</v>
      </c>
      <c r="N133" s="630">
        <f>'6.Chiết tính'!J1036</f>
        <v>17997032.851846885</v>
      </c>
      <c r="O133" s="630">
        <f t="shared" si="40"/>
        <v>0</v>
      </c>
      <c r="P133" s="630">
        <f>'6.Chiết tính'!J1039</f>
        <v>2902500</v>
      </c>
      <c r="Q133" s="630">
        <f>'6.Chiết tính'!J1041</f>
        <v>114513.84476866666</v>
      </c>
      <c r="R133" s="630">
        <f t="shared" si="41"/>
        <v>4407473.3454173021</v>
      </c>
      <c r="S133" s="630">
        <f t="shared" si="42"/>
        <v>0</v>
      </c>
      <c r="T133" s="630">
        <f t="shared" si="43"/>
        <v>710822.25</v>
      </c>
      <c r="U133" s="630">
        <f t="shared" si="44"/>
        <v>28044.440583846466</v>
      </c>
      <c r="V133" s="584">
        <v>1</v>
      </c>
      <c r="W133" s="584">
        <v>1</v>
      </c>
      <c r="X133" s="584">
        <v>1</v>
      </c>
      <c r="Y133" s="635"/>
      <c r="Z133" s="635"/>
      <c r="AA133" s="635"/>
      <c r="AB133" s="637" t="s">
        <v>349</v>
      </c>
    </row>
    <row r="134" spans="1:28">
      <c r="A134" s="126"/>
      <c r="B134" s="127"/>
      <c r="C134" s="126"/>
      <c r="D134" s="129" t="s">
        <v>475</v>
      </c>
      <c r="E134" s="127"/>
      <c r="F134" s="126"/>
      <c r="G134" s="143">
        <v>0</v>
      </c>
      <c r="H134" s="143">
        <v>0</v>
      </c>
      <c r="I134" s="143">
        <v>0</v>
      </c>
      <c r="J134" s="143">
        <v>0</v>
      </c>
      <c r="K134" s="143">
        <v>0</v>
      </c>
      <c r="L134" s="143">
        <f>244.9/1000</f>
        <v>0.24490000000000001</v>
      </c>
      <c r="M134" s="143"/>
      <c r="N134" s="629"/>
      <c r="O134" s="629"/>
      <c r="P134" s="629"/>
      <c r="Q134" s="629"/>
      <c r="R134" s="629"/>
      <c r="S134" s="629"/>
      <c r="T134" s="629"/>
      <c r="U134" s="629"/>
      <c r="V134" s="126">
        <v>1</v>
      </c>
      <c r="W134" s="126">
        <v>1</v>
      </c>
      <c r="X134" s="126">
        <v>1</v>
      </c>
      <c r="Y134" s="635"/>
      <c r="Z134" s="635"/>
      <c r="AA134" s="635"/>
    </row>
    <row r="135" spans="1:28">
      <c r="A135" s="584"/>
      <c r="B135" s="585">
        <v>56</v>
      </c>
      <c r="C135" s="584" t="s">
        <v>476</v>
      </c>
      <c r="D135" s="624" t="s">
        <v>477</v>
      </c>
      <c r="E135" s="585" t="s">
        <v>398</v>
      </c>
      <c r="F135" s="584"/>
      <c r="G135" s="603">
        <v>0</v>
      </c>
      <c r="H135" s="603">
        <v>0</v>
      </c>
      <c r="I135" s="603">
        <v>0</v>
      </c>
      <c r="J135" s="603">
        <v>0</v>
      </c>
      <c r="K135" s="603">
        <v>0</v>
      </c>
      <c r="L135" s="143">
        <f>0</f>
        <v>0</v>
      </c>
      <c r="M135" s="143">
        <f>SUM(L136:L137)</f>
        <v>0.93220000000000003</v>
      </c>
      <c r="N135" s="630">
        <f>'6.Chiết tính'!J1053</f>
        <v>1623401.2408645179</v>
      </c>
      <c r="O135" s="630">
        <f>0*V135</f>
        <v>0</v>
      </c>
      <c r="P135" s="630">
        <f>'6.Chiết tính'!J1058</f>
        <v>3590377</v>
      </c>
      <c r="Q135" s="630">
        <f>'6.Chiết tính'!J1060</f>
        <v>357131.12499350397</v>
      </c>
      <c r="R135" s="630">
        <f>M135*N135</f>
        <v>1513334.6367339035</v>
      </c>
      <c r="S135" s="630">
        <f>M135*O135</f>
        <v>0</v>
      </c>
      <c r="T135" s="630">
        <f>M135*P135</f>
        <v>3346949.4394</v>
      </c>
      <c r="U135" s="630">
        <f>M135*Q135</f>
        <v>332917.63471894444</v>
      </c>
      <c r="V135" s="584">
        <v>1</v>
      </c>
      <c r="W135" s="584">
        <v>1</v>
      </c>
      <c r="X135" s="584">
        <v>1</v>
      </c>
      <c r="Y135" s="635"/>
      <c r="Z135" s="635"/>
      <c r="AA135" s="635"/>
      <c r="AB135" s="637" t="s">
        <v>349</v>
      </c>
    </row>
    <row r="136" spans="1:28">
      <c r="A136" s="126"/>
      <c r="B136" s="127"/>
      <c r="C136" s="126"/>
      <c r="D136" s="129" t="s">
        <v>478</v>
      </c>
      <c r="E136" s="127"/>
      <c r="F136" s="126"/>
      <c r="G136" s="143">
        <v>0</v>
      </c>
      <c r="H136" s="143">
        <v>0</v>
      </c>
      <c r="I136" s="143">
        <v>0</v>
      </c>
      <c r="J136" s="143">
        <v>0</v>
      </c>
      <c r="K136" s="143">
        <v>0</v>
      </c>
      <c r="L136" s="143">
        <f>93.22/100</f>
        <v>0.93220000000000003</v>
      </c>
      <c r="M136" s="143"/>
      <c r="N136" s="629"/>
      <c r="O136" s="629"/>
      <c r="P136" s="629"/>
      <c r="Q136" s="629"/>
      <c r="R136" s="629"/>
      <c r="S136" s="629"/>
      <c r="T136" s="629"/>
      <c r="U136" s="629"/>
      <c r="V136" s="126">
        <v>1</v>
      </c>
      <c r="W136" s="126">
        <v>1</v>
      </c>
      <c r="X136" s="126">
        <v>1</v>
      </c>
      <c r="Y136" s="635"/>
      <c r="Z136" s="635"/>
      <c r="AA136" s="635"/>
    </row>
    <row r="137" spans="1:28" ht="15">
      <c r="A137" s="638"/>
      <c r="B137" s="639"/>
      <c r="C137" s="638"/>
      <c r="D137" s="640" t="s">
        <v>479</v>
      </c>
      <c r="E137" s="639"/>
      <c r="F137" s="638"/>
      <c r="G137" s="641">
        <v>0</v>
      </c>
      <c r="H137" s="641">
        <v>0</v>
      </c>
      <c r="I137" s="641">
        <v>0</v>
      </c>
      <c r="J137" s="641">
        <v>0</v>
      </c>
      <c r="K137" s="641">
        <v>0</v>
      </c>
      <c r="L137" s="641">
        <f t="shared" ref="L137:L139" si="45">0</f>
        <v>0</v>
      </c>
      <c r="M137" s="641"/>
      <c r="N137" s="645"/>
      <c r="O137" s="645"/>
      <c r="P137" s="645"/>
      <c r="Q137" s="645"/>
      <c r="R137" s="645"/>
      <c r="S137" s="645"/>
      <c r="T137" s="645"/>
      <c r="U137" s="645"/>
      <c r="V137" s="638">
        <v>1</v>
      </c>
      <c r="W137" s="638">
        <v>1</v>
      </c>
      <c r="X137" s="638">
        <v>1</v>
      </c>
      <c r="Y137" s="635"/>
      <c r="Z137" s="635"/>
      <c r="AA137" s="635"/>
    </row>
    <row r="138" spans="1:28" ht="69">
      <c r="A138" s="584"/>
      <c r="B138" s="585">
        <v>57</v>
      </c>
      <c r="C138" s="584" t="s">
        <v>480</v>
      </c>
      <c r="D138" s="624" t="s">
        <v>481</v>
      </c>
      <c r="E138" s="585" t="s">
        <v>356</v>
      </c>
      <c r="F138" s="584"/>
      <c r="G138" s="603">
        <v>0</v>
      </c>
      <c r="H138" s="603">
        <v>0</v>
      </c>
      <c r="I138" s="603">
        <v>0</v>
      </c>
      <c r="J138" s="603">
        <v>0</v>
      </c>
      <c r="K138" s="603">
        <v>0</v>
      </c>
      <c r="L138" s="143">
        <f t="shared" si="45"/>
        <v>0</v>
      </c>
      <c r="M138" s="143">
        <v>6.64</v>
      </c>
      <c r="N138" s="630">
        <f>'6.Chiết tính'!J1073</f>
        <v>1171098.5194719234</v>
      </c>
      <c r="O138" s="630">
        <f t="shared" ref="O138:O139" si="46">0*V138</f>
        <v>0</v>
      </c>
      <c r="P138" s="630">
        <f>'6.Chiết tính'!J1079</f>
        <v>476532.44</v>
      </c>
      <c r="Q138" s="630">
        <f>'6.Chiết tính'!J1081</f>
        <v>30999.068921274997</v>
      </c>
      <c r="R138" s="630">
        <f t="shared" ref="R138:R139" si="47">M138*N138</f>
        <v>7776094.1692935703</v>
      </c>
      <c r="S138" s="630">
        <f t="shared" ref="S138:S139" si="48">M138*O138</f>
        <v>0</v>
      </c>
      <c r="T138" s="630">
        <f t="shared" ref="T138:T139" si="49">M138*P138</f>
        <v>3164175.4016</v>
      </c>
      <c r="U138" s="630">
        <f t="shared" ref="U138:U139" si="50">M138*Q138</f>
        <v>205833.81763726598</v>
      </c>
      <c r="V138" s="584">
        <v>1</v>
      </c>
      <c r="W138" s="584">
        <v>1</v>
      </c>
      <c r="X138" s="584">
        <v>1</v>
      </c>
      <c r="Y138" s="635"/>
      <c r="Z138" s="635"/>
      <c r="AA138" s="635"/>
      <c r="AB138" s="637" t="s">
        <v>349</v>
      </c>
    </row>
    <row r="139" spans="1:28" ht="41.4">
      <c r="A139" s="584"/>
      <c r="B139" s="585">
        <v>58</v>
      </c>
      <c r="C139" s="584" t="s">
        <v>482</v>
      </c>
      <c r="D139" s="624" t="s">
        <v>483</v>
      </c>
      <c r="E139" s="585" t="s">
        <v>484</v>
      </c>
      <c r="F139" s="584"/>
      <c r="G139" s="603">
        <v>0</v>
      </c>
      <c r="H139" s="603">
        <v>0</v>
      </c>
      <c r="I139" s="603">
        <v>0</v>
      </c>
      <c r="J139" s="603">
        <v>0</v>
      </c>
      <c r="K139" s="603">
        <v>0</v>
      </c>
      <c r="L139" s="143">
        <f t="shared" si="45"/>
        <v>0</v>
      </c>
      <c r="M139" s="143">
        <f>SUM(L140:L140)</f>
        <v>79</v>
      </c>
      <c r="N139" s="630">
        <f>'6.Chiết tính'!J1093</f>
        <v>0</v>
      </c>
      <c r="O139" s="630">
        <f t="shared" si="46"/>
        <v>0</v>
      </c>
      <c r="P139" s="630">
        <f>'6.Chiết tính'!J1094</f>
        <v>7407.24</v>
      </c>
      <c r="Q139" s="630">
        <f>'6.Chiết tính'!J1096</f>
        <v>24177.150499999996</v>
      </c>
      <c r="R139" s="630">
        <f t="shared" si="47"/>
        <v>0</v>
      </c>
      <c r="S139" s="630">
        <f t="shared" si="48"/>
        <v>0</v>
      </c>
      <c r="T139" s="630">
        <f t="shared" si="49"/>
        <v>585171.96</v>
      </c>
      <c r="U139" s="630">
        <f t="shared" si="50"/>
        <v>1909994.8894999996</v>
      </c>
      <c r="V139" s="584">
        <v>1</v>
      </c>
      <c r="W139" s="584">
        <v>1</v>
      </c>
      <c r="X139" s="584">
        <v>1</v>
      </c>
      <c r="Y139" s="635"/>
      <c r="Z139" s="635"/>
      <c r="AA139" s="635"/>
      <c r="AB139" s="637" t="s">
        <v>349</v>
      </c>
    </row>
    <row r="140" spans="1:28">
      <c r="A140" s="126"/>
      <c r="B140" s="127"/>
      <c r="C140" s="126"/>
      <c r="D140" s="129" t="s">
        <v>485</v>
      </c>
      <c r="E140" s="127"/>
      <c r="F140" s="126"/>
      <c r="G140" s="143">
        <v>0</v>
      </c>
      <c r="H140" s="143">
        <v>0</v>
      </c>
      <c r="I140" s="143">
        <v>0</v>
      </c>
      <c r="J140" s="143">
        <v>0</v>
      </c>
      <c r="K140" s="143">
        <v>0</v>
      </c>
      <c r="L140" s="143">
        <f>79</f>
        <v>79</v>
      </c>
      <c r="M140" s="143"/>
      <c r="N140" s="629"/>
      <c r="O140" s="629"/>
      <c r="P140" s="629"/>
      <c r="Q140" s="629"/>
      <c r="R140" s="629"/>
      <c r="S140" s="629"/>
      <c r="T140" s="629"/>
      <c r="U140" s="629"/>
      <c r="V140" s="126">
        <v>1</v>
      </c>
      <c r="W140" s="126">
        <v>1</v>
      </c>
      <c r="X140" s="126">
        <v>1</v>
      </c>
      <c r="Y140" s="635"/>
      <c r="Z140" s="635"/>
      <c r="AA140" s="635"/>
    </row>
    <row r="141" spans="1:28">
      <c r="A141" s="584"/>
      <c r="B141" s="585">
        <v>59</v>
      </c>
      <c r="C141" s="584" t="s">
        <v>486</v>
      </c>
      <c r="D141" s="624" t="s">
        <v>487</v>
      </c>
      <c r="E141" s="585" t="s">
        <v>474</v>
      </c>
      <c r="F141" s="584"/>
      <c r="G141" s="603">
        <v>0</v>
      </c>
      <c r="H141" s="603">
        <v>0</v>
      </c>
      <c r="I141" s="603">
        <v>0</v>
      </c>
      <c r="J141" s="603">
        <v>0</v>
      </c>
      <c r="K141" s="603">
        <v>0</v>
      </c>
      <c r="L141" s="143">
        <f>0</f>
        <v>0</v>
      </c>
      <c r="M141" s="143">
        <f>SUM(L142:L142)</f>
        <v>1.7095600000000002</v>
      </c>
      <c r="N141" s="630">
        <f>'6.Chiết tính'!J1108</f>
        <v>18260848.267546091</v>
      </c>
      <c r="O141" s="630">
        <f>0*V141</f>
        <v>0</v>
      </c>
      <c r="P141" s="630">
        <f>'6.Chiết tính'!J1111</f>
        <v>4387500</v>
      </c>
      <c r="Q141" s="630">
        <f>'6.Chiết tính'!J1113</f>
        <v>114513.84476866666</v>
      </c>
      <c r="R141" s="630">
        <f>M141*N141</f>
        <v>31218015.7642661</v>
      </c>
      <c r="S141" s="630">
        <f>M141*O141</f>
        <v>0</v>
      </c>
      <c r="T141" s="630">
        <f>M141*P141</f>
        <v>7500694.5000000009</v>
      </c>
      <c r="U141" s="630">
        <f>M141*Q141</f>
        <v>195768.2884627218</v>
      </c>
      <c r="V141" s="584">
        <v>1</v>
      </c>
      <c r="W141" s="584">
        <v>1</v>
      </c>
      <c r="X141" s="584">
        <v>1</v>
      </c>
      <c r="Y141" s="635"/>
      <c r="Z141" s="635"/>
      <c r="AA141" s="635"/>
      <c r="AB141" s="637" t="s">
        <v>349</v>
      </c>
    </row>
    <row r="142" spans="1:28">
      <c r="A142" s="126"/>
      <c r="B142" s="127"/>
      <c r="C142" s="126"/>
      <c r="D142" s="129" t="s">
        <v>488</v>
      </c>
      <c r="E142" s="127"/>
      <c r="F142" s="126"/>
      <c r="G142" s="143">
        <v>0</v>
      </c>
      <c r="H142" s="143">
        <v>0</v>
      </c>
      <c r="I142" s="143">
        <v>0</v>
      </c>
      <c r="J142" s="143">
        <v>0</v>
      </c>
      <c r="K142" s="143">
        <v>0</v>
      </c>
      <c r="L142" s="143">
        <f>(52.14+1657.42)/1000</f>
        <v>1.7095600000000002</v>
      </c>
      <c r="M142" s="143"/>
      <c r="N142" s="629"/>
      <c r="O142" s="629"/>
      <c r="P142" s="629"/>
      <c r="Q142" s="629"/>
      <c r="R142" s="629"/>
      <c r="S142" s="629"/>
      <c r="T142" s="629"/>
      <c r="U142" s="629"/>
      <c r="V142" s="126">
        <v>1</v>
      </c>
      <c r="W142" s="126">
        <v>1</v>
      </c>
      <c r="X142" s="126">
        <v>1</v>
      </c>
      <c r="Y142" s="635"/>
      <c r="Z142" s="635"/>
      <c r="AA142" s="635"/>
    </row>
    <row r="143" spans="1:28">
      <c r="A143" s="584"/>
      <c r="B143" s="585">
        <v>60</v>
      </c>
      <c r="C143" s="584" t="s">
        <v>489</v>
      </c>
      <c r="D143" s="624" t="s">
        <v>490</v>
      </c>
      <c r="E143" s="585" t="s">
        <v>398</v>
      </c>
      <c r="F143" s="584"/>
      <c r="G143" s="603">
        <v>0</v>
      </c>
      <c r="H143" s="603">
        <v>0</v>
      </c>
      <c r="I143" s="603">
        <v>0</v>
      </c>
      <c r="J143" s="603">
        <v>0</v>
      </c>
      <c r="K143" s="603">
        <v>0</v>
      </c>
      <c r="L143" s="143">
        <f>0</f>
        <v>0</v>
      </c>
      <c r="M143" s="143">
        <f>SUM(L144:L144)</f>
        <v>0.35389999999999999</v>
      </c>
      <c r="N143" s="630">
        <f>'6.Chiết tính'!J1125</f>
        <v>705646.47372225288</v>
      </c>
      <c r="O143" s="630">
        <f>0*V143</f>
        <v>0</v>
      </c>
      <c r="P143" s="630">
        <f>'6.Chiết tính'!J1130</f>
        <v>6758701.5199999996</v>
      </c>
      <c r="Q143" s="630">
        <f>'6.Chiết tính'!J1132</f>
        <v>147950.66333124001</v>
      </c>
      <c r="R143" s="630">
        <f>M143*N143</f>
        <v>249728.28705030528</v>
      </c>
      <c r="S143" s="630">
        <f>M143*O143</f>
        <v>0</v>
      </c>
      <c r="T143" s="630">
        <f>M143*P143</f>
        <v>2391904.4679279998</v>
      </c>
      <c r="U143" s="630">
        <f>M143*Q143</f>
        <v>52359.739752925838</v>
      </c>
      <c r="V143" s="584">
        <v>1</v>
      </c>
      <c r="W143" s="584">
        <v>1</v>
      </c>
      <c r="X143" s="584">
        <v>1</v>
      </c>
      <c r="Y143" s="635"/>
      <c r="Z143" s="635"/>
      <c r="AA143" s="635"/>
      <c r="AB143" s="637" t="s">
        <v>349</v>
      </c>
    </row>
    <row r="144" spans="1:28">
      <c r="A144" s="126"/>
      <c r="B144" s="127"/>
      <c r="C144" s="126"/>
      <c r="D144" s="129" t="s">
        <v>491</v>
      </c>
      <c r="E144" s="127"/>
      <c r="F144" s="126"/>
      <c r="G144" s="143">
        <v>0</v>
      </c>
      <c r="H144" s="143">
        <v>0</v>
      </c>
      <c r="I144" s="143">
        <v>0</v>
      </c>
      <c r="J144" s="143">
        <v>0</v>
      </c>
      <c r="K144" s="143">
        <v>0</v>
      </c>
      <c r="L144" s="143">
        <f>35.39/100</f>
        <v>0.35389999999999999</v>
      </c>
      <c r="M144" s="143"/>
      <c r="N144" s="629"/>
      <c r="O144" s="629"/>
      <c r="P144" s="629"/>
      <c r="Q144" s="629"/>
      <c r="R144" s="629"/>
      <c r="S144" s="629"/>
      <c r="T144" s="629"/>
      <c r="U144" s="629"/>
      <c r="V144" s="126">
        <v>1</v>
      </c>
      <c r="W144" s="126">
        <v>1</v>
      </c>
      <c r="X144" s="126">
        <v>1</v>
      </c>
      <c r="Y144" s="635"/>
      <c r="Z144" s="635"/>
      <c r="AA144" s="635"/>
    </row>
    <row r="145" spans="1:28">
      <c r="A145" s="620"/>
      <c r="B145" s="621"/>
      <c r="C145" s="620"/>
      <c r="D145" s="620" t="s">
        <v>492</v>
      </c>
      <c r="E145" s="621"/>
      <c r="F145" s="620"/>
      <c r="G145" s="622"/>
      <c r="H145" s="622"/>
      <c r="I145" s="622"/>
      <c r="J145" s="622"/>
      <c r="K145" s="627"/>
      <c r="L145" s="143"/>
      <c r="M145" s="143"/>
      <c r="N145" s="628"/>
      <c r="O145" s="628"/>
      <c r="P145" s="628"/>
      <c r="Q145" s="628"/>
      <c r="R145" s="628"/>
      <c r="S145" s="628"/>
      <c r="T145" s="628"/>
      <c r="U145" s="628"/>
      <c r="V145" s="633"/>
      <c r="W145" s="633"/>
      <c r="X145" s="633"/>
      <c r="Y145" s="635"/>
      <c r="Z145" s="635"/>
      <c r="AA145" s="635"/>
    </row>
    <row r="146" spans="1:28" ht="41.4">
      <c r="A146" s="584"/>
      <c r="B146" s="585">
        <v>61</v>
      </c>
      <c r="C146" s="584" t="s">
        <v>493</v>
      </c>
      <c r="D146" s="624" t="s">
        <v>494</v>
      </c>
      <c r="E146" s="585" t="s">
        <v>495</v>
      </c>
      <c r="F146" s="584"/>
      <c r="G146" s="603">
        <v>0</v>
      </c>
      <c r="H146" s="603">
        <v>0</v>
      </c>
      <c r="I146" s="603">
        <v>0</v>
      </c>
      <c r="J146" s="603">
        <v>0</v>
      </c>
      <c r="K146" s="603">
        <v>0</v>
      </c>
      <c r="L146" s="143">
        <f t="shared" ref="L146:L149" si="51">0</f>
        <v>0</v>
      </c>
      <c r="M146" s="143">
        <v>38</v>
      </c>
      <c r="N146" s="630">
        <f>'6.Chiết tính'!J1146</f>
        <v>341794.36583022942</v>
      </c>
      <c r="O146" s="630">
        <f t="shared" ref="O146:O149" si="52">0*V146</f>
        <v>0</v>
      </c>
      <c r="P146" s="630">
        <f>'6.Chiết tính'!J1149</f>
        <v>70200</v>
      </c>
      <c r="Q146" s="630">
        <f>'6.Chiết tính'!J1151</f>
        <v>0</v>
      </c>
      <c r="R146" s="630">
        <f t="shared" ref="R146:R149" si="53">M146*N146</f>
        <v>12988185.901548717</v>
      </c>
      <c r="S146" s="630">
        <f t="shared" ref="S146:S149" si="54">M146*O146</f>
        <v>0</v>
      </c>
      <c r="T146" s="630">
        <f t="shared" ref="T146:T149" si="55">M146*P146</f>
        <v>2667600</v>
      </c>
      <c r="U146" s="630">
        <f t="shared" ref="U146:U149" si="56">M146*Q146</f>
        <v>0</v>
      </c>
      <c r="V146" s="584">
        <v>1</v>
      </c>
      <c r="W146" s="584">
        <v>1</v>
      </c>
      <c r="X146" s="584">
        <v>1</v>
      </c>
      <c r="Y146" s="635"/>
      <c r="Z146" s="635"/>
      <c r="AA146" s="635"/>
      <c r="AB146" s="637" t="s">
        <v>496</v>
      </c>
    </row>
    <row r="147" spans="1:28" ht="41.4">
      <c r="A147" s="584"/>
      <c r="B147" s="585">
        <v>62</v>
      </c>
      <c r="C147" s="584" t="s">
        <v>497</v>
      </c>
      <c r="D147" s="624" t="s">
        <v>498</v>
      </c>
      <c r="E147" s="585" t="s">
        <v>495</v>
      </c>
      <c r="F147" s="584"/>
      <c r="G147" s="603">
        <v>0</v>
      </c>
      <c r="H147" s="603">
        <v>0</v>
      </c>
      <c r="I147" s="603">
        <v>0</v>
      </c>
      <c r="J147" s="603">
        <v>0</v>
      </c>
      <c r="K147" s="603">
        <v>0</v>
      </c>
      <c r="L147" s="143">
        <f t="shared" si="51"/>
        <v>0</v>
      </c>
      <c r="M147" s="143">
        <v>74</v>
      </c>
      <c r="N147" s="630">
        <f>'6.Chiết tính'!J1162</f>
        <v>683588.73166045884</v>
      </c>
      <c r="O147" s="630">
        <f t="shared" si="52"/>
        <v>0</v>
      </c>
      <c r="P147" s="630">
        <f>'6.Chiết tính'!J1165</f>
        <v>94500</v>
      </c>
      <c r="Q147" s="630">
        <f>'6.Chiết tính'!J1167</f>
        <v>0</v>
      </c>
      <c r="R147" s="630">
        <f t="shared" si="53"/>
        <v>50585566.142873958</v>
      </c>
      <c r="S147" s="630">
        <f t="shared" si="54"/>
        <v>0</v>
      </c>
      <c r="T147" s="630">
        <f t="shared" si="55"/>
        <v>6993000</v>
      </c>
      <c r="U147" s="630">
        <f t="shared" si="56"/>
        <v>0</v>
      </c>
      <c r="V147" s="584">
        <v>1</v>
      </c>
      <c r="W147" s="584">
        <v>1</v>
      </c>
      <c r="X147" s="584">
        <v>1</v>
      </c>
      <c r="Y147" s="635"/>
      <c r="Z147" s="635"/>
      <c r="AA147" s="635"/>
      <c r="AB147" s="637" t="s">
        <v>496</v>
      </c>
    </row>
    <row r="148" spans="1:28" ht="27.6">
      <c r="A148" s="584"/>
      <c r="B148" s="585">
        <v>63</v>
      </c>
      <c r="C148" s="584" t="s">
        <v>499</v>
      </c>
      <c r="D148" s="624" t="s">
        <v>500</v>
      </c>
      <c r="E148" s="585" t="s">
        <v>501</v>
      </c>
      <c r="F148" s="584"/>
      <c r="G148" s="603">
        <v>0</v>
      </c>
      <c r="H148" s="603">
        <v>0</v>
      </c>
      <c r="I148" s="603">
        <v>0</v>
      </c>
      <c r="J148" s="603">
        <v>0</v>
      </c>
      <c r="K148" s="603">
        <v>0</v>
      </c>
      <c r="L148" s="143">
        <f t="shared" si="51"/>
        <v>0</v>
      </c>
      <c r="M148" s="143">
        <v>64</v>
      </c>
      <c r="N148" s="630">
        <f>'6.Chiết tính'!J1178</f>
        <v>7221.9701351034164</v>
      </c>
      <c r="O148" s="630">
        <f t="shared" si="52"/>
        <v>0</v>
      </c>
      <c r="P148" s="630">
        <f>'6.Chiết tính'!J1182</f>
        <v>18900</v>
      </c>
      <c r="Q148" s="630">
        <f>'6.Chiết tính'!J1184</f>
        <v>0</v>
      </c>
      <c r="R148" s="630">
        <f t="shared" si="53"/>
        <v>462206.08864661865</v>
      </c>
      <c r="S148" s="630">
        <f t="shared" si="54"/>
        <v>0</v>
      </c>
      <c r="T148" s="630">
        <f t="shared" si="55"/>
        <v>1209600</v>
      </c>
      <c r="U148" s="630">
        <f t="shared" si="56"/>
        <v>0</v>
      </c>
      <c r="V148" s="584">
        <v>1</v>
      </c>
      <c r="W148" s="584">
        <v>1</v>
      </c>
      <c r="X148" s="584">
        <v>1</v>
      </c>
      <c r="Y148" s="635"/>
      <c r="Z148" s="635"/>
      <c r="AA148" s="635"/>
      <c r="AB148" s="637" t="s">
        <v>496</v>
      </c>
    </row>
    <row r="149" spans="1:28" ht="41.4">
      <c r="A149" s="584"/>
      <c r="B149" s="585">
        <v>64</v>
      </c>
      <c r="C149" s="584" t="s">
        <v>435</v>
      </c>
      <c r="D149" s="624" t="s">
        <v>436</v>
      </c>
      <c r="E149" s="585" t="s">
        <v>345</v>
      </c>
      <c r="F149" s="584"/>
      <c r="G149" s="603">
        <v>0</v>
      </c>
      <c r="H149" s="603">
        <v>0</v>
      </c>
      <c r="I149" s="603">
        <v>0</v>
      </c>
      <c r="J149" s="603">
        <v>0</v>
      </c>
      <c r="K149" s="603">
        <v>0</v>
      </c>
      <c r="L149" s="143">
        <f t="shared" si="51"/>
        <v>0</v>
      </c>
      <c r="M149" s="143">
        <f>SUM(L150:L150)</f>
        <v>0.27899999999999997</v>
      </c>
      <c r="N149" s="630">
        <f>'6.Chiết tính'!J1195</f>
        <v>0</v>
      </c>
      <c r="O149" s="630">
        <f t="shared" si="52"/>
        <v>0</v>
      </c>
      <c r="P149" s="630">
        <f>'6.Chiết tính'!J1196</f>
        <v>377219.69999999995</v>
      </c>
      <c r="Q149" s="630">
        <f>'6.Chiết tính'!J1198</f>
        <v>818124.93843149999</v>
      </c>
      <c r="R149" s="630">
        <f t="shared" si="53"/>
        <v>0</v>
      </c>
      <c r="S149" s="630">
        <f t="shared" si="54"/>
        <v>0</v>
      </c>
      <c r="T149" s="630">
        <f t="shared" si="55"/>
        <v>105244.29629999997</v>
      </c>
      <c r="U149" s="630">
        <f t="shared" si="56"/>
        <v>228256.85782238847</v>
      </c>
      <c r="V149" s="584">
        <v>1</v>
      </c>
      <c r="W149" s="584">
        <v>1</v>
      </c>
      <c r="X149" s="584">
        <v>1</v>
      </c>
      <c r="Y149" s="635"/>
      <c r="Z149" s="635"/>
      <c r="AA149" s="635"/>
      <c r="AB149" s="637" t="s">
        <v>349</v>
      </c>
    </row>
    <row r="150" spans="1:28">
      <c r="A150" s="126"/>
      <c r="B150" s="127"/>
      <c r="C150" s="126"/>
      <c r="D150" s="129" t="s">
        <v>502</v>
      </c>
      <c r="E150" s="127"/>
      <c r="F150" s="126"/>
      <c r="G150" s="143">
        <v>0</v>
      </c>
      <c r="H150" s="143">
        <v>0</v>
      </c>
      <c r="I150" s="143">
        <v>0</v>
      </c>
      <c r="J150" s="143">
        <v>0</v>
      </c>
      <c r="K150" s="143">
        <v>0</v>
      </c>
      <c r="L150" s="143">
        <f>27.9/100</f>
        <v>0.27899999999999997</v>
      </c>
      <c r="M150" s="143"/>
      <c r="N150" s="629"/>
      <c r="O150" s="629"/>
      <c r="P150" s="629"/>
      <c r="Q150" s="629"/>
      <c r="R150" s="629"/>
      <c r="S150" s="629"/>
      <c r="T150" s="629"/>
      <c r="U150" s="629"/>
      <c r="V150" s="126">
        <v>1</v>
      </c>
      <c r="W150" s="126">
        <v>1</v>
      </c>
      <c r="X150" s="126">
        <v>1</v>
      </c>
      <c r="Y150" s="635"/>
      <c r="Z150" s="635"/>
      <c r="AA150" s="635"/>
    </row>
    <row r="151" spans="1:28">
      <c r="A151" s="620"/>
      <c r="B151" s="621"/>
      <c r="C151" s="620"/>
      <c r="D151" s="620" t="s">
        <v>503</v>
      </c>
      <c r="E151" s="621"/>
      <c r="F151" s="620"/>
      <c r="G151" s="622"/>
      <c r="H151" s="622"/>
      <c r="I151" s="622"/>
      <c r="J151" s="622"/>
      <c r="K151" s="627"/>
      <c r="L151" s="143"/>
      <c r="M151" s="143"/>
      <c r="N151" s="628"/>
      <c r="O151" s="628"/>
      <c r="P151" s="628"/>
      <c r="Q151" s="628"/>
      <c r="R151" s="628"/>
      <c r="S151" s="628"/>
      <c r="T151" s="628"/>
      <c r="U151" s="628"/>
      <c r="V151" s="633"/>
      <c r="W151" s="633"/>
      <c r="X151" s="633"/>
      <c r="Y151" s="635"/>
      <c r="Z151" s="635"/>
      <c r="AA151" s="635"/>
    </row>
    <row r="152" spans="1:28" ht="27.6">
      <c r="A152" s="584"/>
      <c r="B152" s="585">
        <v>65</v>
      </c>
      <c r="C152" s="584" t="s">
        <v>504</v>
      </c>
      <c r="D152" s="624" t="s">
        <v>505</v>
      </c>
      <c r="E152" s="585" t="s">
        <v>356</v>
      </c>
      <c r="F152" s="584"/>
      <c r="G152" s="603">
        <v>0</v>
      </c>
      <c r="H152" s="603">
        <v>0</v>
      </c>
      <c r="I152" s="603">
        <v>0</v>
      </c>
      <c r="J152" s="603">
        <v>0</v>
      </c>
      <c r="K152" s="603">
        <v>0</v>
      </c>
      <c r="L152" s="143">
        <f>0</f>
        <v>0</v>
      </c>
      <c r="M152" s="143">
        <f>SUM(L153:L153)</f>
        <v>3.3</v>
      </c>
      <c r="N152" s="630">
        <f>'6.Chiết tính'!J1213</f>
        <v>1062670.2273051951</v>
      </c>
      <c r="O152" s="630">
        <f>0*V152</f>
        <v>0</v>
      </c>
      <c r="P152" s="630">
        <f>'6.Chiết tính'!J1219</f>
        <v>448200</v>
      </c>
      <c r="Q152" s="630">
        <f>'6.Chiết tính'!J1221</f>
        <v>56032.926787260003</v>
      </c>
      <c r="R152" s="630">
        <f>M152*N152</f>
        <v>3506811.7501071435</v>
      </c>
      <c r="S152" s="630">
        <f>M152*O152</f>
        <v>0</v>
      </c>
      <c r="T152" s="630">
        <f>M152*P152</f>
        <v>1479060</v>
      </c>
      <c r="U152" s="630">
        <f>M152*Q152</f>
        <v>184908.658397958</v>
      </c>
      <c r="V152" s="584">
        <v>1</v>
      </c>
      <c r="W152" s="584">
        <v>1</v>
      </c>
      <c r="X152" s="584">
        <v>1</v>
      </c>
      <c r="Y152" s="635"/>
      <c r="Z152" s="635"/>
      <c r="AA152" s="635"/>
      <c r="AB152" s="637" t="s">
        <v>349</v>
      </c>
    </row>
    <row r="153" spans="1:28">
      <c r="A153" s="126"/>
      <c r="B153" s="127"/>
      <c r="C153" s="126"/>
      <c r="D153" s="129" t="s">
        <v>506</v>
      </c>
      <c r="E153" s="127"/>
      <c r="F153" s="126"/>
      <c r="G153" s="143">
        <v>0</v>
      </c>
      <c r="H153" s="143">
        <v>0</v>
      </c>
      <c r="I153" s="143">
        <v>0</v>
      </c>
      <c r="J153" s="143">
        <v>0</v>
      </c>
      <c r="K153" s="143">
        <v>0</v>
      </c>
      <c r="L153" s="143">
        <f>1.98+1.32</f>
        <v>3.3</v>
      </c>
      <c r="M153" s="143"/>
      <c r="N153" s="629"/>
      <c r="O153" s="629"/>
      <c r="P153" s="629"/>
      <c r="Q153" s="629"/>
      <c r="R153" s="629"/>
      <c r="S153" s="629"/>
      <c r="T153" s="629"/>
      <c r="U153" s="629"/>
      <c r="V153" s="126">
        <v>1</v>
      </c>
      <c r="W153" s="126">
        <v>1</v>
      </c>
      <c r="X153" s="126">
        <v>1</v>
      </c>
      <c r="Y153" s="635"/>
      <c r="Z153" s="635"/>
      <c r="AA153" s="635"/>
    </row>
    <row r="154" spans="1:28">
      <c r="A154" s="584"/>
      <c r="B154" s="585">
        <v>66</v>
      </c>
      <c r="C154" s="584" t="s">
        <v>396</v>
      </c>
      <c r="D154" s="624" t="s">
        <v>397</v>
      </c>
      <c r="E154" s="585" t="s">
        <v>398</v>
      </c>
      <c r="F154" s="584"/>
      <c r="G154" s="603">
        <v>0</v>
      </c>
      <c r="H154" s="603">
        <v>0</v>
      </c>
      <c r="I154" s="603">
        <v>0</v>
      </c>
      <c r="J154" s="603">
        <v>0</v>
      </c>
      <c r="K154" s="603">
        <v>0</v>
      </c>
      <c r="L154" s="143">
        <f>0</f>
        <v>0</v>
      </c>
      <c r="M154" s="143">
        <f>SUM(L155:L155)</f>
        <v>0.13200000000000001</v>
      </c>
      <c r="N154" s="630">
        <f>'6.Chiết tính'!J1234</f>
        <v>220440</v>
      </c>
      <c r="O154" s="630">
        <f>0*V154</f>
        <v>0</v>
      </c>
      <c r="P154" s="630">
        <f>'6.Chiết tính'!J1237</f>
        <v>40500</v>
      </c>
      <c r="Q154" s="630">
        <f>'6.Chiết tính'!J1239</f>
        <v>0</v>
      </c>
      <c r="R154" s="630">
        <f>M154*N154</f>
        <v>29098.080000000002</v>
      </c>
      <c r="S154" s="630">
        <f>M154*O154</f>
        <v>0</v>
      </c>
      <c r="T154" s="630">
        <f>M154*P154</f>
        <v>5346</v>
      </c>
      <c r="U154" s="630">
        <f>M154*Q154</f>
        <v>0</v>
      </c>
      <c r="V154" s="584">
        <v>1</v>
      </c>
      <c r="W154" s="584">
        <v>1</v>
      </c>
      <c r="X154" s="584">
        <v>1</v>
      </c>
      <c r="Y154" s="635"/>
      <c r="Z154" s="635"/>
      <c r="AA154" s="635"/>
      <c r="AB154" s="637" t="s">
        <v>349</v>
      </c>
    </row>
    <row r="155" spans="1:28">
      <c r="A155" s="126"/>
      <c r="B155" s="127"/>
      <c r="C155" s="126"/>
      <c r="D155" s="129" t="s">
        <v>507</v>
      </c>
      <c r="E155" s="127"/>
      <c r="F155" s="126"/>
      <c r="G155" s="143">
        <v>0</v>
      </c>
      <c r="H155" s="143">
        <v>0</v>
      </c>
      <c r="I155" s="143">
        <v>0</v>
      </c>
      <c r="J155" s="143">
        <v>0</v>
      </c>
      <c r="K155" s="143">
        <v>0</v>
      </c>
      <c r="L155" s="143">
        <f>13.2/100</f>
        <v>0.13200000000000001</v>
      </c>
      <c r="M155" s="143"/>
      <c r="N155" s="629"/>
      <c r="O155" s="629"/>
      <c r="P155" s="629"/>
      <c r="Q155" s="629"/>
      <c r="R155" s="629"/>
      <c r="S155" s="629"/>
      <c r="T155" s="629"/>
      <c r="U155" s="629"/>
      <c r="V155" s="126">
        <v>1</v>
      </c>
      <c r="W155" s="126">
        <v>1</v>
      </c>
      <c r="X155" s="126">
        <v>1</v>
      </c>
      <c r="Y155" s="635"/>
      <c r="Z155" s="635"/>
      <c r="AA155" s="635"/>
    </row>
    <row r="156" spans="1:28" ht="27.6">
      <c r="A156" s="584"/>
      <c r="B156" s="585">
        <v>67</v>
      </c>
      <c r="C156" s="584" t="s">
        <v>508</v>
      </c>
      <c r="D156" s="624" t="s">
        <v>509</v>
      </c>
      <c r="E156" s="585" t="s">
        <v>356</v>
      </c>
      <c r="F156" s="584"/>
      <c r="G156" s="603">
        <v>0</v>
      </c>
      <c r="H156" s="603">
        <v>0</v>
      </c>
      <c r="I156" s="603">
        <v>0</v>
      </c>
      <c r="J156" s="603">
        <v>0</v>
      </c>
      <c r="K156" s="603">
        <v>0</v>
      </c>
      <c r="L156" s="143">
        <f>0</f>
        <v>0</v>
      </c>
      <c r="M156" s="143">
        <f>SUM(L157:L157)</f>
        <v>0.66</v>
      </c>
      <c r="N156" s="630">
        <f>'6.Chiết tính'!J1250</f>
        <v>495257.6142875955</v>
      </c>
      <c r="O156" s="630">
        <f>0*V156</f>
        <v>0</v>
      </c>
      <c r="P156" s="630">
        <f>'6.Chiết tính'!J1253</f>
        <v>347020.92800000001</v>
      </c>
      <c r="Q156" s="630">
        <f>'6.Chiết tính'!J1255</f>
        <v>0</v>
      </c>
      <c r="R156" s="630">
        <f>M156*N156</f>
        <v>326870.02542981302</v>
      </c>
      <c r="S156" s="630">
        <f>M156*O156</f>
        <v>0</v>
      </c>
      <c r="T156" s="630">
        <f>M156*P156</f>
        <v>229033.81248000002</v>
      </c>
      <c r="U156" s="630">
        <f>M156*Q156</f>
        <v>0</v>
      </c>
      <c r="V156" s="584">
        <v>1</v>
      </c>
      <c r="W156" s="584">
        <v>0.8</v>
      </c>
      <c r="X156" s="584">
        <v>1</v>
      </c>
      <c r="Y156" s="635"/>
      <c r="Z156" s="635"/>
      <c r="AA156" s="635"/>
      <c r="AB156" s="637" t="s">
        <v>349</v>
      </c>
    </row>
    <row r="157" spans="1:28">
      <c r="A157" s="126"/>
      <c r="B157" s="127"/>
      <c r="C157" s="126"/>
      <c r="D157" s="129" t="s">
        <v>510</v>
      </c>
      <c r="E157" s="127"/>
      <c r="F157" s="126"/>
      <c r="G157" s="143">
        <v>0</v>
      </c>
      <c r="H157" s="143">
        <v>0</v>
      </c>
      <c r="I157" s="143">
        <v>0</v>
      </c>
      <c r="J157" s="143">
        <v>0</v>
      </c>
      <c r="K157" s="143">
        <v>0</v>
      </c>
      <c r="L157" s="143">
        <f>0.66</f>
        <v>0.66</v>
      </c>
      <c r="M157" s="143"/>
      <c r="N157" s="629"/>
      <c r="O157" s="629"/>
      <c r="P157" s="629"/>
      <c r="Q157" s="629"/>
      <c r="R157" s="629"/>
      <c r="S157" s="629"/>
      <c r="T157" s="629"/>
      <c r="U157" s="629"/>
      <c r="V157" s="126">
        <v>1</v>
      </c>
      <c r="W157" s="126">
        <v>1</v>
      </c>
      <c r="X157" s="126">
        <v>1</v>
      </c>
      <c r="Y157" s="635"/>
      <c r="Z157" s="635"/>
      <c r="AA157" s="635"/>
    </row>
    <row r="158" spans="1:28">
      <c r="A158" s="584"/>
      <c r="B158" s="585">
        <v>68</v>
      </c>
      <c r="C158" s="584" t="s">
        <v>476</v>
      </c>
      <c r="D158" s="624" t="s">
        <v>511</v>
      </c>
      <c r="E158" s="585" t="s">
        <v>398</v>
      </c>
      <c r="F158" s="584"/>
      <c r="G158" s="603">
        <v>0</v>
      </c>
      <c r="H158" s="603">
        <v>0</v>
      </c>
      <c r="I158" s="603">
        <v>0</v>
      </c>
      <c r="J158" s="603">
        <v>0</v>
      </c>
      <c r="K158" s="603">
        <v>0</v>
      </c>
      <c r="L158" s="143">
        <f>0</f>
        <v>0</v>
      </c>
      <c r="M158" s="143">
        <f>SUM(L159:L159)</f>
        <v>0.61380000000000001</v>
      </c>
      <c r="N158" s="630">
        <f>'6.Chiết tính'!J1266</f>
        <v>1623401.2408645179</v>
      </c>
      <c r="O158" s="630">
        <f>0*V158</f>
        <v>0</v>
      </c>
      <c r="P158" s="630">
        <f>'6.Chiết tính'!J1271</f>
        <v>3590377</v>
      </c>
      <c r="Q158" s="630">
        <f>'6.Chiết tính'!J1273</f>
        <v>357131.12499350397</v>
      </c>
      <c r="R158" s="630">
        <f>M158*N158</f>
        <v>996443.68164264108</v>
      </c>
      <c r="S158" s="630">
        <f>M158*O158</f>
        <v>0</v>
      </c>
      <c r="T158" s="630">
        <f>M158*P158</f>
        <v>2203773.4026000001</v>
      </c>
      <c r="U158" s="630">
        <f>M158*Q158</f>
        <v>219207.08452101273</v>
      </c>
      <c r="V158" s="584">
        <v>1</v>
      </c>
      <c r="W158" s="584">
        <v>1</v>
      </c>
      <c r="X158" s="584">
        <v>1</v>
      </c>
      <c r="Y158" s="635"/>
      <c r="Z158" s="635"/>
      <c r="AA158" s="635"/>
      <c r="AB158" s="637" t="s">
        <v>349</v>
      </c>
    </row>
    <row r="159" spans="1:28">
      <c r="A159" s="126"/>
      <c r="B159" s="127"/>
      <c r="C159" s="126"/>
      <c r="D159" s="129" t="s">
        <v>512</v>
      </c>
      <c r="E159" s="127"/>
      <c r="F159" s="126"/>
      <c r="G159" s="143">
        <v>0</v>
      </c>
      <c r="H159" s="143">
        <v>0</v>
      </c>
      <c r="I159" s="143">
        <v>0</v>
      </c>
      <c r="J159" s="143">
        <v>0</v>
      </c>
      <c r="K159" s="143">
        <v>0</v>
      </c>
      <c r="L159" s="143">
        <f>61.38/100</f>
        <v>0.61380000000000001</v>
      </c>
      <c r="M159" s="143"/>
      <c r="N159" s="629"/>
      <c r="O159" s="629"/>
      <c r="P159" s="629"/>
      <c r="Q159" s="629"/>
      <c r="R159" s="629"/>
      <c r="S159" s="629"/>
      <c r="T159" s="629"/>
      <c r="U159" s="629"/>
      <c r="V159" s="126">
        <v>1</v>
      </c>
      <c r="W159" s="126">
        <v>1</v>
      </c>
      <c r="X159" s="126">
        <v>1</v>
      </c>
      <c r="Y159" s="635"/>
      <c r="Z159" s="635"/>
      <c r="AA159" s="635"/>
    </row>
    <row r="160" spans="1:28">
      <c r="A160" s="620"/>
      <c r="B160" s="621"/>
      <c r="C160" s="620"/>
      <c r="D160" s="620" t="s">
        <v>513</v>
      </c>
      <c r="E160" s="621"/>
      <c r="F160" s="620"/>
      <c r="G160" s="622"/>
      <c r="H160" s="622"/>
      <c r="I160" s="622"/>
      <c r="J160" s="622"/>
      <c r="K160" s="627"/>
      <c r="L160" s="143"/>
      <c r="M160" s="143"/>
      <c r="N160" s="628"/>
      <c r="O160" s="628"/>
      <c r="P160" s="628"/>
      <c r="Q160" s="628"/>
      <c r="R160" s="628"/>
      <c r="S160" s="628"/>
      <c r="T160" s="628"/>
      <c r="U160" s="628"/>
      <c r="V160" s="633"/>
      <c r="W160" s="633"/>
      <c r="X160" s="633"/>
      <c r="Y160" s="635"/>
      <c r="Z160" s="635"/>
      <c r="AA160" s="635"/>
    </row>
    <row r="161" spans="1:28" ht="41.4">
      <c r="A161" s="584"/>
      <c r="B161" s="585">
        <v>69</v>
      </c>
      <c r="C161" s="584" t="s">
        <v>514</v>
      </c>
      <c r="D161" s="624" t="s">
        <v>515</v>
      </c>
      <c r="E161" s="585" t="s">
        <v>345</v>
      </c>
      <c r="F161" s="584"/>
      <c r="G161" s="603">
        <v>0</v>
      </c>
      <c r="H161" s="603">
        <v>0</v>
      </c>
      <c r="I161" s="603">
        <v>0</v>
      </c>
      <c r="J161" s="603">
        <v>0</v>
      </c>
      <c r="K161" s="603">
        <v>0</v>
      </c>
      <c r="L161" s="143">
        <f>0</f>
        <v>0</v>
      </c>
      <c r="M161" s="143">
        <f>SUM(L162:L162)</f>
        <v>1.8000000000000002E-2</v>
      </c>
      <c r="N161" s="630">
        <f>'6.Chiết tính'!J1287</f>
        <v>0</v>
      </c>
      <c r="O161" s="630">
        <f>0*V161</f>
        <v>0</v>
      </c>
      <c r="P161" s="630">
        <f>'6.Chiết tính'!J1288</f>
        <v>1008205.38</v>
      </c>
      <c r="Q161" s="630">
        <f>'6.Chiết tính'!J1290</f>
        <v>1122518.3196342858</v>
      </c>
      <c r="R161" s="630">
        <f>M161*N161</f>
        <v>0</v>
      </c>
      <c r="S161" s="630">
        <f>M161*O161</f>
        <v>0</v>
      </c>
      <c r="T161" s="630">
        <f>M161*P161</f>
        <v>18147.696840000001</v>
      </c>
      <c r="U161" s="630">
        <f>M161*Q161</f>
        <v>20205.329753417147</v>
      </c>
      <c r="V161" s="584">
        <v>1</v>
      </c>
      <c r="W161" s="584">
        <v>1</v>
      </c>
      <c r="X161" s="584">
        <v>1</v>
      </c>
      <c r="Y161" s="635"/>
      <c r="Z161" s="635"/>
      <c r="AA161" s="635"/>
      <c r="AB161" s="637" t="s">
        <v>349</v>
      </c>
    </row>
    <row r="162" spans="1:28">
      <c r="A162" s="126"/>
      <c r="B162" s="127"/>
      <c r="C162" s="126"/>
      <c r="D162" s="129" t="s">
        <v>516</v>
      </c>
      <c r="E162" s="127"/>
      <c r="F162" s="126"/>
      <c r="G162" s="143">
        <v>0</v>
      </c>
      <c r="H162" s="143">
        <v>0</v>
      </c>
      <c r="I162" s="143">
        <v>0</v>
      </c>
      <c r="J162" s="143">
        <v>0</v>
      </c>
      <c r="K162" s="143">
        <v>0</v>
      </c>
      <c r="L162" s="143">
        <f>1.8/100</f>
        <v>1.8000000000000002E-2</v>
      </c>
      <c r="M162" s="143"/>
      <c r="N162" s="629"/>
      <c r="O162" s="629"/>
      <c r="P162" s="629"/>
      <c r="Q162" s="629"/>
      <c r="R162" s="629"/>
      <c r="S162" s="629"/>
      <c r="T162" s="629"/>
      <c r="U162" s="629"/>
      <c r="V162" s="126">
        <v>1</v>
      </c>
      <c r="W162" s="126">
        <v>1</v>
      </c>
      <c r="X162" s="126">
        <v>1</v>
      </c>
      <c r="Y162" s="635"/>
      <c r="Z162" s="635"/>
      <c r="AA162" s="635"/>
    </row>
    <row r="163" spans="1:28" ht="41.4">
      <c r="A163" s="584"/>
      <c r="B163" s="585">
        <v>70</v>
      </c>
      <c r="C163" s="584" t="s">
        <v>517</v>
      </c>
      <c r="D163" s="624" t="s">
        <v>518</v>
      </c>
      <c r="E163" s="585" t="s">
        <v>356</v>
      </c>
      <c r="F163" s="584"/>
      <c r="G163" s="603">
        <v>0</v>
      </c>
      <c r="H163" s="603">
        <v>0</v>
      </c>
      <c r="I163" s="603">
        <v>0</v>
      </c>
      <c r="J163" s="603">
        <v>0</v>
      </c>
      <c r="K163" s="603">
        <v>0</v>
      </c>
      <c r="L163" s="143">
        <f>0</f>
        <v>0</v>
      </c>
      <c r="M163" s="143">
        <v>3.6</v>
      </c>
      <c r="N163" s="630">
        <f>'6.Chiết tính'!J1302</f>
        <v>934340.87185523123</v>
      </c>
      <c r="O163" s="630">
        <f>0*V163</f>
        <v>0</v>
      </c>
      <c r="P163" s="630">
        <f>'6.Chiết tính'!J1308</f>
        <v>488700</v>
      </c>
      <c r="Q163" s="630">
        <f>'6.Chiết tính'!J1310</f>
        <v>15879.717681032944</v>
      </c>
      <c r="R163" s="630">
        <f>M163*N163</f>
        <v>3363627.1386788324</v>
      </c>
      <c r="S163" s="630">
        <f>M163*O163</f>
        <v>0</v>
      </c>
      <c r="T163" s="630">
        <f>M163*P163</f>
        <v>1759320</v>
      </c>
      <c r="U163" s="630">
        <f>M163*Q163</f>
        <v>57166.983651718598</v>
      </c>
      <c r="V163" s="584">
        <v>1</v>
      </c>
      <c r="W163" s="584">
        <v>1</v>
      </c>
      <c r="X163" s="584">
        <v>1</v>
      </c>
      <c r="Y163" s="635"/>
      <c r="Z163" s="635"/>
      <c r="AA163" s="635"/>
      <c r="AB163" s="637" t="s">
        <v>349</v>
      </c>
    </row>
    <row r="164" spans="1:28">
      <c r="A164" s="620"/>
      <c r="B164" s="621"/>
      <c r="C164" s="620"/>
      <c r="D164" s="620" t="s">
        <v>519</v>
      </c>
      <c r="E164" s="621"/>
      <c r="F164" s="620"/>
      <c r="G164" s="622"/>
      <c r="H164" s="622"/>
      <c r="I164" s="622"/>
      <c r="J164" s="622"/>
      <c r="K164" s="627"/>
      <c r="L164" s="143"/>
      <c r="M164" s="143"/>
      <c r="N164" s="628"/>
      <c r="O164" s="628"/>
      <c r="P164" s="628"/>
      <c r="Q164" s="628"/>
      <c r="R164" s="628"/>
      <c r="S164" s="628"/>
      <c r="T164" s="628"/>
      <c r="U164" s="628"/>
      <c r="V164" s="633"/>
      <c r="W164" s="633"/>
      <c r="X164" s="633"/>
      <c r="Y164" s="635"/>
      <c r="Z164" s="635"/>
      <c r="AA164" s="635"/>
    </row>
    <row r="165" spans="1:28" ht="27.6">
      <c r="A165" s="584"/>
      <c r="B165" s="585">
        <v>71</v>
      </c>
      <c r="C165" s="584" t="s">
        <v>520</v>
      </c>
      <c r="D165" s="624" t="s">
        <v>521</v>
      </c>
      <c r="E165" s="585" t="s">
        <v>356</v>
      </c>
      <c r="F165" s="584"/>
      <c r="G165" s="603">
        <v>0</v>
      </c>
      <c r="H165" s="603">
        <v>0</v>
      </c>
      <c r="I165" s="603">
        <v>0</v>
      </c>
      <c r="J165" s="603">
        <v>0</v>
      </c>
      <c r="K165" s="603">
        <v>0</v>
      </c>
      <c r="L165" s="143">
        <f>0</f>
        <v>0</v>
      </c>
      <c r="M165" s="143">
        <f>SUM(L166:L166)</f>
        <v>8.4240000000000013</v>
      </c>
      <c r="N165" s="630">
        <f>'6.Chiết tính'!J1323</f>
        <v>0</v>
      </c>
      <c r="O165" s="630">
        <f>0*V165</f>
        <v>0</v>
      </c>
      <c r="P165" s="630">
        <f>'6.Chiết tính'!J1324</f>
        <v>45723.600000000006</v>
      </c>
      <c r="Q165" s="630">
        <f>'6.Chiết tính'!J1326</f>
        <v>90038.426666666666</v>
      </c>
      <c r="R165" s="630">
        <f>M165*N165</f>
        <v>0</v>
      </c>
      <c r="S165" s="630">
        <f>M165*O165</f>
        <v>0</v>
      </c>
      <c r="T165" s="630">
        <f>M165*P165</f>
        <v>385175.60640000011</v>
      </c>
      <c r="U165" s="630">
        <f>M165*Q165</f>
        <v>758483.70624000009</v>
      </c>
      <c r="V165" s="584">
        <v>1</v>
      </c>
      <c r="W165" s="584">
        <v>1</v>
      </c>
      <c r="X165" s="584">
        <v>1</v>
      </c>
      <c r="Y165" s="635"/>
      <c r="Z165" s="635"/>
      <c r="AA165" s="635"/>
      <c r="AB165" s="637" t="s">
        <v>349</v>
      </c>
    </row>
    <row r="166" spans="1:28">
      <c r="A166" s="126"/>
      <c r="B166" s="127"/>
      <c r="C166" s="126"/>
      <c r="D166" s="129" t="s">
        <v>522</v>
      </c>
      <c r="E166" s="127"/>
      <c r="F166" s="126"/>
      <c r="G166" s="143">
        <v>0</v>
      </c>
      <c r="H166" s="143">
        <v>0</v>
      </c>
      <c r="I166" s="143">
        <v>0</v>
      </c>
      <c r="J166" s="143">
        <v>0</v>
      </c>
      <c r="K166" s="143">
        <v>0</v>
      </c>
      <c r="L166" s="143">
        <f>26*0.12*2.7</f>
        <v>8.4240000000000013</v>
      </c>
      <c r="M166" s="143"/>
      <c r="N166" s="629"/>
      <c r="O166" s="629"/>
      <c r="P166" s="629"/>
      <c r="Q166" s="629"/>
      <c r="R166" s="629"/>
      <c r="S166" s="629"/>
      <c r="T166" s="629"/>
      <c r="U166" s="629"/>
      <c r="V166" s="126">
        <v>1</v>
      </c>
      <c r="W166" s="126">
        <v>1</v>
      </c>
      <c r="X166" s="126">
        <v>1</v>
      </c>
      <c r="Y166" s="635"/>
      <c r="Z166" s="635"/>
      <c r="AA166" s="635"/>
    </row>
    <row r="167" spans="1:28">
      <c r="A167" s="618"/>
      <c r="B167" s="619"/>
      <c r="C167" s="618"/>
      <c r="D167" s="919" t="s">
        <v>523</v>
      </c>
      <c r="E167" s="920"/>
      <c r="F167" s="921"/>
      <c r="G167" s="922"/>
      <c r="H167" s="922"/>
      <c r="I167" s="922"/>
      <c r="J167" s="922"/>
      <c r="K167" s="922"/>
      <c r="L167" s="923"/>
      <c r="M167" s="923"/>
      <c r="N167" s="924"/>
      <c r="O167" s="924"/>
      <c r="P167" s="924"/>
      <c r="Q167" s="924"/>
      <c r="R167" s="631">
        <f>SUMIF(B168:B206,"&gt;0",R168:R206)</f>
        <v>78739594.929158404</v>
      </c>
      <c r="S167" s="631">
        <f>SUMIF(B168:B206,"&gt;0",S168:S206)</f>
        <v>0</v>
      </c>
      <c r="T167" s="631">
        <f>SUMIF(B168:B206,"&gt;0",T168:T206)</f>
        <v>47348662.135433994</v>
      </c>
      <c r="U167" s="631">
        <f>SUMIF(B168:B206,"&gt;0",U168:U206)</f>
        <v>5824039.5370316133</v>
      </c>
      <c r="V167" s="618"/>
      <c r="W167" s="618"/>
      <c r="X167" s="618"/>
      <c r="Y167" s="635"/>
      <c r="Z167" s="635"/>
      <c r="AA167" s="635"/>
    </row>
    <row r="168" spans="1:28">
      <c r="A168" s="620"/>
      <c r="B168" s="621"/>
      <c r="C168" s="620"/>
      <c r="D168" s="620" t="s">
        <v>524</v>
      </c>
      <c r="E168" s="621"/>
      <c r="F168" s="620"/>
      <c r="G168" s="622"/>
      <c r="H168" s="622"/>
      <c r="I168" s="622"/>
      <c r="J168" s="622"/>
      <c r="K168" s="627"/>
      <c r="L168" s="143"/>
      <c r="M168" s="143"/>
      <c r="N168" s="628"/>
      <c r="O168" s="628"/>
      <c r="P168" s="628"/>
      <c r="Q168" s="628"/>
      <c r="R168" s="628"/>
      <c r="S168" s="628"/>
      <c r="T168" s="628"/>
      <c r="U168" s="628"/>
      <c r="V168" s="633"/>
      <c r="W168" s="633"/>
      <c r="X168" s="633"/>
      <c r="Y168" s="635"/>
      <c r="Z168" s="635"/>
      <c r="AA168" s="635"/>
    </row>
    <row r="169" spans="1:28" ht="41.4">
      <c r="A169" s="584"/>
      <c r="B169" s="585">
        <v>72</v>
      </c>
      <c r="C169" s="584" t="s">
        <v>525</v>
      </c>
      <c r="D169" s="624" t="s">
        <v>526</v>
      </c>
      <c r="E169" s="585" t="s">
        <v>345</v>
      </c>
      <c r="F169" s="584"/>
      <c r="G169" s="603">
        <v>0</v>
      </c>
      <c r="H169" s="603">
        <v>0</v>
      </c>
      <c r="I169" s="603">
        <v>0</v>
      </c>
      <c r="J169" s="603">
        <v>0</v>
      </c>
      <c r="K169" s="603">
        <v>0</v>
      </c>
      <c r="L169" s="143">
        <f>0</f>
        <v>0</v>
      </c>
      <c r="M169" s="143">
        <f>SUM(L170:L170)</f>
        <v>0.13830000000000001</v>
      </c>
      <c r="N169" s="630">
        <f>'6.Chiết tính'!J1340</f>
        <v>0</v>
      </c>
      <c r="O169" s="630">
        <f>0*V169</f>
        <v>0</v>
      </c>
      <c r="P169" s="630">
        <f>'6.Chiết tính'!J1341</f>
        <v>868748.39999999991</v>
      </c>
      <c r="Q169" s="630">
        <f>'6.Chiết tính'!J1343</f>
        <v>946856.55690000008</v>
      </c>
      <c r="R169" s="630">
        <f>M169*N169</f>
        <v>0</v>
      </c>
      <c r="S169" s="630">
        <f>M169*O169</f>
        <v>0</v>
      </c>
      <c r="T169" s="630">
        <f>M169*P169</f>
        <v>120147.90371999999</v>
      </c>
      <c r="U169" s="630">
        <f>M169*Q169</f>
        <v>130950.26181927002</v>
      </c>
      <c r="V169" s="584">
        <v>1</v>
      </c>
      <c r="W169" s="584">
        <v>1</v>
      </c>
      <c r="X169" s="584">
        <v>1</v>
      </c>
      <c r="Y169" s="635"/>
      <c r="Z169" s="635"/>
      <c r="AA169" s="635"/>
      <c r="AB169" s="637" t="s">
        <v>349</v>
      </c>
    </row>
    <row r="170" spans="1:28">
      <c r="A170" s="126"/>
      <c r="B170" s="127"/>
      <c r="C170" s="126"/>
      <c r="D170" s="129" t="s">
        <v>527</v>
      </c>
      <c r="E170" s="127"/>
      <c r="F170" s="126"/>
      <c r="G170" s="143">
        <v>0</v>
      </c>
      <c r="H170" s="143">
        <v>0</v>
      </c>
      <c r="I170" s="143">
        <v>0</v>
      </c>
      <c r="J170" s="143">
        <v>0</v>
      </c>
      <c r="K170" s="143">
        <v>0</v>
      </c>
      <c r="L170" s="143">
        <f>13.83/100</f>
        <v>0.13830000000000001</v>
      </c>
      <c r="M170" s="143"/>
      <c r="N170" s="629"/>
      <c r="O170" s="629"/>
      <c r="P170" s="629"/>
      <c r="Q170" s="629"/>
      <c r="R170" s="629"/>
      <c r="S170" s="629"/>
      <c r="T170" s="629"/>
      <c r="U170" s="629"/>
      <c r="V170" s="126">
        <v>1</v>
      </c>
      <c r="W170" s="126">
        <v>1</v>
      </c>
      <c r="X170" s="126">
        <v>1</v>
      </c>
      <c r="Y170" s="635"/>
      <c r="Z170" s="635"/>
      <c r="AA170" s="635"/>
    </row>
    <row r="171" spans="1:28" ht="41.4">
      <c r="A171" s="584"/>
      <c r="B171" s="585">
        <v>73</v>
      </c>
      <c r="C171" s="584" t="s">
        <v>528</v>
      </c>
      <c r="D171" s="624" t="s">
        <v>529</v>
      </c>
      <c r="E171" s="585" t="s">
        <v>345</v>
      </c>
      <c r="F171" s="584"/>
      <c r="G171" s="603">
        <v>0</v>
      </c>
      <c r="H171" s="603">
        <v>0</v>
      </c>
      <c r="I171" s="603">
        <v>0</v>
      </c>
      <c r="J171" s="603">
        <v>0</v>
      </c>
      <c r="K171" s="603">
        <v>0</v>
      </c>
      <c r="L171" s="143">
        <f>0</f>
        <v>0</v>
      </c>
      <c r="M171" s="143">
        <f>SUM(L172:L172)</f>
        <v>0.67</v>
      </c>
      <c r="N171" s="630">
        <f>'6.Chiết tính'!J1355</f>
        <v>0</v>
      </c>
      <c r="O171" s="630">
        <f>0*V171</f>
        <v>0</v>
      </c>
      <c r="P171" s="630">
        <f>'6.Chiết tính'!J1356</f>
        <v>1021922.46</v>
      </c>
      <c r="Q171" s="630">
        <f>'6.Chiết tính'!J1358</f>
        <v>1323562.9290000002</v>
      </c>
      <c r="R171" s="630">
        <f>M171*N171</f>
        <v>0</v>
      </c>
      <c r="S171" s="630">
        <f>M171*O171</f>
        <v>0</v>
      </c>
      <c r="T171" s="630">
        <f>M171*P171</f>
        <v>684688.04819999996</v>
      </c>
      <c r="U171" s="630">
        <f>M171*Q171</f>
        <v>886787.16243000026</v>
      </c>
      <c r="V171" s="584">
        <v>1</v>
      </c>
      <c r="W171" s="584">
        <v>1</v>
      </c>
      <c r="X171" s="584">
        <v>1</v>
      </c>
      <c r="Y171" s="635"/>
      <c r="Z171" s="635"/>
      <c r="AA171" s="635"/>
      <c r="AB171" s="637" t="s">
        <v>349</v>
      </c>
    </row>
    <row r="172" spans="1:28">
      <c r="A172" s="126"/>
      <c r="B172" s="127"/>
      <c r="C172" s="126"/>
      <c r="D172" s="129" t="s">
        <v>530</v>
      </c>
      <c r="E172" s="127"/>
      <c r="F172" s="126"/>
      <c r="G172" s="143">
        <v>0</v>
      </c>
      <c r="H172" s="143">
        <v>0</v>
      </c>
      <c r="I172" s="143">
        <v>0</v>
      </c>
      <c r="J172" s="143">
        <v>0</v>
      </c>
      <c r="K172" s="143">
        <v>0</v>
      </c>
      <c r="L172" s="143">
        <f>67/100</f>
        <v>0.67</v>
      </c>
      <c r="M172" s="143"/>
      <c r="N172" s="629"/>
      <c r="O172" s="629"/>
      <c r="P172" s="629"/>
      <c r="Q172" s="629"/>
      <c r="R172" s="629"/>
      <c r="S172" s="629"/>
      <c r="T172" s="629"/>
      <c r="U172" s="629"/>
      <c r="V172" s="126">
        <v>1</v>
      </c>
      <c r="W172" s="126">
        <v>1</v>
      </c>
      <c r="X172" s="126">
        <v>1</v>
      </c>
      <c r="Y172" s="635"/>
      <c r="Z172" s="635"/>
      <c r="AA172" s="635"/>
    </row>
    <row r="173" spans="1:28" ht="41.4">
      <c r="A173" s="584"/>
      <c r="B173" s="585">
        <v>74</v>
      </c>
      <c r="C173" s="584" t="s">
        <v>531</v>
      </c>
      <c r="D173" s="624" t="s">
        <v>532</v>
      </c>
      <c r="E173" s="585" t="s">
        <v>345</v>
      </c>
      <c r="F173" s="584"/>
      <c r="G173" s="603">
        <v>0</v>
      </c>
      <c r="H173" s="603">
        <v>0</v>
      </c>
      <c r="I173" s="603">
        <v>0</v>
      </c>
      <c r="J173" s="603">
        <v>0</v>
      </c>
      <c r="K173" s="603">
        <v>0</v>
      </c>
      <c r="L173" s="143">
        <f>0</f>
        <v>0</v>
      </c>
      <c r="M173" s="143">
        <f>SUM(L174:L174)</f>
        <v>4.8999999999999998E-3</v>
      </c>
      <c r="N173" s="630">
        <f>'6.Chiết tính'!J1370</f>
        <v>0</v>
      </c>
      <c r="O173" s="630">
        <f>0*V173</f>
        <v>0</v>
      </c>
      <c r="P173" s="630">
        <f>'6.Chiết tính'!J1371</f>
        <v>1133945.28</v>
      </c>
      <c r="Q173" s="630">
        <f>'6.Chiết tính'!J1373</f>
        <v>1534823.9349750001</v>
      </c>
      <c r="R173" s="630">
        <f>M173*N173</f>
        <v>0</v>
      </c>
      <c r="S173" s="630">
        <f>M173*O173</f>
        <v>0</v>
      </c>
      <c r="T173" s="630">
        <f>M173*P173</f>
        <v>5556.3318719999997</v>
      </c>
      <c r="U173" s="630">
        <f>M173*Q173</f>
        <v>7520.6372813775006</v>
      </c>
      <c r="V173" s="584">
        <v>1</v>
      </c>
      <c r="W173" s="584">
        <v>1</v>
      </c>
      <c r="X173" s="584">
        <v>1</v>
      </c>
      <c r="Y173" s="635"/>
      <c r="Z173" s="635"/>
      <c r="AA173" s="635"/>
      <c r="AB173" s="637" t="s">
        <v>349</v>
      </c>
    </row>
    <row r="174" spans="1:28">
      <c r="A174" s="126"/>
      <c r="B174" s="127"/>
      <c r="C174" s="126"/>
      <c r="D174" s="129" t="s">
        <v>533</v>
      </c>
      <c r="E174" s="127"/>
      <c r="F174" s="126"/>
      <c r="G174" s="143">
        <v>0</v>
      </c>
      <c r="H174" s="143">
        <v>0</v>
      </c>
      <c r="I174" s="143">
        <v>0</v>
      </c>
      <c r="J174" s="143">
        <v>0</v>
      </c>
      <c r="K174" s="143">
        <v>0</v>
      </c>
      <c r="L174" s="143">
        <f>0.49/100</f>
        <v>4.8999999999999998E-3</v>
      </c>
      <c r="M174" s="143"/>
      <c r="N174" s="629"/>
      <c r="O174" s="629"/>
      <c r="P174" s="629"/>
      <c r="Q174" s="629"/>
      <c r="R174" s="629"/>
      <c r="S174" s="629"/>
      <c r="T174" s="629"/>
      <c r="U174" s="629"/>
      <c r="V174" s="126">
        <v>1</v>
      </c>
      <c r="W174" s="126">
        <v>1</v>
      </c>
      <c r="X174" s="126">
        <v>1</v>
      </c>
      <c r="Y174" s="635"/>
      <c r="Z174" s="635"/>
      <c r="AA174" s="635"/>
    </row>
    <row r="175" spans="1:28" ht="27.6">
      <c r="A175" s="584"/>
      <c r="B175" s="585">
        <v>75</v>
      </c>
      <c r="C175" s="584" t="s">
        <v>534</v>
      </c>
      <c r="D175" s="624" t="s">
        <v>535</v>
      </c>
      <c r="E175" s="585" t="s">
        <v>345</v>
      </c>
      <c r="F175" s="584"/>
      <c r="G175" s="603">
        <v>0</v>
      </c>
      <c r="H175" s="603">
        <v>0</v>
      </c>
      <c r="I175" s="603">
        <v>0</v>
      </c>
      <c r="J175" s="603">
        <v>0</v>
      </c>
      <c r="K175" s="603">
        <v>0</v>
      </c>
      <c r="L175" s="143">
        <f>0</f>
        <v>0</v>
      </c>
      <c r="M175" s="143">
        <f>SUM(L176:L176)</f>
        <v>0.31850000000000001</v>
      </c>
      <c r="N175" s="630">
        <f>'6.Chiết tính'!J1385</f>
        <v>0</v>
      </c>
      <c r="O175" s="630">
        <f>0*V175</f>
        <v>0</v>
      </c>
      <c r="P175" s="630">
        <f>'6.Chiết tính'!J1386</f>
        <v>1630046.34</v>
      </c>
      <c r="Q175" s="630">
        <f>'6.Chiết tính'!J1388</f>
        <v>1663581.13524</v>
      </c>
      <c r="R175" s="630">
        <f>M175*N175</f>
        <v>0</v>
      </c>
      <c r="S175" s="630">
        <f>M175*O175</f>
        <v>0</v>
      </c>
      <c r="T175" s="630">
        <f>M175*P175</f>
        <v>519169.75929000002</v>
      </c>
      <c r="U175" s="630">
        <f>M175*Q175</f>
        <v>529850.59157394001</v>
      </c>
      <c r="V175" s="584">
        <v>1</v>
      </c>
      <c r="W175" s="584">
        <v>1</v>
      </c>
      <c r="X175" s="584">
        <v>1</v>
      </c>
      <c r="Y175" s="635"/>
      <c r="Z175" s="635"/>
      <c r="AA175" s="635"/>
      <c r="AB175" s="637" t="s">
        <v>349</v>
      </c>
    </row>
    <row r="176" spans="1:28">
      <c r="A176" s="126"/>
      <c r="B176" s="127"/>
      <c r="C176" s="126"/>
      <c r="D176" s="129" t="s">
        <v>536</v>
      </c>
      <c r="E176" s="127"/>
      <c r="F176" s="126"/>
      <c r="G176" s="143">
        <v>0</v>
      </c>
      <c r="H176" s="143">
        <v>0</v>
      </c>
      <c r="I176" s="143">
        <v>0</v>
      </c>
      <c r="J176" s="143">
        <v>0</v>
      </c>
      <c r="K176" s="143">
        <v>0</v>
      </c>
      <c r="L176" s="143">
        <f>31.85/100</f>
        <v>0.31850000000000001</v>
      </c>
      <c r="M176" s="143"/>
      <c r="N176" s="629"/>
      <c r="O176" s="629"/>
      <c r="P176" s="629"/>
      <c r="Q176" s="629"/>
      <c r="R176" s="629"/>
      <c r="S176" s="629"/>
      <c r="T176" s="629"/>
      <c r="U176" s="629"/>
      <c r="V176" s="126">
        <v>1</v>
      </c>
      <c r="W176" s="126">
        <v>1</v>
      </c>
      <c r="X176" s="126">
        <v>1</v>
      </c>
      <c r="Y176" s="635"/>
      <c r="Z176" s="635"/>
      <c r="AA176" s="635"/>
    </row>
    <row r="177" spans="1:28">
      <c r="A177" s="620"/>
      <c r="B177" s="621"/>
      <c r="C177" s="620" t="s">
        <v>339</v>
      </c>
      <c r="D177" s="620" t="s">
        <v>537</v>
      </c>
      <c r="E177" s="621"/>
      <c r="F177" s="620"/>
      <c r="G177" s="622"/>
      <c r="H177" s="622"/>
      <c r="I177" s="622"/>
      <c r="J177" s="622"/>
      <c r="K177" s="627"/>
      <c r="L177" s="143"/>
      <c r="M177" s="143"/>
      <c r="N177" s="628"/>
      <c r="O177" s="628"/>
      <c r="P177" s="628"/>
      <c r="Q177" s="628"/>
      <c r="R177" s="628"/>
      <c r="S177" s="628"/>
      <c r="T177" s="628"/>
      <c r="U177" s="628"/>
      <c r="V177" s="633"/>
      <c r="W177" s="633"/>
      <c r="X177" s="633"/>
      <c r="Y177" s="635"/>
      <c r="Z177" s="635"/>
      <c r="AA177" s="635"/>
    </row>
    <row r="178" spans="1:28" ht="27.6">
      <c r="A178" s="584"/>
      <c r="B178" s="585">
        <v>76</v>
      </c>
      <c r="C178" s="584" t="s">
        <v>538</v>
      </c>
      <c r="D178" s="624" t="s">
        <v>539</v>
      </c>
      <c r="E178" s="585" t="s">
        <v>356</v>
      </c>
      <c r="F178" s="584"/>
      <c r="G178" s="603">
        <v>0</v>
      </c>
      <c r="H178" s="603">
        <v>0</v>
      </c>
      <c r="I178" s="603">
        <v>0</v>
      </c>
      <c r="J178" s="603">
        <v>0</v>
      </c>
      <c r="K178" s="603">
        <v>0</v>
      </c>
      <c r="L178" s="143">
        <f t="shared" ref="L178:L188" si="57">0</f>
        <v>0</v>
      </c>
      <c r="M178" s="143">
        <v>41.57</v>
      </c>
      <c r="N178" s="630">
        <f>'6.Chiết tính'!J1401</f>
        <v>981057.91544799274</v>
      </c>
      <c r="O178" s="630">
        <f t="shared" ref="O178:O188" si="58">0*V178</f>
        <v>0</v>
      </c>
      <c r="P178" s="630">
        <f>'6.Chiết tính'!J1408</f>
        <v>804600</v>
      </c>
      <c r="Q178" s="630">
        <f>'6.Chiết tính'!J1410</f>
        <v>15879.717681032944</v>
      </c>
      <c r="R178" s="630">
        <f t="shared" ref="R178:R188" si="59">M178*N178</f>
        <v>40782577.545173056</v>
      </c>
      <c r="S178" s="630">
        <f t="shared" ref="S178:S188" si="60">M178*O178</f>
        <v>0</v>
      </c>
      <c r="T178" s="630">
        <f t="shared" ref="T178:T188" si="61">M178*P178</f>
        <v>33447222</v>
      </c>
      <c r="U178" s="630">
        <f t="shared" ref="U178:U188" si="62">M178*Q178</f>
        <v>660119.86400053953</v>
      </c>
      <c r="V178" s="584">
        <v>1</v>
      </c>
      <c r="W178" s="584">
        <v>1</v>
      </c>
      <c r="X178" s="584">
        <v>1</v>
      </c>
      <c r="Y178" s="635"/>
      <c r="Z178" s="635"/>
      <c r="AA178" s="635"/>
      <c r="AB178" s="637" t="s">
        <v>349</v>
      </c>
    </row>
    <row r="179" spans="1:28" ht="27.6">
      <c r="A179" s="584"/>
      <c r="B179" s="585">
        <v>77</v>
      </c>
      <c r="C179" s="584" t="s">
        <v>508</v>
      </c>
      <c r="D179" s="624" t="s">
        <v>540</v>
      </c>
      <c r="E179" s="585" t="s">
        <v>356</v>
      </c>
      <c r="F179" s="584"/>
      <c r="G179" s="603">
        <v>0</v>
      </c>
      <c r="H179" s="603">
        <v>0</v>
      </c>
      <c r="I179" s="603">
        <v>0</v>
      </c>
      <c r="J179" s="603">
        <v>0</v>
      </c>
      <c r="K179" s="603">
        <v>0</v>
      </c>
      <c r="L179" s="143">
        <f t="shared" si="57"/>
        <v>0</v>
      </c>
      <c r="M179" s="143">
        <v>5.35</v>
      </c>
      <c r="N179" s="630">
        <f>'6.Chiết tính'!J1422</f>
        <v>495257.6142875955</v>
      </c>
      <c r="O179" s="630">
        <f t="shared" si="58"/>
        <v>0</v>
      </c>
      <c r="P179" s="630">
        <f>'6.Chiết tính'!J1425</f>
        <v>347020.92800000001</v>
      </c>
      <c r="Q179" s="630">
        <f>'6.Chiết tính'!J1427</f>
        <v>0</v>
      </c>
      <c r="R179" s="630">
        <f t="shared" si="59"/>
        <v>2649628.2364386357</v>
      </c>
      <c r="S179" s="630">
        <f t="shared" si="60"/>
        <v>0</v>
      </c>
      <c r="T179" s="630">
        <f t="shared" si="61"/>
        <v>1856561.9648</v>
      </c>
      <c r="U179" s="630">
        <f t="shared" si="62"/>
        <v>0</v>
      </c>
      <c r="V179" s="584">
        <v>1</v>
      </c>
      <c r="W179" s="584">
        <v>0.8</v>
      </c>
      <c r="X179" s="584">
        <v>1</v>
      </c>
      <c r="Y179" s="635"/>
      <c r="Z179" s="635"/>
      <c r="AA179" s="635"/>
      <c r="AB179" s="637" t="s">
        <v>349</v>
      </c>
    </row>
    <row r="180" spans="1:28" ht="41.4">
      <c r="A180" s="584"/>
      <c r="B180" s="585">
        <v>78</v>
      </c>
      <c r="C180" s="584" t="s">
        <v>541</v>
      </c>
      <c r="D180" s="624" t="s">
        <v>542</v>
      </c>
      <c r="E180" s="585" t="s">
        <v>495</v>
      </c>
      <c r="F180" s="584"/>
      <c r="G180" s="603">
        <v>0</v>
      </c>
      <c r="H180" s="603">
        <v>0</v>
      </c>
      <c r="I180" s="603">
        <v>0</v>
      </c>
      <c r="J180" s="603">
        <v>0</v>
      </c>
      <c r="K180" s="603">
        <v>0</v>
      </c>
      <c r="L180" s="143">
        <f t="shared" si="57"/>
        <v>0</v>
      </c>
      <c r="M180" s="143">
        <v>3</v>
      </c>
      <c r="N180" s="630">
        <f>'6.Chiết tính'!J1438</f>
        <v>402214.4341169789</v>
      </c>
      <c r="O180" s="630">
        <f t="shared" si="58"/>
        <v>0</v>
      </c>
      <c r="P180" s="630">
        <f>'6.Chiết tính'!J1441</f>
        <v>70200</v>
      </c>
      <c r="Q180" s="630">
        <f>'6.Chiết tính'!J1443</f>
        <v>62618.819794999989</v>
      </c>
      <c r="R180" s="630">
        <f t="shared" si="59"/>
        <v>1206643.3023509367</v>
      </c>
      <c r="S180" s="630">
        <f t="shared" si="60"/>
        <v>0</v>
      </c>
      <c r="T180" s="630">
        <f t="shared" si="61"/>
        <v>210600</v>
      </c>
      <c r="U180" s="630">
        <f t="shared" si="62"/>
        <v>187856.45938499997</v>
      </c>
      <c r="V180" s="584">
        <v>1</v>
      </c>
      <c r="W180" s="584">
        <v>1</v>
      </c>
      <c r="X180" s="584">
        <v>1</v>
      </c>
      <c r="Y180" s="635"/>
      <c r="Z180" s="635"/>
      <c r="AA180" s="635"/>
      <c r="AB180" s="637" t="s">
        <v>496</v>
      </c>
    </row>
    <row r="181" spans="1:28" ht="41.4">
      <c r="A181" s="584"/>
      <c r="B181" s="585">
        <v>79</v>
      </c>
      <c r="C181" s="584" t="s">
        <v>543</v>
      </c>
      <c r="D181" s="624" t="s">
        <v>544</v>
      </c>
      <c r="E181" s="647" t="s">
        <v>495</v>
      </c>
      <c r="F181" s="584"/>
      <c r="G181" s="603">
        <v>0</v>
      </c>
      <c r="H181" s="603">
        <v>0</v>
      </c>
      <c r="I181" s="603">
        <v>0</v>
      </c>
      <c r="J181" s="603">
        <v>0</v>
      </c>
      <c r="K181" s="603">
        <v>0</v>
      </c>
      <c r="L181" s="143">
        <f t="shared" si="57"/>
        <v>0</v>
      </c>
      <c r="M181" s="143">
        <v>15</v>
      </c>
      <c r="N181" s="630">
        <f>'6.Chiết tính'!J1456</f>
        <v>804428.86823395779</v>
      </c>
      <c r="O181" s="630">
        <f t="shared" si="58"/>
        <v>0</v>
      </c>
      <c r="P181" s="630">
        <f>'6.Chiết tính'!J1459</f>
        <v>94500</v>
      </c>
      <c r="Q181" s="630">
        <f>'6.Chiết tính'!J1461</f>
        <v>94774.429959999994</v>
      </c>
      <c r="R181" s="630">
        <f t="shared" si="59"/>
        <v>12066433.023509366</v>
      </c>
      <c r="S181" s="630">
        <f t="shared" si="60"/>
        <v>0</v>
      </c>
      <c r="T181" s="630">
        <f t="shared" si="61"/>
        <v>1417500</v>
      </c>
      <c r="U181" s="630">
        <f t="shared" si="62"/>
        <v>1421616.4493999998</v>
      </c>
      <c r="V181" s="584">
        <v>1</v>
      </c>
      <c r="W181" s="584">
        <v>1</v>
      </c>
      <c r="X181" s="584">
        <v>1</v>
      </c>
      <c r="Y181" s="635"/>
      <c r="Z181" s="635"/>
      <c r="AA181" s="635"/>
      <c r="AB181" s="637" t="s">
        <v>496</v>
      </c>
    </row>
    <row r="182" spans="1:28" ht="41.4">
      <c r="A182" s="584"/>
      <c r="B182" s="585">
        <v>80</v>
      </c>
      <c r="C182" s="584" t="s">
        <v>545</v>
      </c>
      <c r="D182" s="624" t="s">
        <v>546</v>
      </c>
      <c r="E182" s="647" t="s">
        <v>495</v>
      </c>
      <c r="F182" s="584"/>
      <c r="G182" s="603">
        <v>0</v>
      </c>
      <c r="H182" s="603">
        <v>0</v>
      </c>
      <c r="I182" s="603">
        <v>0</v>
      </c>
      <c r="J182" s="603">
        <v>0</v>
      </c>
      <c r="K182" s="603">
        <v>0</v>
      </c>
      <c r="L182" s="143">
        <f t="shared" si="57"/>
        <v>0</v>
      </c>
      <c r="M182" s="143">
        <v>1</v>
      </c>
      <c r="N182" s="630">
        <f>'6.Chiết tính'!J1474</f>
        <v>566455.93552208727</v>
      </c>
      <c r="O182" s="630">
        <f t="shared" si="58"/>
        <v>0</v>
      </c>
      <c r="P182" s="630">
        <f>'6.Chiết tính'!J1477</f>
        <v>70200</v>
      </c>
      <c r="Q182" s="630">
        <f>'6.Chiết tính'!J1479</f>
        <v>62618.819794999989</v>
      </c>
      <c r="R182" s="630">
        <f t="shared" si="59"/>
        <v>566455.93552208727</v>
      </c>
      <c r="S182" s="630">
        <f t="shared" si="60"/>
        <v>0</v>
      </c>
      <c r="T182" s="630">
        <f t="shared" si="61"/>
        <v>70200</v>
      </c>
      <c r="U182" s="630">
        <f t="shared" si="62"/>
        <v>62618.819794999989</v>
      </c>
      <c r="V182" s="584">
        <v>1</v>
      </c>
      <c r="W182" s="584">
        <v>1</v>
      </c>
      <c r="X182" s="584">
        <v>1</v>
      </c>
      <c r="Y182" s="635"/>
      <c r="Z182" s="635"/>
      <c r="AA182" s="635"/>
      <c r="AB182" s="637" t="s">
        <v>496</v>
      </c>
    </row>
    <row r="183" spans="1:28" ht="41.4">
      <c r="A183" s="584"/>
      <c r="B183" s="585">
        <v>81</v>
      </c>
      <c r="C183" s="584" t="s">
        <v>547</v>
      </c>
      <c r="D183" s="624" t="s">
        <v>548</v>
      </c>
      <c r="E183" s="647" t="s">
        <v>495</v>
      </c>
      <c r="F183" s="584"/>
      <c r="G183" s="603">
        <v>0</v>
      </c>
      <c r="H183" s="603">
        <v>0</v>
      </c>
      <c r="I183" s="603">
        <v>0</v>
      </c>
      <c r="J183" s="603">
        <v>0</v>
      </c>
      <c r="K183" s="603">
        <v>0</v>
      </c>
      <c r="L183" s="143">
        <f t="shared" si="57"/>
        <v>0</v>
      </c>
      <c r="M183" s="143">
        <v>1</v>
      </c>
      <c r="N183" s="630">
        <f>'6.Chiết tính'!J1492</f>
        <v>1130810.8293843376</v>
      </c>
      <c r="O183" s="630">
        <f t="shared" si="58"/>
        <v>0</v>
      </c>
      <c r="P183" s="630">
        <f>'6.Chiết tính'!J1495</f>
        <v>94500</v>
      </c>
      <c r="Q183" s="630">
        <f>'6.Chiết tính'!J1497</f>
        <v>94774.429959999994</v>
      </c>
      <c r="R183" s="630">
        <f t="shared" si="59"/>
        <v>1130810.8293843376</v>
      </c>
      <c r="S183" s="630">
        <f t="shared" si="60"/>
        <v>0</v>
      </c>
      <c r="T183" s="630">
        <f t="shared" si="61"/>
        <v>94500</v>
      </c>
      <c r="U183" s="630">
        <f t="shared" si="62"/>
        <v>94774.429959999994</v>
      </c>
      <c r="V183" s="584">
        <v>1</v>
      </c>
      <c r="W183" s="584">
        <v>1</v>
      </c>
      <c r="X183" s="584">
        <v>1</v>
      </c>
      <c r="Y183" s="635"/>
      <c r="Z183" s="635"/>
      <c r="AA183" s="635"/>
      <c r="AB183" s="637" t="s">
        <v>496</v>
      </c>
    </row>
    <row r="184" spans="1:28" ht="41.4">
      <c r="A184" s="584"/>
      <c r="B184" s="585">
        <v>82</v>
      </c>
      <c r="C184" s="584" t="s">
        <v>549</v>
      </c>
      <c r="D184" s="624" t="s">
        <v>550</v>
      </c>
      <c r="E184" s="647" t="s">
        <v>495</v>
      </c>
      <c r="F184" s="584"/>
      <c r="G184" s="603">
        <v>0</v>
      </c>
      <c r="H184" s="603">
        <v>0</v>
      </c>
      <c r="I184" s="603">
        <v>0</v>
      </c>
      <c r="J184" s="603">
        <v>0</v>
      </c>
      <c r="K184" s="603">
        <v>0</v>
      </c>
      <c r="L184" s="143">
        <f t="shared" si="57"/>
        <v>0</v>
      </c>
      <c r="M184" s="143">
        <v>1</v>
      </c>
      <c r="N184" s="630">
        <f>'6.Chiết tính'!J1510</f>
        <v>1942165.0296418353</v>
      </c>
      <c r="O184" s="630">
        <f t="shared" si="58"/>
        <v>0</v>
      </c>
      <c r="P184" s="630">
        <f>'6.Chiết tính'!J1513</f>
        <v>170100</v>
      </c>
      <c r="Q184" s="630">
        <f>'6.Chiết tính'!J1515</f>
        <v>101544.03209999998</v>
      </c>
      <c r="R184" s="630">
        <f t="shared" si="59"/>
        <v>1942165.0296418353</v>
      </c>
      <c r="S184" s="630">
        <f t="shared" si="60"/>
        <v>0</v>
      </c>
      <c r="T184" s="630">
        <f t="shared" si="61"/>
        <v>170100</v>
      </c>
      <c r="U184" s="630">
        <f t="shared" si="62"/>
        <v>101544.03209999998</v>
      </c>
      <c r="V184" s="584">
        <v>1</v>
      </c>
      <c r="W184" s="584">
        <v>1</v>
      </c>
      <c r="X184" s="584">
        <v>1</v>
      </c>
      <c r="Y184" s="635"/>
      <c r="Z184" s="635"/>
      <c r="AA184" s="635"/>
      <c r="AB184" s="637" t="s">
        <v>496</v>
      </c>
    </row>
    <row r="185" spans="1:28" ht="27.6">
      <c r="A185" s="584"/>
      <c r="B185" s="585">
        <v>83</v>
      </c>
      <c r="C185" s="584" t="s">
        <v>551</v>
      </c>
      <c r="D185" s="624" t="s">
        <v>552</v>
      </c>
      <c r="E185" s="647" t="s">
        <v>501</v>
      </c>
      <c r="F185" s="584"/>
      <c r="G185" s="603">
        <v>0</v>
      </c>
      <c r="H185" s="603">
        <v>0</v>
      </c>
      <c r="I185" s="603">
        <v>0</v>
      </c>
      <c r="J185" s="603">
        <v>0</v>
      </c>
      <c r="K185" s="603">
        <v>0</v>
      </c>
      <c r="L185" s="143">
        <f t="shared" si="57"/>
        <v>0</v>
      </c>
      <c r="M185" s="143">
        <v>13</v>
      </c>
      <c r="N185" s="630">
        <f>'6.Chiết tính'!J1528</f>
        <v>9629.2935134712206</v>
      </c>
      <c r="O185" s="630">
        <f t="shared" si="58"/>
        <v>0</v>
      </c>
      <c r="P185" s="630">
        <f>'6.Chiết tính'!J1532</f>
        <v>24300</v>
      </c>
      <c r="Q185" s="630">
        <f>'6.Chiết tính'!J1534</f>
        <v>0</v>
      </c>
      <c r="R185" s="630">
        <f t="shared" si="59"/>
        <v>125180.81567512586</v>
      </c>
      <c r="S185" s="630">
        <f t="shared" si="60"/>
        <v>0</v>
      </c>
      <c r="T185" s="630">
        <f t="shared" si="61"/>
        <v>315900</v>
      </c>
      <c r="U185" s="630">
        <f t="shared" si="62"/>
        <v>0</v>
      </c>
      <c r="V185" s="584">
        <v>1</v>
      </c>
      <c r="W185" s="584">
        <v>1</v>
      </c>
      <c r="X185" s="584">
        <v>1</v>
      </c>
      <c r="Y185" s="635"/>
      <c r="Z185" s="635"/>
      <c r="AA185" s="635"/>
      <c r="AB185" s="637" t="s">
        <v>496</v>
      </c>
    </row>
    <row r="186" spans="1:28" ht="27.6">
      <c r="A186" s="584"/>
      <c r="B186" s="585">
        <v>84</v>
      </c>
      <c r="C186" s="584" t="s">
        <v>553</v>
      </c>
      <c r="D186" s="624" t="s">
        <v>554</v>
      </c>
      <c r="E186" s="647" t="s">
        <v>501</v>
      </c>
      <c r="F186" s="584"/>
      <c r="G186" s="603">
        <v>0</v>
      </c>
      <c r="H186" s="603">
        <v>0</v>
      </c>
      <c r="I186" s="603">
        <v>0</v>
      </c>
      <c r="J186" s="603">
        <v>0</v>
      </c>
      <c r="K186" s="603">
        <v>0</v>
      </c>
      <c r="L186" s="143">
        <f t="shared" si="57"/>
        <v>0</v>
      </c>
      <c r="M186" s="143">
        <v>2</v>
      </c>
      <c r="N186" s="630">
        <f>'6.Chiết tính'!J1545</f>
        <v>14443.940270206833</v>
      </c>
      <c r="O186" s="630">
        <f t="shared" si="58"/>
        <v>0</v>
      </c>
      <c r="P186" s="630">
        <f>'6.Chiết tính'!J1549</f>
        <v>35100</v>
      </c>
      <c r="Q186" s="630">
        <f>'6.Chiết tính'!J1551</f>
        <v>0</v>
      </c>
      <c r="R186" s="630">
        <f t="shared" si="59"/>
        <v>28887.880540413666</v>
      </c>
      <c r="S186" s="630">
        <f t="shared" si="60"/>
        <v>0</v>
      </c>
      <c r="T186" s="630">
        <f t="shared" si="61"/>
        <v>70200</v>
      </c>
      <c r="U186" s="630">
        <f t="shared" si="62"/>
        <v>0</v>
      </c>
      <c r="V186" s="584">
        <v>1</v>
      </c>
      <c r="W186" s="584">
        <v>1</v>
      </c>
      <c r="X186" s="584">
        <v>1</v>
      </c>
      <c r="Y186" s="635"/>
      <c r="Z186" s="635"/>
      <c r="AA186" s="635"/>
      <c r="AB186" s="637" t="s">
        <v>496</v>
      </c>
    </row>
    <row r="187" spans="1:28" ht="27.6">
      <c r="A187" s="584"/>
      <c r="B187" s="585">
        <v>85</v>
      </c>
      <c r="C187" s="584" t="s">
        <v>555</v>
      </c>
      <c r="D187" s="624" t="s">
        <v>556</v>
      </c>
      <c r="E187" s="585" t="s">
        <v>501</v>
      </c>
      <c r="F187" s="584"/>
      <c r="G187" s="603">
        <v>0</v>
      </c>
      <c r="H187" s="603">
        <v>0</v>
      </c>
      <c r="I187" s="603">
        <v>0</v>
      </c>
      <c r="J187" s="603">
        <v>0</v>
      </c>
      <c r="K187" s="603">
        <v>0</v>
      </c>
      <c r="L187" s="143">
        <f t="shared" si="57"/>
        <v>0</v>
      </c>
      <c r="M187" s="143">
        <v>1</v>
      </c>
      <c r="N187" s="630">
        <f>'6.Chiết tính'!J1562</f>
        <v>19108.129315794456</v>
      </c>
      <c r="O187" s="630">
        <f t="shared" si="58"/>
        <v>0</v>
      </c>
      <c r="P187" s="630">
        <f>'6.Chiết tính'!J1566</f>
        <v>48600</v>
      </c>
      <c r="Q187" s="630">
        <f>'6.Chiết tính'!J1568</f>
        <v>0</v>
      </c>
      <c r="R187" s="630">
        <f t="shared" si="59"/>
        <v>19108.129315794456</v>
      </c>
      <c r="S187" s="630">
        <f t="shared" si="60"/>
        <v>0</v>
      </c>
      <c r="T187" s="630">
        <f t="shared" si="61"/>
        <v>48600</v>
      </c>
      <c r="U187" s="630">
        <f t="shared" si="62"/>
        <v>0</v>
      </c>
      <c r="V187" s="584">
        <v>1</v>
      </c>
      <c r="W187" s="584">
        <v>1</v>
      </c>
      <c r="X187" s="584">
        <v>1</v>
      </c>
      <c r="Y187" s="635"/>
      <c r="Z187" s="635"/>
      <c r="AA187" s="635"/>
      <c r="AB187" s="637" t="s">
        <v>496</v>
      </c>
    </row>
    <row r="188" spans="1:28" ht="41.4">
      <c r="A188" s="584"/>
      <c r="B188" s="585">
        <v>86</v>
      </c>
      <c r="C188" s="584" t="s">
        <v>557</v>
      </c>
      <c r="D188" s="624" t="s">
        <v>558</v>
      </c>
      <c r="E188" s="585" t="s">
        <v>421</v>
      </c>
      <c r="F188" s="584"/>
      <c r="G188" s="603">
        <v>0</v>
      </c>
      <c r="H188" s="603">
        <v>0</v>
      </c>
      <c r="I188" s="603">
        <v>0</v>
      </c>
      <c r="J188" s="603">
        <v>0</v>
      </c>
      <c r="K188" s="603">
        <v>0</v>
      </c>
      <c r="L188" s="143">
        <f t="shared" si="57"/>
        <v>0</v>
      </c>
      <c r="M188" s="143">
        <f>SUM(L189:L189)</f>
        <v>8.199999999999999E-2</v>
      </c>
      <c r="N188" s="630">
        <f>'6.Chiết tính'!J1579</f>
        <v>42496661.741250001</v>
      </c>
      <c r="O188" s="630">
        <f t="shared" si="58"/>
        <v>0</v>
      </c>
      <c r="P188" s="630">
        <f>'6.Chiết tính'!J1583</f>
        <v>8745300</v>
      </c>
      <c r="Q188" s="630">
        <f>'6.Chiết tính'!J1585</f>
        <v>0</v>
      </c>
      <c r="R188" s="630">
        <f t="shared" si="59"/>
        <v>3484726.2627824997</v>
      </c>
      <c r="S188" s="630">
        <f t="shared" si="60"/>
        <v>0</v>
      </c>
      <c r="T188" s="630">
        <f t="shared" si="61"/>
        <v>717114.59999999986</v>
      </c>
      <c r="U188" s="630">
        <f t="shared" si="62"/>
        <v>0</v>
      </c>
      <c r="V188" s="584">
        <v>1</v>
      </c>
      <c r="W188" s="584">
        <v>1</v>
      </c>
      <c r="X188" s="584">
        <v>1</v>
      </c>
      <c r="Y188" s="635"/>
      <c r="Z188" s="635"/>
      <c r="AA188" s="635"/>
      <c r="AB188" s="637" t="s">
        <v>496</v>
      </c>
    </row>
    <row r="189" spans="1:28" ht="27.6">
      <c r="A189" s="126"/>
      <c r="B189" s="127"/>
      <c r="C189" s="126"/>
      <c r="D189" s="129" t="s">
        <v>559</v>
      </c>
      <c r="E189" s="127"/>
      <c r="F189" s="126"/>
      <c r="G189" s="143">
        <v>0</v>
      </c>
      <c r="H189" s="143">
        <v>0</v>
      </c>
      <c r="I189" s="143">
        <v>0</v>
      </c>
      <c r="J189" s="143">
        <v>0</v>
      </c>
      <c r="K189" s="143">
        <v>0</v>
      </c>
      <c r="L189" s="143">
        <f>8.2/100</f>
        <v>8.199999999999999E-2</v>
      </c>
      <c r="M189" s="143"/>
      <c r="N189" s="629"/>
      <c r="O189" s="629"/>
      <c r="P189" s="629"/>
      <c r="Q189" s="629"/>
      <c r="R189" s="629"/>
      <c r="S189" s="629"/>
      <c r="T189" s="629"/>
      <c r="U189" s="629"/>
      <c r="V189" s="126">
        <v>1</v>
      </c>
      <c r="W189" s="126">
        <v>1</v>
      </c>
      <c r="X189" s="126">
        <v>1</v>
      </c>
      <c r="Y189" s="635"/>
      <c r="Z189" s="635"/>
      <c r="AA189" s="635"/>
    </row>
    <row r="190" spans="1:28" ht="15">
      <c r="A190" s="648"/>
      <c r="B190" s="649">
        <v>87</v>
      </c>
      <c r="C190" s="648" t="s">
        <v>142</v>
      </c>
      <c r="D190" s="650" t="s">
        <v>560</v>
      </c>
      <c r="E190" s="649" t="s">
        <v>356</v>
      </c>
      <c r="F190" s="648"/>
      <c r="G190" s="651">
        <v>0</v>
      </c>
      <c r="H190" s="651">
        <v>0</v>
      </c>
      <c r="I190" s="651">
        <v>0</v>
      </c>
      <c r="J190" s="651">
        <v>0</v>
      </c>
      <c r="K190" s="651">
        <v>0</v>
      </c>
      <c r="L190" s="641">
        <f>0</f>
        <v>0</v>
      </c>
      <c r="M190" s="641">
        <v>0.01</v>
      </c>
      <c r="N190" s="652">
        <f>'6.Chiết tính'!J1596</f>
        <v>2844105.8536283039</v>
      </c>
      <c r="O190" s="652">
        <f>0*V190</f>
        <v>0</v>
      </c>
      <c r="P190" s="652">
        <f>'6.Chiết tính'!J1598</f>
        <v>0</v>
      </c>
      <c r="Q190" s="652">
        <f>'6.Chiết tính'!J1599</f>
        <v>0</v>
      </c>
      <c r="R190" s="652">
        <f>M190*N190</f>
        <v>28441.058536283039</v>
      </c>
      <c r="S190" s="652">
        <f>M190*O190</f>
        <v>0</v>
      </c>
      <c r="T190" s="652">
        <f>M190*P190</f>
        <v>0</v>
      </c>
      <c r="U190" s="652">
        <f>M190*Q190</f>
        <v>0</v>
      </c>
      <c r="V190" s="648">
        <v>1</v>
      </c>
      <c r="W190" s="648">
        <v>1</v>
      </c>
      <c r="X190" s="648">
        <v>1</v>
      </c>
      <c r="Y190" s="635"/>
      <c r="Z190" s="635"/>
      <c r="AA190" s="635"/>
      <c r="AB190" s="637" t="s">
        <v>357</v>
      </c>
    </row>
    <row r="191" spans="1:28">
      <c r="A191" s="620"/>
      <c r="B191" s="621"/>
      <c r="C191" s="620"/>
      <c r="D191" s="620" t="s">
        <v>561</v>
      </c>
      <c r="E191" s="621"/>
      <c r="F191" s="620"/>
      <c r="G191" s="622"/>
      <c r="H191" s="622"/>
      <c r="I191" s="622"/>
      <c r="J191" s="622"/>
      <c r="K191" s="627"/>
      <c r="L191" s="143"/>
      <c r="M191" s="143"/>
      <c r="N191" s="628"/>
      <c r="O191" s="628"/>
      <c r="P191" s="628"/>
      <c r="Q191" s="628"/>
      <c r="R191" s="628"/>
      <c r="S191" s="628"/>
      <c r="T191" s="628"/>
      <c r="U191" s="628"/>
      <c r="V191" s="633"/>
      <c r="W191" s="633"/>
      <c r="X191" s="633"/>
      <c r="Y191" s="635"/>
      <c r="Z191" s="635"/>
      <c r="AA191" s="635"/>
    </row>
    <row r="192" spans="1:28" ht="45">
      <c r="A192" s="584"/>
      <c r="B192" s="585">
        <v>88</v>
      </c>
      <c r="C192" s="584" t="s">
        <v>562</v>
      </c>
      <c r="D192" s="625" t="s">
        <v>563</v>
      </c>
      <c r="E192" s="585" t="s">
        <v>356</v>
      </c>
      <c r="F192" s="584"/>
      <c r="G192" s="603">
        <v>0</v>
      </c>
      <c r="H192" s="603">
        <v>0</v>
      </c>
      <c r="I192" s="603">
        <v>0</v>
      </c>
      <c r="J192" s="603">
        <v>0</v>
      </c>
      <c r="K192" s="603">
        <v>0</v>
      </c>
      <c r="L192" s="143">
        <f t="shared" ref="L192:L198" si="63">0</f>
        <v>0</v>
      </c>
      <c r="M192" s="143">
        <v>2.29</v>
      </c>
      <c r="N192" s="630">
        <f>'6.Chiết tính'!J1611</f>
        <v>1071238.1347510607</v>
      </c>
      <c r="O192" s="630">
        <f t="shared" ref="O192:O198" si="64">0*V192</f>
        <v>0</v>
      </c>
      <c r="P192" s="630">
        <f>'6.Chiết tính'!J1617</f>
        <v>672300</v>
      </c>
      <c r="Q192" s="630">
        <f>'6.Chiết tính'!J1619</f>
        <v>81629.343256975</v>
      </c>
      <c r="R192" s="630">
        <f t="shared" ref="R192:R198" si="65">M192*N192</f>
        <v>2453135.3285799292</v>
      </c>
      <c r="S192" s="630">
        <f t="shared" ref="S192:S198" si="66">M192*O192</f>
        <v>0</v>
      </c>
      <c r="T192" s="630">
        <f t="shared" ref="T192:T198" si="67">M192*P192</f>
        <v>1539567</v>
      </c>
      <c r="U192" s="630">
        <f t="shared" ref="U192:U198" si="68">M192*Q192</f>
        <v>186931.19605847276</v>
      </c>
      <c r="V192" s="584">
        <v>1</v>
      </c>
      <c r="W192" s="584">
        <v>1</v>
      </c>
      <c r="X192" s="584">
        <v>1</v>
      </c>
      <c r="Y192" s="635"/>
      <c r="Z192" s="635"/>
      <c r="AA192" s="635"/>
      <c r="AB192" s="637" t="s">
        <v>349</v>
      </c>
    </row>
    <row r="193" spans="1:28" ht="45">
      <c r="A193" s="584"/>
      <c r="B193" s="585">
        <v>89</v>
      </c>
      <c r="C193" s="584" t="s">
        <v>564</v>
      </c>
      <c r="D193" s="625" t="s">
        <v>565</v>
      </c>
      <c r="E193" s="585" t="s">
        <v>356</v>
      </c>
      <c r="F193" s="584"/>
      <c r="G193" s="603">
        <v>0</v>
      </c>
      <c r="H193" s="603">
        <v>0</v>
      </c>
      <c r="I193" s="603">
        <v>0</v>
      </c>
      <c r="J193" s="603">
        <v>0</v>
      </c>
      <c r="K193" s="603">
        <v>0</v>
      </c>
      <c r="L193" s="143">
        <f t="shared" si="63"/>
        <v>0</v>
      </c>
      <c r="M193" s="143">
        <v>1.0900000000000001</v>
      </c>
      <c r="N193" s="630">
        <f>'6.Chiết tính'!J1632</f>
        <v>1132807.5438712321</v>
      </c>
      <c r="O193" s="630">
        <f t="shared" si="64"/>
        <v>0</v>
      </c>
      <c r="P193" s="630">
        <f>'6.Chiết tính'!J1638</f>
        <v>672300</v>
      </c>
      <c r="Q193" s="630">
        <f>'6.Chiết tính'!J1640</f>
        <v>81629.343256975</v>
      </c>
      <c r="R193" s="630">
        <f t="shared" si="65"/>
        <v>1234760.2228196431</v>
      </c>
      <c r="S193" s="630">
        <f t="shared" si="66"/>
        <v>0</v>
      </c>
      <c r="T193" s="630">
        <f t="shared" si="67"/>
        <v>732807</v>
      </c>
      <c r="U193" s="630">
        <f t="shared" si="68"/>
        <v>88975.984150102755</v>
      </c>
      <c r="V193" s="584">
        <v>1</v>
      </c>
      <c r="W193" s="584">
        <v>1</v>
      </c>
      <c r="X193" s="584">
        <v>1</v>
      </c>
      <c r="Y193" s="635"/>
      <c r="Z193" s="635"/>
      <c r="AA193" s="635"/>
      <c r="AB193" s="637" t="s">
        <v>349</v>
      </c>
    </row>
    <row r="194" spans="1:28" ht="30">
      <c r="A194" s="584"/>
      <c r="B194" s="585">
        <v>90</v>
      </c>
      <c r="C194" s="584" t="s">
        <v>462</v>
      </c>
      <c r="D194" s="625" t="s">
        <v>566</v>
      </c>
      <c r="E194" s="585" t="s">
        <v>356</v>
      </c>
      <c r="F194" s="584"/>
      <c r="G194" s="603">
        <v>0</v>
      </c>
      <c r="H194" s="603">
        <v>0</v>
      </c>
      <c r="I194" s="603">
        <v>0</v>
      </c>
      <c r="J194" s="603">
        <v>0</v>
      </c>
      <c r="K194" s="603">
        <v>0</v>
      </c>
      <c r="L194" s="143">
        <f t="shared" si="63"/>
        <v>0</v>
      </c>
      <c r="M194" s="143">
        <v>4.38</v>
      </c>
      <c r="N194" s="630">
        <f>'6.Chiết tính'!J1653</f>
        <v>1030429.0629510203</v>
      </c>
      <c r="O194" s="630">
        <f t="shared" si="64"/>
        <v>0</v>
      </c>
      <c r="P194" s="630">
        <f>'6.Chiết tính'!J1659</f>
        <v>303696.83999999997</v>
      </c>
      <c r="Q194" s="630">
        <f>'6.Chiết tính'!J1661</f>
        <v>56032.926787260003</v>
      </c>
      <c r="R194" s="630">
        <f t="shared" si="65"/>
        <v>4513279.2957254685</v>
      </c>
      <c r="S194" s="630">
        <f t="shared" si="66"/>
        <v>0</v>
      </c>
      <c r="T194" s="630">
        <f t="shared" si="67"/>
        <v>1330192.1591999999</v>
      </c>
      <c r="U194" s="630">
        <f t="shared" si="68"/>
        <v>245424.21932819881</v>
      </c>
      <c r="V194" s="584">
        <v>1</v>
      </c>
      <c r="W194" s="584">
        <v>1</v>
      </c>
      <c r="X194" s="584">
        <v>1</v>
      </c>
      <c r="Y194" s="635"/>
      <c r="Z194" s="635"/>
      <c r="AA194" s="635"/>
      <c r="AB194" s="637" t="s">
        <v>349</v>
      </c>
    </row>
    <row r="195" spans="1:28" ht="60">
      <c r="A195" s="584"/>
      <c r="B195" s="585">
        <v>91</v>
      </c>
      <c r="C195" s="584" t="s">
        <v>480</v>
      </c>
      <c r="D195" s="625" t="s">
        <v>567</v>
      </c>
      <c r="E195" s="585" t="s">
        <v>356</v>
      </c>
      <c r="F195" s="584"/>
      <c r="G195" s="603">
        <v>0</v>
      </c>
      <c r="H195" s="603">
        <v>0</v>
      </c>
      <c r="I195" s="603">
        <v>0</v>
      </c>
      <c r="J195" s="603">
        <v>0</v>
      </c>
      <c r="K195" s="603">
        <v>0</v>
      </c>
      <c r="L195" s="143">
        <f t="shared" si="63"/>
        <v>0</v>
      </c>
      <c r="M195" s="143">
        <v>1.23</v>
      </c>
      <c r="N195" s="630">
        <f>'6.Chiết tính'!J1674</f>
        <v>1171098.5194719234</v>
      </c>
      <c r="O195" s="630">
        <f t="shared" si="64"/>
        <v>0</v>
      </c>
      <c r="P195" s="630">
        <f>'6.Chiết tính'!J1680</f>
        <v>476532.44</v>
      </c>
      <c r="Q195" s="630">
        <f>'6.Chiết tính'!J1682</f>
        <v>30999.068921274997</v>
      </c>
      <c r="R195" s="630">
        <f t="shared" si="65"/>
        <v>1440451.1789504657</v>
      </c>
      <c r="S195" s="630">
        <f t="shared" si="66"/>
        <v>0</v>
      </c>
      <c r="T195" s="630">
        <f t="shared" si="67"/>
        <v>586134.90119999996</v>
      </c>
      <c r="U195" s="630">
        <f t="shared" si="68"/>
        <v>38128.854773168248</v>
      </c>
      <c r="V195" s="584">
        <v>1</v>
      </c>
      <c r="W195" s="584">
        <v>1</v>
      </c>
      <c r="X195" s="584">
        <v>1</v>
      </c>
      <c r="Y195" s="635"/>
      <c r="Z195" s="635"/>
      <c r="AA195" s="635"/>
      <c r="AB195" s="637" t="s">
        <v>349</v>
      </c>
    </row>
    <row r="196" spans="1:28" ht="27.6">
      <c r="A196" s="584"/>
      <c r="B196" s="585">
        <v>92</v>
      </c>
      <c r="C196" s="584" t="s">
        <v>482</v>
      </c>
      <c r="D196" s="624" t="s">
        <v>568</v>
      </c>
      <c r="E196" s="585" t="s">
        <v>484</v>
      </c>
      <c r="F196" s="584"/>
      <c r="G196" s="603">
        <v>0</v>
      </c>
      <c r="H196" s="603">
        <v>0</v>
      </c>
      <c r="I196" s="603">
        <v>0</v>
      </c>
      <c r="J196" s="603">
        <v>0</v>
      </c>
      <c r="K196" s="603">
        <v>0</v>
      </c>
      <c r="L196" s="143">
        <f t="shared" si="63"/>
        <v>0</v>
      </c>
      <c r="M196" s="143">
        <v>8</v>
      </c>
      <c r="N196" s="630">
        <f>'6.Chiết tính'!J1694</f>
        <v>0</v>
      </c>
      <c r="O196" s="630">
        <f t="shared" si="64"/>
        <v>0</v>
      </c>
      <c r="P196" s="630">
        <f>'6.Chiết tính'!J1695</f>
        <v>14814.48</v>
      </c>
      <c r="Q196" s="630">
        <f>'6.Chiết tính'!J1697</f>
        <v>48354.300999999992</v>
      </c>
      <c r="R196" s="630">
        <f t="shared" si="65"/>
        <v>0</v>
      </c>
      <c r="S196" s="630">
        <f t="shared" si="66"/>
        <v>0</v>
      </c>
      <c r="T196" s="630">
        <f t="shared" si="67"/>
        <v>118515.84</v>
      </c>
      <c r="U196" s="630">
        <f t="shared" si="68"/>
        <v>386834.40799999994</v>
      </c>
      <c r="V196" s="584">
        <v>1</v>
      </c>
      <c r="W196" s="584">
        <v>2</v>
      </c>
      <c r="X196" s="584">
        <v>2</v>
      </c>
      <c r="Y196" s="635"/>
      <c r="Z196" s="635"/>
      <c r="AA196" s="635"/>
      <c r="AB196" s="637" t="s">
        <v>349</v>
      </c>
    </row>
    <row r="197" spans="1:28" ht="30">
      <c r="A197" s="584"/>
      <c r="B197" s="585">
        <v>93</v>
      </c>
      <c r="C197" s="584" t="s">
        <v>569</v>
      </c>
      <c r="D197" s="625" t="s">
        <v>570</v>
      </c>
      <c r="E197" s="585" t="s">
        <v>356</v>
      </c>
      <c r="F197" s="584"/>
      <c r="G197" s="603">
        <v>0</v>
      </c>
      <c r="H197" s="603">
        <v>0</v>
      </c>
      <c r="I197" s="603">
        <v>0</v>
      </c>
      <c r="J197" s="603">
        <v>0</v>
      </c>
      <c r="K197" s="603">
        <v>0</v>
      </c>
      <c r="L197" s="143">
        <f t="shared" si="63"/>
        <v>0</v>
      </c>
      <c r="M197" s="143">
        <v>0.79</v>
      </c>
      <c r="N197" s="630">
        <f>'6.Chiết tính'!J1709</f>
        <v>1100441.6140463396</v>
      </c>
      <c r="O197" s="630">
        <f t="shared" si="64"/>
        <v>0</v>
      </c>
      <c r="P197" s="630">
        <f>'6.Chiết tính'!J1715</f>
        <v>696600</v>
      </c>
      <c r="Q197" s="630">
        <f>'6.Chiết tính'!J1717</f>
        <v>149696.7062941326</v>
      </c>
      <c r="R197" s="630">
        <f t="shared" si="65"/>
        <v>869348.8750966083</v>
      </c>
      <c r="S197" s="630">
        <f t="shared" si="66"/>
        <v>0</v>
      </c>
      <c r="T197" s="630">
        <f t="shared" si="67"/>
        <v>550314</v>
      </c>
      <c r="U197" s="630">
        <f t="shared" si="68"/>
        <v>118260.39797236476</v>
      </c>
      <c r="V197" s="584">
        <v>1</v>
      </c>
      <c r="W197" s="584">
        <v>1</v>
      </c>
      <c r="X197" s="584">
        <v>1</v>
      </c>
      <c r="Y197" s="635"/>
      <c r="Z197" s="635"/>
      <c r="AA197" s="635"/>
      <c r="AB197" s="637" t="s">
        <v>349</v>
      </c>
    </row>
    <row r="198" spans="1:28" ht="15">
      <c r="A198" s="584"/>
      <c r="B198" s="585">
        <v>94</v>
      </c>
      <c r="C198" s="584" t="s">
        <v>486</v>
      </c>
      <c r="D198" s="625" t="s">
        <v>571</v>
      </c>
      <c r="E198" s="585" t="s">
        <v>474</v>
      </c>
      <c r="F198" s="584"/>
      <c r="G198" s="603">
        <v>0</v>
      </c>
      <c r="H198" s="603">
        <v>0</v>
      </c>
      <c r="I198" s="603">
        <v>0</v>
      </c>
      <c r="J198" s="603">
        <v>0</v>
      </c>
      <c r="K198" s="603">
        <v>0</v>
      </c>
      <c r="L198" s="143">
        <f t="shared" si="63"/>
        <v>0</v>
      </c>
      <c r="M198" s="143">
        <f>SUM(L199:L199)</f>
        <v>0.20314999999999997</v>
      </c>
      <c r="N198" s="630">
        <f>'6.Chiết tính'!J1732</f>
        <v>18260848.267546091</v>
      </c>
      <c r="O198" s="630">
        <f t="shared" si="64"/>
        <v>0</v>
      </c>
      <c r="P198" s="630">
        <f>'6.Chiết tính'!J1735</f>
        <v>4387500</v>
      </c>
      <c r="Q198" s="630">
        <f>'6.Chiết tính'!J1737</f>
        <v>114513.84476866666</v>
      </c>
      <c r="R198" s="630">
        <f t="shared" si="65"/>
        <v>3709691.3255519881</v>
      </c>
      <c r="S198" s="630">
        <f t="shared" si="66"/>
        <v>0</v>
      </c>
      <c r="T198" s="630">
        <f t="shared" si="67"/>
        <v>891320.62499999988</v>
      </c>
      <c r="U198" s="630">
        <f t="shared" si="68"/>
        <v>23263.487564754629</v>
      </c>
      <c r="V198" s="584">
        <v>1</v>
      </c>
      <c r="W198" s="584">
        <v>1</v>
      </c>
      <c r="X198" s="584">
        <v>1</v>
      </c>
      <c r="Y198" s="635"/>
      <c r="Z198" s="635"/>
      <c r="AA198" s="635"/>
      <c r="AB198" s="637" t="s">
        <v>349</v>
      </c>
    </row>
    <row r="199" spans="1:28" ht="27.6">
      <c r="A199" s="126"/>
      <c r="B199" s="127"/>
      <c r="C199" s="126"/>
      <c r="D199" s="129" t="s">
        <v>572</v>
      </c>
      <c r="E199" s="647"/>
      <c r="F199" s="126"/>
      <c r="G199" s="143">
        <v>0</v>
      </c>
      <c r="H199" s="143">
        <v>0</v>
      </c>
      <c r="I199" s="143">
        <v>0</v>
      </c>
      <c r="J199" s="143">
        <v>0</v>
      </c>
      <c r="K199" s="143">
        <v>0</v>
      </c>
      <c r="L199" s="143">
        <f>(105.27+79.62+18.26)/1000</f>
        <v>0.20314999999999997</v>
      </c>
      <c r="M199" s="143"/>
      <c r="N199" s="629"/>
      <c r="O199" s="629"/>
      <c r="P199" s="629"/>
      <c r="Q199" s="629"/>
      <c r="R199" s="629"/>
      <c r="S199" s="629"/>
      <c r="T199" s="629"/>
      <c r="U199" s="629"/>
      <c r="V199" s="126">
        <v>1</v>
      </c>
      <c r="W199" s="126">
        <v>1</v>
      </c>
      <c r="X199" s="126">
        <v>1</v>
      </c>
      <c r="Y199" s="635"/>
      <c r="Z199" s="635"/>
      <c r="AA199" s="635"/>
    </row>
    <row r="200" spans="1:28">
      <c r="A200" s="584"/>
      <c r="B200" s="585">
        <v>95</v>
      </c>
      <c r="C200" s="584" t="s">
        <v>489</v>
      </c>
      <c r="D200" s="624" t="s">
        <v>573</v>
      </c>
      <c r="E200" s="647" t="s">
        <v>398</v>
      </c>
      <c r="F200" s="584"/>
      <c r="G200" s="603">
        <v>0</v>
      </c>
      <c r="H200" s="603">
        <v>0</v>
      </c>
      <c r="I200" s="603">
        <v>0</v>
      </c>
      <c r="J200" s="603">
        <v>0</v>
      </c>
      <c r="K200" s="603">
        <v>0</v>
      </c>
      <c r="L200" s="143">
        <f>0</f>
        <v>0</v>
      </c>
      <c r="M200" s="143">
        <f>SUM(L201:L201)</f>
        <v>6.0100000000000001E-2</v>
      </c>
      <c r="N200" s="630">
        <f>'6.Chiết tính'!J1749</f>
        <v>705646.47372225288</v>
      </c>
      <c r="O200" s="630">
        <f>0*V200</f>
        <v>0</v>
      </c>
      <c r="P200" s="630">
        <f>'6.Chiết tính'!J1754</f>
        <v>6758701.5199999996</v>
      </c>
      <c r="Q200" s="630">
        <f>'6.Chiết tính'!J1756</f>
        <v>147950.66333124001</v>
      </c>
      <c r="R200" s="630">
        <f>M200*N200</f>
        <v>42409.353070707395</v>
      </c>
      <c r="S200" s="630">
        <f>M200*O200</f>
        <v>0</v>
      </c>
      <c r="T200" s="630">
        <f>M200*P200</f>
        <v>406197.96135199995</v>
      </c>
      <c r="U200" s="630">
        <f>M200*Q200</f>
        <v>8891.8348662075241</v>
      </c>
      <c r="V200" s="584">
        <v>1</v>
      </c>
      <c r="W200" s="584">
        <v>1</v>
      </c>
      <c r="X200" s="584">
        <v>1</v>
      </c>
      <c r="Y200" s="635"/>
      <c r="Z200" s="635"/>
      <c r="AA200" s="635"/>
      <c r="AB200" s="637" t="s">
        <v>349</v>
      </c>
    </row>
    <row r="201" spans="1:28">
      <c r="A201" s="126"/>
      <c r="B201" s="127"/>
      <c r="C201" s="126"/>
      <c r="D201" s="129" t="s">
        <v>574</v>
      </c>
      <c r="E201" s="647"/>
      <c r="F201" s="126"/>
      <c r="G201" s="143">
        <v>0</v>
      </c>
      <c r="H201" s="143">
        <v>0</v>
      </c>
      <c r="I201" s="143">
        <v>0</v>
      </c>
      <c r="J201" s="143">
        <v>0</v>
      </c>
      <c r="K201" s="143">
        <v>0</v>
      </c>
      <c r="L201" s="143">
        <f>6.01/100</f>
        <v>6.0100000000000001E-2</v>
      </c>
      <c r="M201" s="143"/>
      <c r="N201" s="629"/>
      <c r="O201" s="629"/>
      <c r="P201" s="629"/>
      <c r="Q201" s="629"/>
      <c r="R201" s="629"/>
      <c r="S201" s="629"/>
      <c r="T201" s="629"/>
      <c r="U201" s="629"/>
      <c r="V201" s="126">
        <v>1</v>
      </c>
      <c r="W201" s="126">
        <v>1</v>
      </c>
      <c r="X201" s="126">
        <v>1</v>
      </c>
      <c r="Y201" s="635"/>
      <c r="Z201" s="635"/>
      <c r="AA201" s="635"/>
    </row>
    <row r="202" spans="1:28">
      <c r="A202" s="584"/>
      <c r="B202" s="585">
        <v>96</v>
      </c>
      <c r="C202" s="584" t="s">
        <v>476</v>
      </c>
      <c r="D202" s="624" t="s">
        <v>575</v>
      </c>
      <c r="E202" s="647" t="s">
        <v>398</v>
      </c>
      <c r="F202" s="584"/>
      <c r="G202" s="603">
        <v>0</v>
      </c>
      <c r="H202" s="603">
        <v>0</v>
      </c>
      <c r="I202" s="603">
        <v>0</v>
      </c>
      <c r="J202" s="603">
        <v>0</v>
      </c>
      <c r="K202" s="603">
        <v>0</v>
      </c>
      <c r="L202" s="143">
        <f>0</f>
        <v>0</v>
      </c>
      <c r="M202" s="143">
        <f>SUM(L203:L203)</f>
        <v>0.27440000000000003</v>
      </c>
      <c r="N202" s="630">
        <f>'6.Chiết tính'!J1769</f>
        <v>1623401.2408645179</v>
      </c>
      <c r="O202" s="630">
        <f>0*V202</f>
        <v>0</v>
      </c>
      <c r="P202" s="630">
        <f>'6.Chiết tính'!J1774</f>
        <v>3590377</v>
      </c>
      <c r="Q202" s="630">
        <f>'6.Chiết tính'!J1776</f>
        <v>357131.12499350397</v>
      </c>
      <c r="R202" s="630">
        <f>M202*N202</f>
        <v>445461.30049322377</v>
      </c>
      <c r="S202" s="630">
        <f>M202*O202</f>
        <v>0</v>
      </c>
      <c r="T202" s="630">
        <f>M202*P202</f>
        <v>985199.44880000013</v>
      </c>
      <c r="U202" s="630">
        <f>M202*Q202</f>
        <v>97996.780698217495</v>
      </c>
      <c r="V202" s="584">
        <v>1</v>
      </c>
      <c r="W202" s="584">
        <v>1</v>
      </c>
      <c r="X202" s="584">
        <v>1</v>
      </c>
      <c r="Y202" s="635"/>
      <c r="Z202" s="635"/>
      <c r="AA202" s="635"/>
      <c r="AB202" s="637" t="s">
        <v>349</v>
      </c>
    </row>
    <row r="203" spans="1:28">
      <c r="A203" s="126"/>
      <c r="B203" s="127"/>
      <c r="C203" s="126"/>
      <c r="D203" s="129" t="s">
        <v>576</v>
      </c>
      <c r="E203" s="647"/>
      <c r="F203" s="126"/>
      <c r="G203" s="143">
        <v>0</v>
      </c>
      <c r="H203" s="143">
        <v>0</v>
      </c>
      <c r="I203" s="143">
        <v>0</v>
      </c>
      <c r="J203" s="143">
        <v>0</v>
      </c>
      <c r="K203" s="143">
        <v>0</v>
      </c>
      <c r="L203" s="143">
        <f>27.44/100</f>
        <v>0.27440000000000003</v>
      </c>
      <c r="M203" s="143"/>
      <c r="N203" s="629"/>
      <c r="O203" s="629"/>
      <c r="P203" s="629"/>
      <c r="Q203" s="629"/>
      <c r="R203" s="629"/>
      <c r="S203" s="629"/>
      <c r="T203" s="629"/>
      <c r="U203" s="629"/>
      <c r="V203" s="126">
        <v>1</v>
      </c>
      <c r="W203" s="126">
        <v>1</v>
      </c>
      <c r="X203" s="126">
        <v>1</v>
      </c>
      <c r="Y203" s="635"/>
      <c r="Z203" s="635"/>
      <c r="AA203" s="635"/>
    </row>
    <row r="204" spans="1:28" ht="27.6">
      <c r="A204" s="584"/>
      <c r="B204" s="585">
        <v>97</v>
      </c>
      <c r="C204" s="584" t="s">
        <v>482</v>
      </c>
      <c r="D204" s="624" t="s">
        <v>577</v>
      </c>
      <c r="E204" s="647" t="s">
        <v>484</v>
      </c>
      <c r="F204" s="584"/>
      <c r="G204" s="603">
        <v>0</v>
      </c>
      <c r="H204" s="603">
        <v>0</v>
      </c>
      <c r="I204" s="603">
        <v>0</v>
      </c>
      <c r="J204" s="603">
        <v>0</v>
      </c>
      <c r="K204" s="603">
        <v>0</v>
      </c>
      <c r="L204" s="143">
        <f t="shared" ref="L204:L206" si="69">0</f>
        <v>0</v>
      </c>
      <c r="M204" s="143">
        <v>3</v>
      </c>
      <c r="N204" s="630">
        <f>'6.Chiết tính'!J1789</f>
        <v>0</v>
      </c>
      <c r="O204" s="630">
        <f t="shared" ref="O204:O206" si="70">0*V204</f>
        <v>0</v>
      </c>
      <c r="P204" s="630">
        <f>'6.Chiết tính'!J1790</f>
        <v>4444.3440000000001</v>
      </c>
      <c r="Q204" s="630">
        <f>'6.Chiết tính'!J1792</f>
        <v>14506.290299999997</v>
      </c>
      <c r="R204" s="630">
        <f t="shared" ref="R204:R206" si="71">M204*N204</f>
        <v>0</v>
      </c>
      <c r="S204" s="630">
        <f t="shared" ref="S204:S206" si="72">M204*O204</f>
        <v>0</v>
      </c>
      <c r="T204" s="630">
        <f t="shared" ref="T204:T206" si="73">M204*P204</f>
        <v>13333.031999999999</v>
      </c>
      <c r="U204" s="630">
        <f t="shared" ref="U204:U206" si="74">M204*Q204</f>
        <v>43518.870899999994</v>
      </c>
      <c r="V204" s="584">
        <v>1</v>
      </c>
      <c r="W204" s="584">
        <v>0.6</v>
      </c>
      <c r="X204" s="584">
        <v>0.6</v>
      </c>
      <c r="Y204" s="635"/>
      <c r="Z204" s="635"/>
      <c r="AA204" s="635"/>
      <c r="AB204" s="637" t="s">
        <v>349</v>
      </c>
    </row>
    <row r="205" spans="1:28" ht="41.4">
      <c r="A205" s="584"/>
      <c r="B205" s="585">
        <v>98</v>
      </c>
      <c r="C205" s="584" t="s">
        <v>541</v>
      </c>
      <c r="D205" s="624" t="s">
        <v>578</v>
      </c>
      <c r="E205" s="647" t="s">
        <v>495</v>
      </c>
      <c r="F205" s="584"/>
      <c r="G205" s="603">
        <v>0</v>
      </c>
      <c r="H205" s="603">
        <v>0</v>
      </c>
      <c r="I205" s="603">
        <v>0</v>
      </c>
      <c r="J205" s="603">
        <v>0</v>
      </c>
      <c r="K205" s="603">
        <v>0</v>
      </c>
      <c r="L205" s="143">
        <f t="shared" si="69"/>
        <v>0</v>
      </c>
      <c r="M205" s="143">
        <v>5</v>
      </c>
      <c r="N205" s="630">
        <f>'6.Chiết tính'!J1804</f>
        <v>0</v>
      </c>
      <c r="O205" s="630">
        <f t="shared" si="70"/>
        <v>0</v>
      </c>
      <c r="P205" s="630">
        <f>'6.Chiết tính'!J1805</f>
        <v>70200</v>
      </c>
      <c r="Q205" s="630">
        <f>'6.Chiết tính'!J1807</f>
        <v>62618.819794999989</v>
      </c>
      <c r="R205" s="630">
        <f t="shared" si="71"/>
        <v>0</v>
      </c>
      <c r="S205" s="630">
        <f t="shared" si="72"/>
        <v>0</v>
      </c>
      <c r="T205" s="630">
        <f t="shared" si="73"/>
        <v>351000</v>
      </c>
      <c r="U205" s="630">
        <f t="shared" si="74"/>
        <v>313094.09897499997</v>
      </c>
      <c r="V205" s="584">
        <v>1</v>
      </c>
      <c r="W205" s="584">
        <v>1</v>
      </c>
      <c r="X205" s="584">
        <v>1</v>
      </c>
      <c r="Y205" s="635"/>
      <c r="Z205" s="635"/>
      <c r="AA205" s="635"/>
      <c r="AB205" s="637" t="s">
        <v>496</v>
      </c>
    </row>
    <row r="206" spans="1:28" ht="27.6">
      <c r="A206" s="584"/>
      <c r="B206" s="585">
        <v>99</v>
      </c>
      <c r="C206" s="584" t="s">
        <v>520</v>
      </c>
      <c r="D206" s="624" t="s">
        <v>521</v>
      </c>
      <c r="E206" s="647" t="s">
        <v>356</v>
      </c>
      <c r="F206" s="584"/>
      <c r="G206" s="603">
        <v>0</v>
      </c>
      <c r="H206" s="603">
        <v>0</v>
      </c>
      <c r="I206" s="603">
        <v>0</v>
      </c>
      <c r="J206" s="603">
        <v>0</v>
      </c>
      <c r="K206" s="603">
        <v>0</v>
      </c>
      <c r="L206" s="143">
        <f t="shared" si="69"/>
        <v>0</v>
      </c>
      <c r="M206" s="143">
        <v>2.1</v>
      </c>
      <c r="N206" s="630">
        <f>'6.Chiết tính'!J1820</f>
        <v>0</v>
      </c>
      <c r="O206" s="630">
        <f t="shared" si="70"/>
        <v>0</v>
      </c>
      <c r="P206" s="630">
        <f>'6.Chiết tính'!J1821</f>
        <v>45723.600000000006</v>
      </c>
      <c r="Q206" s="630">
        <f>'6.Chiết tính'!J1823</f>
        <v>90038.426666666666</v>
      </c>
      <c r="R206" s="630">
        <f t="shared" si="71"/>
        <v>0</v>
      </c>
      <c r="S206" s="630">
        <f t="shared" si="72"/>
        <v>0</v>
      </c>
      <c r="T206" s="630">
        <f t="shared" si="73"/>
        <v>96019.560000000012</v>
      </c>
      <c r="U206" s="630">
        <f t="shared" si="74"/>
        <v>189080.696</v>
      </c>
      <c r="V206" s="584">
        <v>1</v>
      </c>
      <c r="W206" s="584">
        <v>1</v>
      </c>
      <c r="X206" s="584">
        <v>1</v>
      </c>
      <c r="Y206" s="635"/>
      <c r="Z206" s="635"/>
      <c r="AA206" s="635"/>
      <c r="AB206" s="637" t="s">
        <v>349</v>
      </c>
    </row>
    <row r="207" spans="1:28" ht="15">
      <c r="A207" s="618"/>
      <c r="B207" s="619"/>
      <c r="C207" s="618"/>
      <c r="D207" s="925" t="s">
        <v>579</v>
      </c>
      <c r="E207" s="920"/>
      <c r="F207" s="921"/>
      <c r="G207" s="922"/>
      <c r="H207" s="922"/>
      <c r="I207" s="922"/>
      <c r="J207" s="922"/>
      <c r="K207" s="922"/>
      <c r="L207" s="923"/>
      <c r="M207" s="923"/>
      <c r="N207" s="924"/>
      <c r="O207" s="924"/>
      <c r="P207" s="924"/>
      <c r="Q207" s="924"/>
      <c r="R207" s="654">
        <f>SUMIF(B208:B215,"&gt;0",R208:R215)</f>
        <v>0</v>
      </c>
      <c r="S207" s="654">
        <f>SUMIF(B208:B215,"&gt;0",S208:S215)</f>
        <v>0</v>
      </c>
      <c r="T207" s="654">
        <f>SUMIF(B208:B215,"&gt;0",T208:T215)</f>
        <v>0</v>
      </c>
      <c r="U207" s="654">
        <f>SUMIF(B208:B215,"&gt;0",U208:U215)</f>
        <v>20773866.583602555</v>
      </c>
      <c r="V207" s="618"/>
      <c r="W207" s="618"/>
      <c r="X207" s="618"/>
      <c r="Y207" s="635"/>
      <c r="Z207" s="635"/>
      <c r="AA207" s="635"/>
    </row>
    <row r="208" spans="1:28" ht="30">
      <c r="A208" s="638"/>
      <c r="B208" s="639"/>
      <c r="C208" s="638"/>
      <c r="D208" s="640" t="s">
        <v>580</v>
      </c>
      <c r="E208" s="639"/>
      <c r="F208" s="638"/>
      <c r="G208" s="641">
        <v>0</v>
      </c>
      <c r="H208" s="641">
        <v>0</v>
      </c>
      <c r="I208" s="641">
        <v>0</v>
      </c>
      <c r="J208" s="641">
        <v>0</v>
      </c>
      <c r="K208" s="641">
        <v>0</v>
      </c>
      <c r="L208" s="641">
        <f t="shared" ref="L208:L209" si="75">0</f>
        <v>0</v>
      </c>
      <c r="M208" s="641"/>
      <c r="N208" s="645"/>
      <c r="O208" s="645"/>
      <c r="P208" s="645"/>
      <c r="Q208" s="645"/>
      <c r="R208" s="645"/>
      <c r="S208" s="645"/>
      <c r="T208" s="645"/>
      <c r="U208" s="645"/>
      <c r="V208" s="638">
        <v>1</v>
      </c>
      <c r="W208" s="638">
        <v>1</v>
      </c>
      <c r="X208" s="638">
        <v>1</v>
      </c>
      <c r="Y208" s="635"/>
      <c r="Z208" s="635"/>
      <c r="AA208" s="635"/>
    </row>
    <row r="209" spans="1:28" ht="41.4">
      <c r="A209" s="584"/>
      <c r="B209" s="585">
        <v>100</v>
      </c>
      <c r="C209" s="584" t="s">
        <v>581</v>
      </c>
      <c r="D209" s="624" t="s">
        <v>582</v>
      </c>
      <c r="E209" s="585" t="s">
        <v>345</v>
      </c>
      <c r="F209" s="584"/>
      <c r="G209" s="603">
        <v>0</v>
      </c>
      <c r="H209" s="603">
        <v>0</v>
      </c>
      <c r="I209" s="603">
        <v>0</v>
      </c>
      <c r="J209" s="603">
        <v>0</v>
      </c>
      <c r="K209" s="603">
        <v>0</v>
      </c>
      <c r="L209" s="143">
        <f t="shared" si="75"/>
        <v>0</v>
      </c>
      <c r="M209" s="143">
        <f>SUM(L210:L210)</f>
        <v>9.4894999999999996</v>
      </c>
      <c r="N209" s="630">
        <f>'6.Chiết tính'!J1836</f>
        <v>0</v>
      </c>
      <c r="O209" s="630">
        <f>0*V209</f>
        <v>0</v>
      </c>
      <c r="P209" s="630">
        <f>'6.Chiết tính'!J1837</f>
        <v>0</v>
      </c>
      <c r="Q209" s="630">
        <f>'6.Chiết tính'!J1838</f>
        <v>1518125.1906057145</v>
      </c>
      <c r="R209" s="630">
        <f>M209*N209</f>
        <v>0</v>
      </c>
      <c r="S209" s="630">
        <f>M209*O209</f>
        <v>0</v>
      </c>
      <c r="T209" s="630">
        <f>M209*P209</f>
        <v>0</v>
      </c>
      <c r="U209" s="630">
        <f>M209*Q209</f>
        <v>14406248.996252926</v>
      </c>
      <c r="V209" s="584">
        <v>1</v>
      </c>
      <c r="W209" s="584">
        <v>1</v>
      </c>
      <c r="X209" s="584">
        <v>1</v>
      </c>
      <c r="Y209" s="635"/>
      <c r="Z209" s="635"/>
      <c r="AA209" s="635"/>
      <c r="AB209" s="637" t="s">
        <v>349</v>
      </c>
    </row>
    <row r="210" spans="1:28">
      <c r="A210" s="126"/>
      <c r="B210" s="127"/>
      <c r="C210" s="126"/>
      <c r="D210" s="129" t="s">
        <v>583</v>
      </c>
      <c r="E210" s="127"/>
      <c r="F210" s="126"/>
      <c r="G210" s="143">
        <v>0</v>
      </c>
      <c r="H210" s="143">
        <v>0</v>
      </c>
      <c r="I210" s="143">
        <v>0</v>
      </c>
      <c r="J210" s="143">
        <v>0</v>
      </c>
      <c r="K210" s="143">
        <v>0</v>
      </c>
      <c r="L210" s="143">
        <f>948.95/100</f>
        <v>9.4894999999999996</v>
      </c>
      <c r="M210" s="143"/>
      <c r="N210" s="629"/>
      <c r="O210" s="629"/>
      <c r="P210" s="629"/>
      <c r="Q210" s="629"/>
      <c r="R210" s="629"/>
      <c r="S210" s="629"/>
      <c r="T210" s="629"/>
      <c r="U210" s="629"/>
      <c r="V210" s="126">
        <v>1</v>
      </c>
      <c r="W210" s="126">
        <v>1</v>
      </c>
      <c r="X210" s="126">
        <v>1</v>
      </c>
      <c r="Y210" s="635"/>
      <c r="Z210" s="635"/>
      <c r="AA210" s="635"/>
    </row>
    <row r="211" spans="1:28" ht="41.4">
      <c r="A211" s="584"/>
      <c r="B211" s="585">
        <v>101</v>
      </c>
      <c r="C211" s="584" t="s">
        <v>584</v>
      </c>
      <c r="D211" s="624" t="s">
        <v>585</v>
      </c>
      <c r="E211" s="585" t="s">
        <v>345</v>
      </c>
      <c r="F211" s="584"/>
      <c r="G211" s="603">
        <v>0</v>
      </c>
      <c r="H211" s="603">
        <v>0</v>
      </c>
      <c r="I211" s="603">
        <v>0</v>
      </c>
      <c r="J211" s="603">
        <v>0</v>
      </c>
      <c r="K211" s="603">
        <v>0</v>
      </c>
      <c r="L211" s="143">
        <f>0</f>
        <v>0</v>
      </c>
      <c r="M211" s="143">
        <f>SUM(L212:L215)</f>
        <v>2.2446000000000002</v>
      </c>
      <c r="N211" s="630">
        <f>'6.Chiết tính'!J1850</f>
        <v>0</v>
      </c>
      <c r="O211" s="630">
        <f>0*V211</f>
        <v>0</v>
      </c>
      <c r="P211" s="630">
        <f>'6.Chiết tính'!J1851</f>
        <v>0</v>
      </c>
      <c r="Q211" s="630">
        <f>'6.Chiết tính'!J1852</f>
        <v>2836860.7267885716</v>
      </c>
      <c r="R211" s="630">
        <f>M211*N211</f>
        <v>0</v>
      </c>
      <c r="S211" s="630">
        <f>M211*O211</f>
        <v>0</v>
      </c>
      <c r="T211" s="630">
        <f>M211*P211</f>
        <v>0</v>
      </c>
      <c r="U211" s="630">
        <f>M211*Q211</f>
        <v>6367617.5873496281</v>
      </c>
      <c r="V211" s="584">
        <v>1</v>
      </c>
      <c r="W211" s="584">
        <v>1</v>
      </c>
      <c r="X211" s="584">
        <v>1</v>
      </c>
      <c r="Y211" s="635"/>
      <c r="Z211" s="635"/>
      <c r="AA211" s="635"/>
      <c r="AB211" s="637" t="s">
        <v>349</v>
      </c>
    </row>
    <row r="212" spans="1:28">
      <c r="A212" s="126"/>
      <c r="B212" s="127"/>
      <c r="C212" s="126"/>
      <c r="D212" s="129" t="s">
        <v>586</v>
      </c>
      <c r="E212" s="127"/>
      <c r="F212" s="126"/>
      <c r="G212" s="143">
        <v>0</v>
      </c>
      <c r="H212" s="143">
        <v>0</v>
      </c>
      <c r="I212" s="143">
        <v>0</v>
      </c>
      <c r="J212" s="143">
        <v>0</v>
      </c>
      <c r="K212" s="143">
        <v>0</v>
      </c>
      <c r="L212" s="143">
        <f>224.46/100</f>
        <v>2.2446000000000002</v>
      </c>
      <c r="M212" s="143"/>
      <c r="N212" s="629"/>
      <c r="O212" s="629"/>
      <c r="P212" s="629"/>
      <c r="Q212" s="629"/>
      <c r="R212" s="629"/>
      <c r="S212" s="629"/>
      <c r="T212" s="629"/>
      <c r="U212" s="629"/>
      <c r="V212" s="126">
        <v>1</v>
      </c>
      <c r="W212" s="126">
        <v>1</v>
      </c>
      <c r="X212" s="126">
        <v>1</v>
      </c>
      <c r="Y212" s="635"/>
      <c r="Z212" s="635"/>
      <c r="AA212" s="635"/>
    </row>
    <row r="213" spans="1:28" hidden="1">
      <c r="A213" s="126"/>
      <c r="B213" s="127"/>
      <c r="C213" s="126"/>
      <c r="D213" s="129"/>
      <c r="E213" s="127"/>
      <c r="F213" s="126"/>
      <c r="G213" s="143">
        <v>0</v>
      </c>
      <c r="H213" s="143">
        <v>0</v>
      </c>
      <c r="I213" s="143">
        <v>0</v>
      </c>
      <c r="J213" s="143">
        <v>0</v>
      </c>
      <c r="K213" s="143">
        <v>0</v>
      </c>
      <c r="L213" s="143">
        <f t="shared" ref="L213:L215" si="76">0</f>
        <v>0</v>
      </c>
      <c r="M213" s="143"/>
      <c r="N213" s="629"/>
      <c r="O213" s="629"/>
      <c r="P213" s="629"/>
      <c r="Q213" s="629"/>
      <c r="R213" s="629"/>
      <c r="S213" s="629"/>
      <c r="T213" s="629"/>
      <c r="U213" s="629"/>
      <c r="V213" s="126">
        <v>1</v>
      </c>
      <c r="W213" s="126">
        <v>1</v>
      </c>
      <c r="X213" s="126">
        <v>1</v>
      </c>
      <c r="Y213" s="635"/>
      <c r="Z213" s="635"/>
      <c r="AA213" s="635"/>
    </row>
    <row r="214" spans="1:28" hidden="1">
      <c r="A214" s="126"/>
      <c r="B214" s="127"/>
      <c r="C214" s="126"/>
      <c r="D214" s="129"/>
      <c r="E214" s="127"/>
      <c r="F214" s="126"/>
      <c r="G214" s="143">
        <v>0</v>
      </c>
      <c r="H214" s="143">
        <v>0</v>
      </c>
      <c r="I214" s="143">
        <v>0</v>
      </c>
      <c r="J214" s="143">
        <v>0</v>
      </c>
      <c r="K214" s="143">
        <v>0</v>
      </c>
      <c r="L214" s="143">
        <f t="shared" si="76"/>
        <v>0</v>
      </c>
      <c r="M214" s="143"/>
      <c r="N214" s="629"/>
      <c r="O214" s="629"/>
      <c r="P214" s="629"/>
      <c r="Q214" s="629"/>
      <c r="R214" s="629"/>
      <c r="S214" s="629"/>
      <c r="T214" s="629"/>
      <c r="U214" s="629"/>
      <c r="V214" s="126">
        <v>1</v>
      </c>
      <c r="W214" s="126">
        <v>1</v>
      </c>
      <c r="X214" s="126">
        <v>1</v>
      </c>
      <c r="Y214" s="635"/>
      <c r="Z214" s="635"/>
      <c r="AA214" s="635"/>
    </row>
    <row r="215" spans="1:28" hidden="1">
      <c r="A215" s="126"/>
      <c r="B215" s="127"/>
      <c r="C215" s="126"/>
      <c r="D215" s="129"/>
      <c r="E215" s="127"/>
      <c r="F215" s="126"/>
      <c r="G215" s="143">
        <v>0</v>
      </c>
      <c r="H215" s="143">
        <v>0</v>
      </c>
      <c r="I215" s="143">
        <v>0</v>
      </c>
      <c r="J215" s="143">
        <v>0</v>
      </c>
      <c r="K215" s="143">
        <v>0</v>
      </c>
      <c r="L215" s="143">
        <f t="shared" si="76"/>
        <v>0</v>
      </c>
      <c r="M215" s="143"/>
      <c r="N215" s="629"/>
      <c r="O215" s="629"/>
      <c r="P215" s="629"/>
      <c r="Q215" s="629"/>
      <c r="R215" s="629"/>
      <c r="S215" s="629"/>
      <c r="T215" s="629"/>
      <c r="U215" s="629"/>
      <c r="V215" s="126">
        <v>1</v>
      </c>
      <c r="W215" s="126">
        <v>1</v>
      </c>
      <c r="X215" s="126">
        <v>1</v>
      </c>
      <c r="Y215" s="635"/>
      <c r="Z215" s="635"/>
      <c r="AA215" s="635"/>
    </row>
    <row r="216" spans="1:28">
      <c r="A216" s="374"/>
      <c r="B216" s="375"/>
      <c r="C216" s="374" t="s">
        <v>587</v>
      </c>
      <c r="D216" s="910" t="s">
        <v>588</v>
      </c>
      <c r="E216" s="911"/>
      <c r="F216" s="910"/>
      <c r="G216" s="912"/>
      <c r="H216" s="912"/>
      <c r="I216" s="912"/>
      <c r="J216" s="912"/>
      <c r="K216" s="912"/>
      <c r="L216" s="912"/>
      <c r="M216" s="912"/>
      <c r="N216" s="913"/>
      <c r="O216" s="913"/>
      <c r="P216" s="913"/>
      <c r="Q216" s="913"/>
      <c r="R216" s="382">
        <f>SUMIF(B7:B215,"&gt;0",R7:R215)</f>
        <v>3670264394.9343023</v>
      </c>
      <c r="S216" s="382">
        <f>SUMIF(B7:B215,"&gt;0",S7:S215)</f>
        <v>0</v>
      </c>
      <c r="T216" s="382">
        <f>SUMIF(B7:B215,"&gt;0",T7:T215)</f>
        <v>689193479.13550556</v>
      </c>
      <c r="U216" s="382">
        <f>SUMIF(B7:B215,"&gt;0",U7:U215)</f>
        <v>640217683.00185513</v>
      </c>
      <c r="V216" s="374"/>
      <c r="W216" s="374"/>
      <c r="X216" s="374"/>
    </row>
    <row r="217" spans="1:28">
      <c r="N217" s="653"/>
      <c r="O217" s="653"/>
      <c r="P217" s="653"/>
      <c r="Q217" s="653"/>
      <c r="R217" s="653"/>
      <c r="S217" s="653"/>
      <c r="T217" s="653"/>
      <c r="U217" s="653"/>
    </row>
  </sheetData>
  <mergeCells count="19">
    <mergeCell ref="B1:X1"/>
    <mergeCell ref="B2:X2"/>
    <mergeCell ref="F4:K4"/>
    <mergeCell ref="N4:Q4"/>
    <mergeCell ref="R4:U4"/>
    <mergeCell ref="V4:X4"/>
    <mergeCell ref="D216:Q216"/>
    <mergeCell ref="A4:A5"/>
    <mergeCell ref="B4:B5"/>
    <mergeCell ref="C4:C5"/>
    <mergeCell ref="D4:D5"/>
    <mergeCell ref="E4:E5"/>
    <mergeCell ref="L4:L5"/>
    <mergeCell ref="M4:M5"/>
    <mergeCell ref="D6:Q6"/>
    <mergeCell ref="D8:Q8"/>
    <mergeCell ref="D72:Q72"/>
    <mergeCell ref="D167:Q167"/>
    <mergeCell ref="D207:Q207"/>
  </mergeCells>
  <conditionalFormatting sqref="V6:X6">
    <cfRule type="cellIs" dxfId="16" priority="1" stopIfTrue="1" operator="equal">
      <formula>1</formula>
    </cfRule>
  </conditionalFormatting>
  <conditionalFormatting sqref="V7:X217">
    <cfRule type="cellIs" dxfId="15" priority="2" stopIfTrue="1" operator="equal">
      <formula>1</formula>
    </cfRule>
  </conditionalFormatting>
  <printOptions horizontalCentered="1"/>
  <pageMargins left="0.75" right="0.75" top="0.79" bottom="0.5" header="0.3" footer="0.3"/>
  <pageSetup paperSize="9" scale="85" orientation="landscape" useFirstPageNumber="1"/>
  <headerFooter>
    <oddFooter>&amp;CTrang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J1862"/>
  <sheetViews>
    <sheetView showZeros="0" topLeftCell="B1" workbookViewId="0">
      <selection activeCell="G11" sqref="G11"/>
    </sheetView>
  </sheetViews>
  <sheetFormatPr defaultColWidth="9.21875" defaultRowHeight="13.8"/>
  <cols>
    <col min="1" max="1" width="9.21875" style="72" hidden="1" customWidth="1"/>
    <col min="2" max="2" width="4.44140625" style="72" customWidth="1"/>
    <col min="3" max="3" width="10" style="569" hidden="1" customWidth="1"/>
    <col min="4" max="4" width="9.44140625" style="569" customWidth="1"/>
    <col min="5" max="5" width="38.44140625" style="72" customWidth="1"/>
    <col min="6" max="6" width="7" style="72" customWidth="1"/>
    <col min="7" max="8" width="10.21875" style="72" customWidth="1"/>
    <col min="9" max="9" width="6.44140625" style="72" customWidth="1"/>
    <col min="10" max="10" width="12.44140625" style="72" customWidth="1"/>
    <col min="11" max="18" width="9.21875" style="72"/>
    <col min="19" max="19" width="14.21875" style="72" customWidth="1"/>
    <col min="20" max="16384" width="9.21875" style="72"/>
  </cols>
  <sheetData>
    <row r="1" spans="1:10" ht="17.399999999999999">
      <c r="A1" s="928" t="s">
        <v>589</v>
      </c>
      <c r="B1" s="928"/>
      <c r="C1" s="928"/>
      <c r="D1" s="928"/>
      <c r="E1" s="928"/>
      <c r="F1" s="928"/>
      <c r="G1" s="928"/>
      <c r="H1" s="928"/>
      <c r="I1" s="928"/>
      <c r="J1" s="928"/>
    </row>
    <row r="2" spans="1:10" ht="33.75" customHeight="1">
      <c r="A2" s="929" t="str">
        <f>'5.Tiên lượng'!B2</f>
        <v>CÔNG TRÌNH: NÂNG CẤP, CẢI TẠO TUYẾN ĐƯỜNG HUYỆN ĐH.93
ĐOẠN TỪ ĐƯỜNG ĐH.91 ĐẾN UBND XÃ THIỆN TÂN</v>
      </c>
      <c r="B2" s="929"/>
      <c r="C2" s="929"/>
      <c r="D2" s="929"/>
      <c r="E2" s="929"/>
      <c r="F2" s="929"/>
      <c r="G2" s="929"/>
      <c r="H2" s="929"/>
      <c r="I2" s="929"/>
      <c r="J2" s="929"/>
    </row>
    <row r="3" spans="1:10" hidden="1">
      <c r="A3" s="930"/>
      <c r="B3" s="930"/>
      <c r="C3" s="930"/>
      <c r="D3" s="930"/>
      <c r="E3" s="930"/>
      <c r="F3" s="930"/>
      <c r="G3" s="930"/>
      <c r="H3" s="930"/>
      <c r="I3" s="930"/>
      <c r="J3" s="930"/>
    </row>
    <row r="4" spans="1:10" hidden="1">
      <c r="A4" s="931" t="s">
        <v>590</v>
      </c>
      <c r="B4" s="931"/>
      <c r="C4" s="931"/>
      <c r="D4" s="931"/>
      <c r="E4" s="931"/>
      <c r="F4" s="931"/>
      <c r="G4" s="931"/>
      <c r="H4" s="931"/>
      <c r="I4" s="931"/>
      <c r="J4" s="931"/>
    </row>
    <row r="5" spans="1:10" ht="27.6">
      <c r="A5" s="570"/>
      <c r="B5" s="570" t="s">
        <v>5</v>
      </c>
      <c r="C5" s="571" t="s">
        <v>591</v>
      </c>
      <c r="D5" s="571" t="s">
        <v>592</v>
      </c>
      <c r="E5" s="570" t="s">
        <v>593</v>
      </c>
      <c r="F5" s="570" t="s">
        <v>594</v>
      </c>
      <c r="G5" s="570" t="s">
        <v>595</v>
      </c>
      <c r="H5" s="570" t="s">
        <v>326</v>
      </c>
      <c r="I5" s="570" t="s">
        <v>596</v>
      </c>
      <c r="J5" s="570" t="s">
        <v>261</v>
      </c>
    </row>
    <row r="6" spans="1:10">
      <c r="A6" s="572"/>
      <c r="B6" s="573"/>
      <c r="C6" s="574" t="s">
        <v>339</v>
      </c>
      <c r="D6" s="117" t="s">
        <v>339</v>
      </c>
      <c r="E6" s="575" t="s">
        <v>340</v>
      </c>
      <c r="F6" s="573"/>
      <c r="G6" s="576"/>
      <c r="H6" s="577"/>
      <c r="I6" s="601"/>
      <c r="J6" s="577" t="s">
        <v>597</v>
      </c>
    </row>
    <row r="7" spans="1:10">
      <c r="A7" s="572"/>
      <c r="B7" s="573"/>
      <c r="C7" s="574" t="s">
        <v>339</v>
      </c>
      <c r="D7" s="117" t="s">
        <v>339</v>
      </c>
      <c r="E7" s="575" t="s">
        <v>341</v>
      </c>
      <c r="F7" s="573"/>
      <c r="G7" s="576"/>
      <c r="H7" s="577"/>
      <c r="I7" s="601"/>
      <c r="J7" s="577" t="s">
        <v>597</v>
      </c>
    </row>
    <row r="8" spans="1:10" ht="27.6">
      <c r="A8" s="578"/>
      <c r="B8" s="579">
        <v>1</v>
      </c>
      <c r="C8" s="578" t="str">
        <f>'5.Tiên lượng'!C12</f>
        <v>AB.31132</v>
      </c>
      <c r="D8" s="578" t="str">
        <f>'5.Tiên lượng'!C12</f>
        <v>AB.31132</v>
      </c>
      <c r="E8" s="580" t="str">
        <f>'5.Tiên lượng'!D12</f>
        <v>Đào nền đường bằng máy đào 1,25m3 - Cấp đất II</v>
      </c>
      <c r="F8" s="579" t="str">
        <f>'5.Tiên lượng'!E12</f>
        <v>100m3</v>
      </c>
      <c r="G8" s="581"/>
      <c r="H8" s="582"/>
      <c r="I8" s="602"/>
      <c r="J8" s="582"/>
    </row>
    <row r="9" spans="1:10">
      <c r="A9" s="126"/>
      <c r="B9" s="127"/>
      <c r="C9" s="128" t="s">
        <v>590</v>
      </c>
      <c r="D9" s="128" t="s">
        <v>590</v>
      </c>
      <c r="E9" s="583" t="s">
        <v>262</v>
      </c>
      <c r="F9" s="127" t="s">
        <v>263</v>
      </c>
      <c r="G9" s="130"/>
      <c r="H9" s="131"/>
      <c r="I9" s="143"/>
      <c r="J9" s="131">
        <v>0</v>
      </c>
    </row>
    <row r="10" spans="1:10">
      <c r="A10" s="126"/>
      <c r="B10" s="127"/>
      <c r="C10" s="128" t="s">
        <v>590</v>
      </c>
      <c r="D10" s="128" t="s">
        <v>590</v>
      </c>
      <c r="E10" s="583" t="s">
        <v>265</v>
      </c>
      <c r="F10" s="127" t="s">
        <v>266</v>
      </c>
      <c r="G10" s="130"/>
      <c r="H10" s="131"/>
      <c r="I10" s="143"/>
      <c r="J10" s="131">
        <f>SUM(J11:J11)</f>
        <v>775015.02</v>
      </c>
    </row>
    <row r="11" spans="1:10">
      <c r="A11" s="584"/>
      <c r="B11" s="585"/>
      <c r="C11" s="586" t="s">
        <v>590</v>
      </c>
      <c r="D11" s="133" t="s">
        <v>598</v>
      </c>
      <c r="E11" s="587" t="str">
        <f>" - "&amp;'Giá NC'!E5</f>
        <v xml:space="preserve"> - Nhân công bậc 3,0/7 - Nhóm 1</v>
      </c>
      <c r="F11" s="585" t="str">
        <f>'Giá NC'!F5</f>
        <v>công</v>
      </c>
      <c r="G11" s="588">
        <f>PTVT!G10</f>
        <v>3.39</v>
      </c>
      <c r="H11" s="589">
        <f>'Giá NC'!K5</f>
        <v>228618</v>
      </c>
      <c r="I11" s="603">
        <f>'5.Tiên lượng'!W12</f>
        <v>1</v>
      </c>
      <c r="J11" s="589">
        <f>PRODUCT(G11,H11,I11)</f>
        <v>775015.02</v>
      </c>
    </row>
    <row r="12" spans="1:10">
      <c r="A12" s="126"/>
      <c r="B12" s="127"/>
      <c r="C12" s="128" t="s">
        <v>590</v>
      </c>
      <c r="D12" s="128" t="s">
        <v>590</v>
      </c>
      <c r="E12" s="583" t="s">
        <v>267</v>
      </c>
      <c r="F12" s="127" t="s">
        <v>268</v>
      </c>
      <c r="G12" s="130"/>
      <c r="H12" s="131"/>
      <c r="I12" s="143"/>
      <c r="J12" s="131">
        <f>SUM(J13:J14)</f>
        <v>986868.38985857158</v>
      </c>
    </row>
    <row r="13" spans="1:10">
      <c r="A13" s="584"/>
      <c r="B13" s="585"/>
      <c r="C13" s="586" t="s">
        <v>590</v>
      </c>
      <c r="D13" s="133" t="s">
        <v>599</v>
      </c>
      <c r="E13" s="587" t="str">
        <f>" - "&amp;'Giá Máy'!E14</f>
        <v xml:space="preserve"> - Máy đào 1,25m3</v>
      </c>
      <c r="F13" s="585" t="str">
        <f>'Giá Máy'!F14</f>
        <v>ca</v>
      </c>
      <c r="G13" s="588">
        <f>PTVT!G12</f>
        <v>0.26400000000000001</v>
      </c>
      <c r="H13" s="589">
        <f>'Giá Máy'!O14</f>
        <v>3496941.8057142859</v>
      </c>
      <c r="I13" s="603">
        <f>'5.Tiên lượng'!X12</f>
        <v>1</v>
      </c>
      <c r="J13" s="589">
        <f t="shared" ref="J13:J14" si="0">PRODUCT(G13,H13,I13)</f>
        <v>923192.63670857158</v>
      </c>
    </row>
    <row r="14" spans="1:10">
      <c r="A14" s="584"/>
      <c r="B14" s="585"/>
      <c r="C14" s="586" t="s">
        <v>590</v>
      </c>
      <c r="D14" s="133" t="s">
        <v>600</v>
      </c>
      <c r="E14" s="587" t="str">
        <f>" - "&amp;'Giá Máy'!E29</f>
        <v xml:space="preserve"> - Máy ủi 110CV</v>
      </c>
      <c r="F14" s="585" t="str">
        <f>'Giá Máy'!F29</f>
        <v>ca</v>
      </c>
      <c r="G14" s="588">
        <f>PTVT!G13</f>
        <v>3.5000000000000003E-2</v>
      </c>
      <c r="H14" s="589">
        <f>'Giá Máy'!O29</f>
        <v>1819307.232857143</v>
      </c>
      <c r="I14" s="603">
        <f>'5.Tiên lượng'!X12</f>
        <v>1</v>
      </c>
      <c r="J14" s="589">
        <f t="shared" si="0"/>
        <v>63675.753150000011</v>
      </c>
    </row>
    <row r="15" spans="1:10">
      <c r="A15" s="584"/>
      <c r="B15" s="585"/>
      <c r="C15" s="586" t="s">
        <v>590</v>
      </c>
      <c r="D15" s="133" t="s">
        <v>590</v>
      </c>
      <c r="E15" s="587" t="s">
        <v>269</v>
      </c>
      <c r="F15" s="585" t="s">
        <v>270</v>
      </c>
      <c r="G15" s="590"/>
      <c r="H15" s="589"/>
      <c r="I15" s="603"/>
      <c r="J15" s="589">
        <f>J9+J10+J12</f>
        <v>1761883.4098585716</v>
      </c>
    </row>
    <row r="16" spans="1:10">
      <c r="A16" s="584"/>
      <c r="B16" s="585"/>
      <c r="C16" s="586" t="s">
        <v>590</v>
      </c>
      <c r="D16" s="133" t="s">
        <v>590</v>
      </c>
      <c r="E16" s="587" t="s">
        <v>273</v>
      </c>
      <c r="F16" s="585" t="s">
        <v>274</v>
      </c>
      <c r="G16" s="591">
        <f>'Thông tin'!E67</f>
        <v>6.2E-2</v>
      </c>
      <c r="H16" s="589"/>
      <c r="I16" s="603"/>
      <c r="J16" s="589">
        <f>(J15)*G16</f>
        <v>109236.77141123144</v>
      </c>
    </row>
    <row r="17" spans="1:10">
      <c r="A17" s="584"/>
      <c r="B17" s="585"/>
      <c r="C17" s="586" t="s">
        <v>590</v>
      </c>
      <c r="D17" s="133" t="s">
        <v>590</v>
      </c>
      <c r="E17" s="587" t="s">
        <v>276</v>
      </c>
      <c r="F17" s="585" t="s">
        <v>277</v>
      </c>
      <c r="G17" s="591">
        <f>'Thông tin'!E60</f>
        <v>2.2000000000000002E-2</v>
      </c>
      <c r="H17" s="589"/>
      <c r="I17" s="603"/>
      <c r="J17" s="589">
        <f>(J15)*G17</f>
        <v>38761.435016888579</v>
      </c>
    </row>
    <row r="18" spans="1:10" ht="27.6">
      <c r="A18" s="584"/>
      <c r="B18" s="585"/>
      <c r="C18" s="586" t="s">
        <v>590</v>
      </c>
      <c r="D18" s="133" t="s">
        <v>590</v>
      </c>
      <c r="E18" s="587" t="s">
        <v>279</v>
      </c>
      <c r="F18" s="585" t="s">
        <v>142</v>
      </c>
      <c r="G18" s="591">
        <f>'Thông tin'!E65</f>
        <v>0.02</v>
      </c>
      <c r="H18" s="589"/>
      <c r="I18" s="603"/>
      <c r="J18" s="589">
        <f>(J15)*G18</f>
        <v>35237.668197171435</v>
      </c>
    </row>
    <row r="19" spans="1:10">
      <c r="A19" s="584"/>
      <c r="B19" s="585"/>
      <c r="C19" s="586" t="s">
        <v>590</v>
      </c>
      <c r="D19" s="133" t="s">
        <v>590</v>
      </c>
      <c r="E19" s="587" t="s">
        <v>281</v>
      </c>
      <c r="F19" s="585" t="s">
        <v>282</v>
      </c>
      <c r="G19" s="590"/>
      <c r="H19" s="589"/>
      <c r="I19" s="603"/>
      <c r="J19" s="589">
        <f>J16+J17+J18</f>
        <v>183235.87462529147</v>
      </c>
    </row>
    <row r="20" spans="1:10">
      <c r="A20" s="584"/>
      <c r="B20" s="585"/>
      <c r="C20" s="586" t="s">
        <v>590</v>
      </c>
      <c r="D20" s="133" t="s">
        <v>590</v>
      </c>
      <c r="E20" s="587" t="s">
        <v>284</v>
      </c>
      <c r="F20" s="585" t="s">
        <v>285</v>
      </c>
      <c r="G20" s="591">
        <f>'Thông tin'!E63</f>
        <v>0.06</v>
      </c>
      <c r="H20" s="589"/>
      <c r="I20" s="603"/>
      <c r="J20" s="589">
        <f>(J15+J19)*G20</f>
        <v>116707.15706903177</v>
      </c>
    </row>
    <row r="21" spans="1:10">
      <c r="A21" s="584"/>
      <c r="B21" s="585"/>
      <c r="C21" s="586" t="s">
        <v>590</v>
      </c>
      <c r="D21" s="133" t="s">
        <v>590</v>
      </c>
      <c r="E21" s="592" t="s">
        <v>287</v>
      </c>
      <c r="F21" s="593" t="s">
        <v>288</v>
      </c>
      <c r="G21" s="590"/>
      <c r="H21" s="589"/>
      <c r="I21" s="603"/>
      <c r="J21" s="604">
        <f>J15+J19+J20</f>
        <v>2061826.4415528949</v>
      </c>
    </row>
    <row r="22" spans="1:10">
      <c r="A22" s="584"/>
      <c r="B22" s="585"/>
      <c r="C22" s="586" t="s">
        <v>590</v>
      </c>
      <c r="D22" s="133" t="s">
        <v>590</v>
      </c>
      <c r="E22" s="587" t="s">
        <v>290</v>
      </c>
      <c r="F22" s="585" t="s">
        <v>291</v>
      </c>
      <c r="G22" s="591">
        <f>'Thông tin'!E61</f>
        <v>0.1</v>
      </c>
      <c r="H22" s="589"/>
      <c r="I22" s="603"/>
      <c r="J22" s="589">
        <f>(J21)*G22</f>
        <v>206182.64415528951</v>
      </c>
    </row>
    <row r="23" spans="1:10">
      <c r="A23" s="594"/>
      <c r="B23" s="595"/>
      <c r="C23" s="596" t="s">
        <v>590</v>
      </c>
      <c r="D23" s="137" t="s">
        <v>590</v>
      </c>
      <c r="E23" s="597" t="s">
        <v>293</v>
      </c>
      <c r="F23" s="598" t="s">
        <v>19</v>
      </c>
      <c r="G23" s="599"/>
      <c r="H23" s="600"/>
      <c r="I23" s="605"/>
      <c r="J23" s="606">
        <f>J21+J22</f>
        <v>2268009.0857081842</v>
      </c>
    </row>
    <row r="24" spans="1:10" ht="27.6">
      <c r="A24" s="578"/>
      <c r="B24" s="579">
        <v>2</v>
      </c>
      <c r="C24" s="578" t="str">
        <f>'5.Tiên lượng'!C14</f>
        <v>AB.31133</v>
      </c>
      <c r="D24" s="578" t="str">
        <f>'5.Tiên lượng'!C14</f>
        <v>AB.31133</v>
      </c>
      <c r="E24" s="580" t="str">
        <f>'5.Tiên lượng'!D14</f>
        <v>Đào nền đường bằng máy đào 1,25m3 - Cấp đất III</v>
      </c>
      <c r="F24" s="579" t="str">
        <f>'5.Tiên lượng'!E14</f>
        <v>100m3</v>
      </c>
      <c r="G24" s="581"/>
      <c r="H24" s="582"/>
      <c r="I24" s="602"/>
      <c r="J24" s="582"/>
    </row>
    <row r="25" spans="1:10">
      <c r="A25" s="126"/>
      <c r="B25" s="127"/>
      <c r="C25" s="128" t="s">
        <v>590</v>
      </c>
      <c r="D25" s="128" t="s">
        <v>590</v>
      </c>
      <c r="E25" s="583" t="s">
        <v>262</v>
      </c>
      <c r="F25" s="127" t="s">
        <v>263</v>
      </c>
      <c r="G25" s="130"/>
      <c r="H25" s="131"/>
      <c r="I25" s="143"/>
      <c r="J25" s="131">
        <v>0</v>
      </c>
    </row>
    <row r="26" spans="1:10">
      <c r="A26" s="126"/>
      <c r="B26" s="127"/>
      <c r="C26" s="128" t="s">
        <v>590</v>
      </c>
      <c r="D26" s="128" t="s">
        <v>590</v>
      </c>
      <c r="E26" s="583" t="s">
        <v>265</v>
      </c>
      <c r="F26" s="127" t="s">
        <v>266</v>
      </c>
      <c r="G26" s="130"/>
      <c r="H26" s="131"/>
      <c r="I26" s="143"/>
      <c r="J26" s="131">
        <f>SUM(J27:J27)</f>
        <v>928189.08</v>
      </c>
    </row>
    <row r="27" spans="1:10">
      <c r="A27" s="584"/>
      <c r="B27" s="585"/>
      <c r="C27" s="586" t="s">
        <v>590</v>
      </c>
      <c r="D27" s="133" t="s">
        <v>598</v>
      </c>
      <c r="E27" s="587" t="str">
        <f>" - "&amp;'Giá NC'!E5</f>
        <v xml:space="preserve"> - Nhân công bậc 3,0/7 - Nhóm 1</v>
      </c>
      <c r="F27" s="585" t="str">
        <f>'Giá NC'!F5</f>
        <v>công</v>
      </c>
      <c r="G27" s="588">
        <f>PTVT!G16</f>
        <v>4.0599999999999996</v>
      </c>
      <c r="H27" s="589">
        <f>'Giá NC'!K5</f>
        <v>228618</v>
      </c>
      <c r="I27" s="603">
        <f>'5.Tiên lượng'!W14</f>
        <v>1</v>
      </c>
      <c r="J27" s="589">
        <f>PRODUCT(G27,H27,I27)</f>
        <v>928189.08</v>
      </c>
    </row>
    <row r="28" spans="1:10">
      <c r="A28" s="126"/>
      <c r="B28" s="127"/>
      <c r="C28" s="128" t="s">
        <v>590</v>
      </c>
      <c r="D28" s="128" t="s">
        <v>590</v>
      </c>
      <c r="E28" s="583" t="s">
        <v>267</v>
      </c>
      <c r="F28" s="127" t="s">
        <v>268</v>
      </c>
      <c r="G28" s="130"/>
      <c r="H28" s="131"/>
      <c r="I28" s="143"/>
      <c r="J28" s="131">
        <f>SUM(J29:J30)</f>
        <v>1160321.1908914286</v>
      </c>
    </row>
    <row r="29" spans="1:10">
      <c r="A29" s="584"/>
      <c r="B29" s="585"/>
      <c r="C29" s="586" t="s">
        <v>590</v>
      </c>
      <c r="D29" s="133" t="s">
        <v>599</v>
      </c>
      <c r="E29" s="587" t="str">
        <f>" - "&amp;'Giá Máy'!E14</f>
        <v xml:space="preserve"> - Máy đào 1,25m3</v>
      </c>
      <c r="F29" s="585" t="str">
        <f>'Giá Máy'!F14</f>
        <v>ca</v>
      </c>
      <c r="G29" s="588">
        <f>PTVT!G18</f>
        <v>0.311</v>
      </c>
      <c r="H29" s="589">
        <f>'Giá Máy'!O14</f>
        <v>3496941.8057142859</v>
      </c>
      <c r="I29" s="603">
        <f>'5.Tiên lượng'!X14</f>
        <v>1</v>
      </c>
      <c r="J29" s="589">
        <f t="shared" ref="J29:J30" si="1">PRODUCT(G29,H29,I29)</f>
        <v>1087548.901577143</v>
      </c>
    </row>
    <row r="30" spans="1:10">
      <c r="A30" s="584"/>
      <c r="B30" s="585"/>
      <c r="C30" s="586" t="s">
        <v>590</v>
      </c>
      <c r="D30" s="133" t="s">
        <v>600</v>
      </c>
      <c r="E30" s="587" t="str">
        <f>" - "&amp;'Giá Máy'!E29</f>
        <v xml:space="preserve"> - Máy ủi 110CV</v>
      </c>
      <c r="F30" s="585" t="str">
        <f>'Giá Máy'!F29</f>
        <v>ca</v>
      </c>
      <c r="G30" s="588">
        <f>PTVT!G19</f>
        <v>0.04</v>
      </c>
      <c r="H30" s="589">
        <f>'Giá Máy'!O29</f>
        <v>1819307.232857143</v>
      </c>
      <c r="I30" s="603">
        <f>'5.Tiên lượng'!X14</f>
        <v>1</v>
      </c>
      <c r="J30" s="589">
        <f t="shared" si="1"/>
        <v>72772.289314285721</v>
      </c>
    </row>
    <row r="31" spans="1:10">
      <c r="A31" s="584"/>
      <c r="B31" s="585"/>
      <c r="C31" s="586" t="s">
        <v>590</v>
      </c>
      <c r="D31" s="133" t="s">
        <v>590</v>
      </c>
      <c r="E31" s="587" t="s">
        <v>269</v>
      </c>
      <c r="F31" s="585" t="s">
        <v>270</v>
      </c>
      <c r="G31" s="590"/>
      <c r="H31" s="589"/>
      <c r="I31" s="603"/>
      <c r="J31" s="589">
        <f>J25+J26+J28</f>
        <v>2088510.2708914285</v>
      </c>
    </row>
    <row r="32" spans="1:10">
      <c r="A32" s="584"/>
      <c r="B32" s="585"/>
      <c r="C32" s="586" t="s">
        <v>590</v>
      </c>
      <c r="D32" s="133" t="s">
        <v>590</v>
      </c>
      <c r="E32" s="587" t="s">
        <v>273</v>
      </c>
      <c r="F32" s="585" t="s">
        <v>274</v>
      </c>
      <c r="G32" s="591">
        <f>'Thông tin'!E67</f>
        <v>6.2E-2</v>
      </c>
      <c r="H32" s="589"/>
      <c r="I32" s="603"/>
      <c r="J32" s="589">
        <f>(J31)*G32</f>
        <v>129487.63679526857</v>
      </c>
    </row>
    <row r="33" spans="1:10">
      <c r="A33" s="584"/>
      <c r="B33" s="585"/>
      <c r="C33" s="586" t="s">
        <v>590</v>
      </c>
      <c r="D33" s="133" t="s">
        <v>590</v>
      </c>
      <c r="E33" s="587" t="s">
        <v>276</v>
      </c>
      <c r="F33" s="585" t="s">
        <v>277</v>
      </c>
      <c r="G33" s="591">
        <f>'Thông tin'!E60</f>
        <v>2.2000000000000002E-2</v>
      </c>
      <c r="H33" s="589"/>
      <c r="I33" s="603"/>
      <c r="J33" s="589">
        <f>(J31)*G33</f>
        <v>45947.225959611431</v>
      </c>
    </row>
    <row r="34" spans="1:10" ht="27.6">
      <c r="A34" s="584"/>
      <c r="B34" s="585"/>
      <c r="C34" s="586" t="s">
        <v>590</v>
      </c>
      <c r="D34" s="133" t="s">
        <v>590</v>
      </c>
      <c r="E34" s="587" t="s">
        <v>279</v>
      </c>
      <c r="F34" s="585" t="s">
        <v>142</v>
      </c>
      <c r="G34" s="591">
        <f>'Thông tin'!E65</f>
        <v>0.02</v>
      </c>
      <c r="H34" s="589"/>
      <c r="I34" s="603"/>
      <c r="J34" s="589">
        <f>(J31)*G34</f>
        <v>41770.205417828569</v>
      </c>
    </row>
    <row r="35" spans="1:10">
      <c r="A35" s="584"/>
      <c r="B35" s="585"/>
      <c r="C35" s="586" t="s">
        <v>590</v>
      </c>
      <c r="D35" s="133" t="s">
        <v>590</v>
      </c>
      <c r="E35" s="587" t="s">
        <v>281</v>
      </c>
      <c r="F35" s="585" t="s">
        <v>282</v>
      </c>
      <c r="G35" s="590"/>
      <c r="H35" s="589"/>
      <c r="I35" s="603"/>
      <c r="J35" s="589">
        <f>J32+J33+J34</f>
        <v>217205.06817270856</v>
      </c>
    </row>
    <row r="36" spans="1:10">
      <c r="A36" s="584"/>
      <c r="B36" s="585"/>
      <c r="C36" s="586" t="s">
        <v>590</v>
      </c>
      <c r="D36" s="133" t="s">
        <v>590</v>
      </c>
      <c r="E36" s="587" t="s">
        <v>284</v>
      </c>
      <c r="F36" s="585" t="s">
        <v>285</v>
      </c>
      <c r="G36" s="591">
        <f>'Thông tin'!E63</f>
        <v>0.06</v>
      </c>
      <c r="H36" s="589"/>
      <c r="I36" s="603"/>
      <c r="J36" s="589">
        <f>(J31+J35)*G36</f>
        <v>138342.92034384821</v>
      </c>
    </row>
    <row r="37" spans="1:10">
      <c r="A37" s="584"/>
      <c r="B37" s="585"/>
      <c r="C37" s="586" t="s">
        <v>590</v>
      </c>
      <c r="D37" s="133" t="s">
        <v>590</v>
      </c>
      <c r="E37" s="592" t="s">
        <v>287</v>
      </c>
      <c r="F37" s="593" t="s">
        <v>288</v>
      </c>
      <c r="G37" s="590"/>
      <c r="H37" s="589"/>
      <c r="I37" s="603"/>
      <c r="J37" s="604">
        <f>J31+J35+J36</f>
        <v>2444058.2594079855</v>
      </c>
    </row>
    <row r="38" spans="1:10">
      <c r="A38" s="584"/>
      <c r="B38" s="585"/>
      <c r="C38" s="586" t="s">
        <v>590</v>
      </c>
      <c r="D38" s="133" t="s">
        <v>590</v>
      </c>
      <c r="E38" s="587" t="s">
        <v>290</v>
      </c>
      <c r="F38" s="585" t="s">
        <v>291</v>
      </c>
      <c r="G38" s="591">
        <f>'Thông tin'!E61</f>
        <v>0.1</v>
      </c>
      <c r="H38" s="589"/>
      <c r="I38" s="603"/>
      <c r="J38" s="589">
        <f>(J37)*G38</f>
        <v>244405.82594079856</v>
      </c>
    </row>
    <row r="39" spans="1:10">
      <c r="A39" s="594"/>
      <c r="B39" s="595"/>
      <c r="C39" s="596" t="s">
        <v>590</v>
      </c>
      <c r="D39" s="137" t="s">
        <v>590</v>
      </c>
      <c r="E39" s="597" t="s">
        <v>293</v>
      </c>
      <c r="F39" s="598" t="s">
        <v>19</v>
      </c>
      <c r="G39" s="599"/>
      <c r="H39" s="600"/>
      <c r="I39" s="605"/>
      <c r="J39" s="606">
        <f>J37+J38</f>
        <v>2688464.085348784</v>
      </c>
    </row>
    <row r="40" spans="1:10" ht="27.6">
      <c r="A40" s="578"/>
      <c r="B40" s="579">
        <v>3</v>
      </c>
      <c r="C40" s="578" t="str">
        <f>'5.Tiên lượng'!C16</f>
        <v>AB.31134</v>
      </c>
      <c r="D40" s="578" t="str">
        <f>'5.Tiên lượng'!C16</f>
        <v>AB.31134</v>
      </c>
      <c r="E40" s="580" t="str">
        <f>'5.Tiên lượng'!D16</f>
        <v>Đào nền đường bằng máy đào 1,25m3 - Cấp đất IV</v>
      </c>
      <c r="F40" s="579" t="str">
        <f>'5.Tiên lượng'!E16</f>
        <v>100m3</v>
      </c>
      <c r="G40" s="581"/>
      <c r="H40" s="582"/>
      <c r="I40" s="602"/>
      <c r="J40" s="582"/>
    </row>
    <row r="41" spans="1:10">
      <c r="A41" s="126"/>
      <c r="B41" s="127"/>
      <c r="C41" s="128" t="s">
        <v>590</v>
      </c>
      <c r="D41" s="128" t="s">
        <v>590</v>
      </c>
      <c r="E41" s="583" t="s">
        <v>262</v>
      </c>
      <c r="F41" s="127" t="s">
        <v>263</v>
      </c>
      <c r="G41" s="130"/>
      <c r="H41" s="131"/>
      <c r="I41" s="143"/>
      <c r="J41" s="131">
        <v>0</v>
      </c>
    </row>
    <row r="42" spans="1:10">
      <c r="A42" s="126"/>
      <c r="B42" s="127"/>
      <c r="C42" s="128" t="s">
        <v>590</v>
      </c>
      <c r="D42" s="128" t="s">
        <v>590</v>
      </c>
      <c r="E42" s="583" t="s">
        <v>265</v>
      </c>
      <c r="F42" s="127" t="s">
        <v>266</v>
      </c>
      <c r="G42" s="130"/>
      <c r="H42" s="131"/>
      <c r="I42" s="143"/>
      <c r="J42" s="131">
        <f>SUM(J43:J43)</f>
        <v>1099652.5799999998</v>
      </c>
    </row>
    <row r="43" spans="1:10">
      <c r="A43" s="584"/>
      <c r="B43" s="585"/>
      <c r="C43" s="586" t="s">
        <v>590</v>
      </c>
      <c r="D43" s="133" t="s">
        <v>598</v>
      </c>
      <c r="E43" s="587" t="str">
        <f>" - "&amp;'Giá NC'!E5</f>
        <v xml:space="preserve"> - Nhân công bậc 3,0/7 - Nhóm 1</v>
      </c>
      <c r="F43" s="585" t="str">
        <f>'Giá NC'!F5</f>
        <v>công</v>
      </c>
      <c r="G43" s="588">
        <f>PTVT!G22</f>
        <v>4.8099999999999996</v>
      </c>
      <c r="H43" s="589">
        <f>'Giá NC'!K5</f>
        <v>228618</v>
      </c>
      <c r="I43" s="603">
        <f>'5.Tiên lượng'!W16</f>
        <v>1</v>
      </c>
      <c r="J43" s="589">
        <f>PRODUCT(G43,H43,I43)</f>
        <v>1099652.5799999998</v>
      </c>
    </row>
    <row r="44" spans="1:10">
      <c r="A44" s="126"/>
      <c r="B44" s="127"/>
      <c r="C44" s="128" t="s">
        <v>590</v>
      </c>
      <c r="D44" s="128" t="s">
        <v>590</v>
      </c>
      <c r="E44" s="583" t="s">
        <v>267</v>
      </c>
      <c r="F44" s="127" t="s">
        <v>268</v>
      </c>
      <c r="G44" s="130"/>
      <c r="H44" s="131"/>
      <c r="I44" s="143"/>
      <c r="J44" s="131">
        <f>SUM(J45:J46)</f>
        <v>1588223.1451285714</v>
      </c>
    </row>
    <row r="45" spans="1:10">
      <c r="A45" s="584"/>
      <c r="B45" s="585"/>
      <c r="C45" s="586" t="s">
        <v>590</v>
      </c>
      <c r="D45" s="133" t="s">
        <v>599</v>
      </c>
      <c r="E45" s="587" t="str">
        <f>" - "&amp;'Giá Máy'!E14</f>
        <v xml:space="preserve"> - Máy đào 1,25m3</v>
      </c>
      <c r="F45" s="585" t="str">
        <f>'Giá Máy'!F14</f>
        <v>ca</v>
      </c>
      <c r="G45" s="588">
        <f>PTVT!G24</f>
        <v>0.42399999999999999</v>
      </c>
      <c r="H45" s="589">
        <f>'Giá Máy'!O14</f>
        <v>3496941.8057142859</v>
      </c>
      <c r="I45" s="603">
        <f>'5.Tiên lượng'!X16</f>
        <v>1</v>
      </c>
      <c r="J45" s="589">
        <f t="shared" ref="J45:J46" si="2">PRODUCT(G45,H45,I45)</f>
        <v>1482703.3256228571</v>
      </c>
    </row>
    <row r="46" spans="1:10">
      <c r="A46" s="584"/>
      <c r="B46" s="585"/>
      <c r="C46" s="586" t="s">
        <v>590</v>
      </c>
      <c r="D46" s="133" t="s">
        <v>600</v>
      </c>
      <c r="E46" s="587" t="str">
        <f>" - "&amp;'Giá Máy'!E29</f>
        <v xml:space="preserve"> - Máy ủi 110CV</v>
      </c>
      <c r="F46" s="585" t="str">
        <f>'Giá Máy'!F29</f>
        <v>ca</v>
      </c>
      <c r="G46" s="588">
        <f>PTVT!G25</f>
        <v>5.8000000000000003E-2</v>
      </c>
      <c r="H46" s="589">
        <f>'Giá Máy'!O29</f>
        <v>1819307.232857143</v>
      </c>
      <c r="I46" s="603">
        <f>'5.Tiên lượng'!X16</f>
        <v>1</v>
      </c>
      <c r="J46" s="589">
        <f t="shared" si="2"/>
        <v>105519.8195057143</v>
      </c>
    </row>
    <row r="47" spans="1:10">
      <c r="A47" s="584"/>
      <c r="B47" s="585"/>
      <c r="C47" s="586" t="s">
        <v>590</v>
      </c>
      <c r="D47" s="133" t="s">
        <v>590</v>
      </c>
      <c r="E47" s="587" t="s">
        <v>269</v>
      </c>
      <c r="F47" s="585" t="s">
        <v>270</v>
      </c>
      <c r="G47" s="590"/>
      <c r="H47" s="589"/>
      <c r="I47" s="603"/>
      <c r="J47" s="589">
        <f>J41+J42+J44</f>
        <v>2687875.7251285715</v>
      </c>
    </row>
    <row r="48" spans="1:10">
      <c r="A48" s="584"/>
      <c r="B48" s="585"/>
      <c r="C48" s="586" t="s">
        <v>590</v>
      </c>
      <c r="D48" s="133" t="s">
        <v>590</v>
      </c>
      <c r="E48" s="587" t="s">
        <v>273</v>
      </c>
      <c r="F48" s="585" t="s">
        <v>274</v>
      </c>
      <c r="G48" s="591">
        <f>'Thông tin'!E67</f>
        <v>6.2E-2</v>
      </c>
      <c r="H48" s="589"/>
      <c r="I48" s="603"/>
      <c r="J48" s="589">
        <f>(J47)*G48</f>
        <v>166648.29495797143</v>
      </c>
    </row>
    <row r="49" spans="1:10">
      <c r="A49" s="584"/>
      <c r="B49" s="585"/>
      <c r="C49" s="586" t="s">
        <v>590</v>
      </c>
      <c r="D49" s="133" t="s">
        <v>590</v>
      </c>
      <c r="E49" s="587" t="s">
        <v>276</v>
      </c>
      <c r="F49" s="585" t="s">
        <v>277</v>
      </c>
      <c r="G49" s="591">
        <f>'Thông tin'!E60</f>
        <v>2.2000000000000002E-2</v>
      </c>
      <c r="H49" s="589"/>
      <c r="I49" s="603"/>
      <c r="J49" s="589">
        <f>(J47)*G49</f>
        <v>59133.26595282858</v>
      </c>
    </row>
    <row r="50" spans="1:10" ht="27.6">
      <c r="A50" s="584"/>
      <c r="B50" s="585"/>
      <c r="C50" s="586" t="s">
        <v>590</v>
      </c>
      <c r="D50" s="133" t="s">
        <v>590</v>
      </c>
      <c r="E50" s="587" t="s">
        <v>279</v>
      </c>
      <c r="F50" s="585" t="s">
        <v>142</v>
      </c>
      <c r="G50" s="591">
        <f>'Thông tin'!E65</f>
        <v>0.02</v>
      </c>
      <c r="H50" s="589"/>
      <c r="I50" s="603"/>
      <c r="J50" s="589">
        <f>(J47)*G50</f>
        <v>53757.51450257143</v>
      </c>
    </row>
    <row r="51" spans="1:10">
      <c r="A51" s="584"/>
      <c r="B51" s="585"/>
      <c r="C51" s="586" t="s">
        <v>590</v>
      </c>
      <c r="D51" s="133" t="s">
        <v>590</v>
      </c>
      <c r="E51" s="587" t="s">
        <v>281</v>
      </c>
      <c r="F51" s="585" t="s">
        <v>282</v>
      </c>
      <c r="G51" s="590"/>
      <c r="H51" s="589"/>
      <c r="I51" s="603"/>
      <c r="J51" s="589">
        <f>J48+J49+J50</f>
        <v>279539.07541337144</v>
      </c>
    </row>
    <row r="52" spans="1:10">
      <c r="A52" s="584"/>
      <c r="B52" s="585"/>
      <c r="C52" s="586" t="s">
        <v>590</v>
      </c>
      <c r="D52" s="133" t="s">
        <v>590</v>
      </c>
      <c r="E52" s="587" t="s">
        <v>284</v>
      </c>
      <c r="F52" s="585" t="s">
        <v>285</v>
      </c>
      <c r="G52" s="591">
        <f>'Thông tin'!E63</f>
        <v>0.06</v>
      </c>
      <c r="H52" s="589"/>
      <c r="I52" s="603"/>
      <c r="J52" s="589">
        <f>(J47+J51)*G52</f>
        <v>178044.88803251658</v>
      </c>
    </row>
    <row r="53" spans="1:10">
      <c r="A53" s="584"/>
      <c r="B53" s="585"/>
      <c r="C53" s="586" t="s">
        <v>590</v>
      </c>
      <c r="D53" s="133" t="s">
        <v>590</v>
      </c>
      <c r="E53" s="592" t="s">
        <v>287</v>
      </c>
      <c r="F53" s="593" t="s">
        <v>288</v>
      </c>
      <c r="G53" s="590"/>
      <c r="H53" s="589"/>
      <c r="I53" s="603"/>
      <c r="J53" s="604">
        <f>J47+J51+J52</f>
        <v>3145459.6885744594</v>
      </c>
    </row>
    <row r="54" spans="1:10">
      <c r="A54" s="584"/>
      <c r="B54" s="585"/>
      <c r="C54" s="586" t="s">
        <v>590</v>
      </c>
      <c r="D54" s="133" t="s">
        <v>590</v>
      </c>
      <c r="E54" s="587" t="s">
        <v>290</v>
      </c>
      <c r="F54" s="585" t="s">
        <v>291</v>
      </c>
      <c r="G54" s="591">
        <f>'Thông tin'!E61</f>
        <v>0.1</v>
      </c>
      <c r="H54" s="589"/>
      <c r="I54" s="603"/>
      <c r="J54" s="589">
        <f>(J53)*G54</f>
        <v>314545.96885744599</v>
      </c>
    </row>
    <row r="55" spans="1:10">
      <c r="A55" s="594"/>
      <c r="B55" s="595"/>
      <c r="C55" s="596" t="s">
        <v>590</v>
      </c>
      <c r="D55" s="137" t="s">
        <v>590</v>
      </c>
      <c r="E55" s="597" t="s">
        <v>293</v>
      </c>
      <c r="F55" s="598" t="s">
        <v>19</v>
      </c>
      <c r="G55" s="599"/>
      <c r="H55" s="600"/>
      <c r="I55" s="605"/>
      <c r="J55" s="606">
        <f>J53+J54</f>
        <v>3460005.6574319052</v>
      </c>
    </row>
    <row r="56" spans="1:10" ht="27.6">
      <c r="A56" s="578"/>
      <c r="B56" s="579">
        <v>4</v>
      </c>
      <c r="C56" s="578" t="str">
        <f>'5.Tiên lượng'!C18</f>
        <v>MD.QĐ792</v>
      </c>
      <c r="D56" s="578" t="str">
        <f>'5.Tiên lượng'!C18</f>
        <v>MD.QĐ792</v>
      </c>
      <c r="E56" s="580" t="str">
        <f>'5.Tiên lượng'!D18</f>
        <v>Đào nền đường đá cấp IV bằng máy đào 1,6m3</v>
      </c>
      <c r="F56" s="579" t="str">
        <f>'5.Tiên lượng'!E18</f>
        <v>m3</v>
      </c>
      <c r="G56" s="581"/>
      <c r="H56" s="582"/>
      <c r="I56" s="602"/>
      <c r="J56" s="582"/>
    </row>
    <row r="57" spans="1:10">
      <c r="A57" s="126"/>
      <c r="B57" s="127"/>
      <c r="C57" s="128" t="s">
        <v>590</v>
      </c>
      <c r="D57" s="128" t="s">
        <v>590</v>
      </c>
      <c r="E57" s="583" t="s">
        <v>262</v>
      </c>
      <c r="F57" s="127" t="s">
        <v>263</v>
      </c>
      <c r="G57" s="130"/>
      <c r="H57" s="131"/>
      <c r="I57" s="143"/>
      <c r="J57" s="131">
        <v>0</v>
      </c>
    </row>
    <row r="58" spans="1:10">
      <c r="A58" s="126"/>
      <c r="B58" s="127"/>
      <c r="C58" s="128" t="s">
        <v>590</v>
      </c>
      <c r="D58" s="128" t="s">
        <v>590</v>
      </c>
      <c r="E58" s="583" t="s">
        <v>265</v>
      </c>
      <c r="F58" s="127" t="s">
        <v>266</v>
      </c>
      <c r="G58" s="130"/>
      <c r="H58" s="131"/>
      <c r="I58" s="143"/>
      <c r="J58" s="131">
        <f>SUM(J59:J59)</f>
        <v>10107.5</v>
      </c>
    </row>
    <row r="59" spans="1:10">
      <c r="A59" s="584"/>
      <c r="B59" s="585"/>
      <c r="C59" s="586" t="s">
        <v>590</v>
      </c>
      <c r="D59" s="133" t="s">
        <v>601</v>
      </c>
      <c r="E59" s="587" t="str">
        <f>" - "&amp;'Giá NC'!E6</f>
        <v xml:space="preserve"> - Nhân công bậc 3,5/7 - Nhóm 1</v>
      </c>
      <c r="F59" s="585" t="str">
        <f>'Giá NC'!F6</f>
        <v>công</v>
      </c>
      <c r="G59" s="588">
        <f>PTVT!G28</f>
        <v>4.0430000000000001E-2</v>
      </c>
      <c r="H59" s="589">
        <f>'Giá NC'!K6</f>
        <v>250000</v>
      </c>
      <c r="I59" s="603">
        <f>'5.Tiên lượng'!W18</f>
        <v>1</v>
      </c>
      <c r="J59" s="589">
        <f>PRODUCT(G59,H59,I59)</f>
        <v>10107.5</v>
      </c>
    </row>
    <row r="60" spans="1:10">
      <c r="A60" s="126"/>
      <c r="B60" s="127"/>
      <c r="C60" s="128" t="s">
        <v>590</v>
      </c>
      <c r="D60" s="128" t="s">
        <v>590</v>
      </c>
      <c r="E60" s="583" t="s">
        <v>267</v>
      </c>
      <c r="F60" s="127" t="s">
        <v>268</v>
      </c>
      <c r="G60" s="130"/>
      <c r="H60" s="131"/>
      <c r="I60" s="143"/>
      <c r="J60" s="131">
        <f>SUM(J61:J62)</f>
        <v>48751.108796099994</v>
      </c>
    </row>
    <row r="61" spans="1:10">
      <c r="A61" s="584"/>
      <c r="B61" s="585"/>
      <c r="C61" s="586" t="s">
        <v>590</v>
      </c>
      <c r="D61" s="133" t="s">
        <v>602</v>
      </c>
      <c r="E61" s="587" t="str">
        <f>" - "&amp;'Giá Máy'!E15</f>
        <v xml:space="preserve"> - Máy đào 1,6m3</v>
      </c>
      <c r="F61" s="585" t="str">
        <f>'Giá Máy'!F15</f>
        <v>ca</v>
      </c>
      <c r="G61" s="588">
        <f>PTVT!G30</f>
        <v>1.123E-2</v>
      </c>
      <c r="H61" s="589">
        <f>'Giá Máy'!O15</f>
        <v>4284448.0199999996</v>
      </c>
      <c r="I61" s="603">
        <f>'5.Tiên lượng'!X18</f>
        <v>1</v>
      </c>
      <c r="J61" s="589">
        <f t="shared" ref="J61:J62" si="3">PRODUCT(G61,H61,I61)</f>
        <v>48114.351264599994</v>
      </c>
    </row>
    <row r="62" spans="1:10">
      <c r="A62" s="584"/>
      <c r="B62" s="585"/>
      <c r="C62" s="586" t="s">
        <v>590</v>
      </c>
      <c r="D62" s="133" t="s">
        <v>600</v>
      </c>
      <c r="E62" s="587" t="str">
        <f>" - "&amp;'Giá Máy'!E29</f>
        <v xml:space="preserve"> - Máy ủi 110CV</v>
      </c>
      <c r="F62" s="585" t="str">
        <f>'Giá Máy'!F29</f>
        <v>ca</v>
      </c>
      <c r="G62" s="588">
        <f>PTVT!G31</f>
        <v>3.5E-4</v>
      </c>
      <c r="H62" s="589">
        <f>'Giá Máy'!O29</f>
        <v>1819307.232857143</v>
      </c>
      <c r="I62" s="603">
        <f>'5.Tiên lượng'!X18</f>
        <v>1</v>
      </c>
      <c r="J62" s="589">
        <f t="shared" si="3"/>
        <v>636.75753150000003</v>
      </c>
    </row>
    <row r="63" spans="1:10">
      <c r="A63" s="584"/>
      <c r="B63" s="585"/>
      <c r="C63" s="586" t="s">
        <v>590</v>
      </c>
      <c r="D63" s="133" t="s">
        <v>590</v>
      </c>
      <c r="E63" s="587" t="s">
        <v>269</v>
      </c>
      <c r="F63" s="585" t="s">
        <v>270</v>
      </c>
      <c r="G63" s="590"/>
      <c r="H63" s="589"/>
      <c r="I63" s="603"/>
      <c r="J63" s="589">
        <f>J57+J58+J60</f>
        <v>58858.608796099994</v>
      </c>
    </row>
    <row r="64" spans="1:10">
      <c r="A64" s="584"/>
      <c r="B64" s="585"/>
      <c r="C64" s="586" t="s">
        <v>590</v>
      </c>
      <c r="D64" s="133" t="s">
        <v>590</v>
      </c>
      <c r="E64" s="587" t="s">
        <v>273</v>
      </c>
      <c r="F64" s="585" t="s">
        <v>274</v>
      </c>
      <c r="G64" s="591">
        <f>'Thông tin'!E67</f>
        <v>6.2E-2</v>
      </c>
      <c r="H64" s="589"/>
      <c r="I64" s="603"/>
      <c r="J64" s="589">
        <f>(J63)*G64</f>
        <v>3649.2337453581995</v>
      </c>
    </row>
    <row r="65" spans="1:10">
      <c r="A65" s="584"/>
      <c r="B65" s="585"/>
      <c r="C65" s="586" t="s">
        <v>590</v>
      </c>
      <c r="D65" s="133" t="s">
        <v>590</v>
      </c>
      <c r="E65" s="587" t="s">
        <v>276</v>
      </c>
      <c r="F65" s="585" t="s">
        <v>277</v>
      </c>
      <c r="G65" s="591">
        <f>'Thông tin'!E60</f>
        <v>2.2000000000000002E-2</v>
      </c>
      <c r="H65" s="589"/>
      <c r="I65" s="603"/>
      <c r="J65" s="589">
        <f>(J63)*G65</f>
        <v>1294.8893935142</v>
      </c>
    </row>
    <row r="66" spans="1:10" ht="27.6">
      <c r="A66" s="584"/>
      <c r="B66" s="585"/>
      <c r="C66" s="586" t="s">
        <v>590</v>
      </c>
      <c r="D66" s="133" t="s">
        <v>590</v>
      </c>
      <c r="E66" s="587" t="s">
        <v>279</v>
      </c>
      <c r="F66" s="585" t="s">
        <v>142</v>
      </c>
      <c r="G66" s="591">
        <f>'Thông tin'!E65</f>
        <v>0.02</v>
      </c>
      <c r="H66" s="589"/>
      <c r="I66" s="603"/>
      <c r="J66" s="589">
        <f>(J63)*G66</f>
        <v>1177.172175922</v>
      </c>
    </row>
    <row r="67" spans="1:10">
      <c r="A67" s="584"/>
      <c r="B67" s="585"/>
      <c r="C67" s="586" t="s">
        <v>590</v>
      </c>
      <c r="D67" s="133" t="s">
        <v>590</v>
      </c>
      <c r="E67" s="587" t="s">
        <v>281</v>
      </c>
      <c r="F67" s="585" t="s">
        <v>282</v>
      </c>
      <c r="G67" s="590"/>
      <c r="H67" s="589"/>
      <c r="I67" s="603"/>
      <c r="J67" s="589">
        <f>J64+J65+J66</f>
        <v>6121.295314794399</v>
      </c>
    </row>
    <row r="68" spans="1:10">
      <c r="A68" s="584"/>
      <c r="B68" s="585"/>
      <c r="C68" s="586" t="s">
        <v>590</v>
      </c>
      <c r="D68" s="133" t="s">
        <v>590</v>
      </c>
      <c r="E68" s="587" t="s">
        <v>284</v>
      </c>
      <c r="F68" s="585" t="s">
        <v>285</v>
      </c>
      <c r="G68" s="591">
        <f>'Thông tin'!E63</f>
        <v>0.06</v>
      </c>
      <c r="H68" s="589"/>
      <c r="I68" s="603"/>
      <c r="J68" s="589">
        <f>(J63+J67)*G68</f>
        <v>3898.7942466536633</v>
      </c>
    </row>
    <row r="69" spans="1:10">
      <c r="A69" s="584"/>
      <c r="B69" s="585"/>
      <c r="C69" s="586" t="s">
        <v>590</v>
      </c>
      <c r="D69" s="133" t="s">
        <v>590</v>
      </c>
      <c r="E69" s="592" t="s">
        <v>287</v>
      </c>
      <c r="F69" s="593" t="s">
        <v>288</v>
      </c>
      <c r="G69" s="590"/>
      <c r="H69" s="589"/>
      <c r="I69" s="603"/>
      <c r="J69" s="604">
        <f>J63+J67+J68</f>
        <v>68878.698357548055</v>
      </c>
    </row>
    <row r="70" spans="1:10">
      <c r="A70" s="584"/>
      <c r="B70" s="585"/>
      <c r="C70" s="586" t="s">
        <v>590</v>
      </c>
      <c r="D70" s="133" t="s">
        <v>590</v>
      </c>
      <c r="E70" s="587" t="s">
        <v>290</v>
      </c>
      <c r="F70" s="585" t="s">
        <v>291</v>
      </c>
      <c r="G70" s="591">
        <f>'Thông tin'!E61</f>
        <v>0.1</v>
      </c>
      <c r="H70" s="589"/>
      <c r="I70" s="603"/>
      <c r="J70" s="589">
        <f>(J69)*G70</f>
        <v>6887.8698357548055</v>
      </c>
    </row>
    <row r="71" spans="1:10">
      <c r="A71" s="594"/>
      <c r="B71" s="595"/>
      <c r="C71" s="596" t="s">
        <v>590</v>
      </c>
      <c r="D71" s="137" t="s">
        <v>590</v>
      </c>
      <c r="E71" s="597" t="s">
        <v>293</v>
      </c>
      <c r="F71" s="598" t="s">
        <v>19</v>
      </c>
      <c r="G71" s="599"/>
      <c r="H71" s="600"/>
      <c r="I71" s="605"/>
      <c r="J71" s="606">
        <f>J69+J70</f>
        <v>75766.568193302868</v>
      </c>
    </row>
    <row r="72" spans="1:10" ht="27.6">
      <c r="A72" s="578"/>
      <c r="B72" s="579">
        <v>5</v>
      </c>
      <c r="C72" s="578" t="str">
        <f>'5.Tiên lượng'!C19</f>
        <v>AB.31134VD</v>
      </c>
      <c r="D72" s="578" t="str">
        <f>'5.Tiên lượng'!C19</f>
        <v>AB.31134VD</v>
      </c>
      <c r="E72" s="580" t="str">
        <f>'5.Tiên lượng'!D19</f>
        <v>Đào đường cũ cấp phối bằng máy đào 1,25m3</v>
      </c>
      <c r="F72" s="579" t="str">
        <f>'5.Tiên lượng'!E19</f>
        <v>m3</v>
      </c>
      <c r="G72" s="581"/>
      <c r="H72" s="582"/>
      <c r="I72" s="602"/>
      <c r="J72" s="582"/>
    </row>
    <row r="73" spans="1:10">
      <c r="A73" s="126"/>
      <c r="B73" s="127"/>
      <c r="C73" s="128" t="s">
        <v>590</v>
      </c>
      <c r="D73" s="128" t="s">
        <v>590</v>
      </c>
      <c r="E73" s="583" t="s">
        <v>262</v>
      </c>
      <c r="F73" s="127" t="s">
        <v>263</v>
      </c>
      <c r="G73" s="130"/>
      <c r="H73" s="131"/>
      <c r="I73" s="143"/>
      <c r="J73" s="131">
        <v>0</v>
      </c>
    </row>
    <row r="74" spans="1:10">
      <c r="A74" s="126"/>
      <c r="B74" s="127"/>
      <c r="C74" s="128" t="s">
        <v>590</v>
      </c>
      <c r="D74" s="128" t="s">
        <v>590</v>
      </c>
      <c r="E74" s="583" t="s">
        <v>265</v>
      </c>
      <c r="F74" s="127" t="s">
        <v>266</v>
      </c>
      <c r="G74" s="130"/>
      <c r="H74" s="131"/>
      <c r="I74" s="143"/>
      <c r="J74" s="131">
        <f>SUM(J75:J75)</f>
        <v>10996.525799999999</v>
      </c>
    </row>
    <row r="75" spans="1:10">
      <c r="A75" s="584"/>
      <c r="B75" s="585"/>
      <c r="C75" s="586" t="s">
        <v>590</v>
      </c>
      <c r="D75" s="133" t="s">
        <v>598</v>
      </c>
      <c r="E75" s="587" t="str">
        <f>" - "&amp;'Giá NC'!E5</f>
        <v xml:space="preserve"> - Nhân công bậc 3,0/7 - Nhóm 1</v>
      </c>
      <c r="F75" s="585" t="str">
        <f>'Giá NC'!F5</f>
        <v>công</v>
      </c>
      <c r="G75" s="588">
        <f>PTVT!G34</f>
        <v>4.8099999999999997E-2</v>
      </c>
      <c r="H75" s="589">
        <f>'Giá NC'!K5</f>
        <v>228618</v>
      </c>
      <c r="I75" s="603">
        <f>'5.Tiên lượng'!W19</f>
        <v>1</v>
      </c>
      <c r="J75" s="589">
        <f>PRODUCT(G75,H75,I75)</f>
        <v>10996.525799999999</v>
      </c>
    </row>
    <row r="76" spans="1:10">
      <c r="A76" s="126"/>
      <c r="B76" s="127"/>
      <c r="C76" s="128" t="s">
        <v>590</v>
      </c>
      <c r="D76" s="128" t="s">
        <v>590</v>
      </c>
      <c r="E76" s="583" t="s">
        <v>267</v>
      </c>
      <c r="F76" s="127" t="s">
        <v>268</v>
      </c>
      <c r="G76" s="130"/>
      <c r="H76" s="131"/>
      <c r="I76" s="143"/>
      <c r="J76" s="131">
        <f>SUM(J77:J78)</f>
        <v>15882.231451285714</v>
      </c>
    </row>
    <row r="77" spans="1:10">
      <c r="A77" s="584"/>
      <c r="B77" s="585"/>
      <c r="C77" s="586" t="s">
        <v>590</v>
      </c>
      <c r="D77" s="133" t="s">
        <v>599</v>
      </c>
      <c r="E77" s="587" t="str">
        <f>" - "&amp;'Giá Máy'!E14</f>
        <v xml:space="preserve"> - Máy đào 1,25m3</v>
      </c>
      <c r="F77" s="585" t="str">
        <f>'Giá Máy'!F14</f>
        <v>ca</v>
      </c>
      <c r="G77" s="588">
        <f>PTVT!G36</f>
        <v>4.2399999999999998E-3</v>
      </c>
      <c r="H77" s="589">
        <f>'Giá Máy'!O14</f>
        <v>3496941.8057142859</v>
      </c>
      <c r="I77" s="603">
        <f>'5.Tiên lượng'!X19</f>
        <v>1</v>
      </c>
      <c r="J77" s="589">
        <f t="shared" ref="J77:J78" si="4">PRODUCT(G77,H77,I77)</f>
        <v>14827.033256228571</v>
      </c>
    </row>
    <row r="78" spans="1:10">
      <c r="A78" s="584"/>
      <c r="B78" s="585"/>
      <c r="C78" s="586" t="s">
        <v>590</v>
      </c>
      <c r="D78" s="133" t="s">
        <v>600</v>
      </c>
      <c r="E78" s="587" t="str">
        <f>" - "&amp;'Giá Máy'!E29</f>
        <v xml:space="preserve"> - Máy ủi 110CV</v>
      </c>
      <c r="F78" s="585" t="str">
        <f>'Giá Máy'!F29</f>
        <v>ca</v>
      </c>
      <c r="G78" s="588">
        <f>PTVT!G37</f>
        <v>5.8E-4</v>
      </c>
      <c r="H78" s="589">
        <f>'Giá Máy'!O29</f>
        <v>1819307.232857143</v>
      </c>
      <c r="I78" s="603">
        <f>'5.Tiên lượng'!X19</f>
        <v>1</v>
      </c>
      <c r="J78" s="589">
        <f t="shared" si="4"/>
        <v>1055.198195057143</v>
      </c>
    </row>
    <row r="79" spans="1:10">
      <c r="A79" s="584"/>
      <c r="B79" s="585"/>
      <c r="C79" s="586" t="s">
        <v>590</v>
      </c>
      <c r="D79" s="133" t="s">
        <v>590</v>
      </c>
      <c r="E79" s="587" t="s">
        <v>269</v>
      </c>
      <c r="F79" s="585" t="s">
        <v>270</v>
      </c>
      <c r="G79" s="590"/>
      <c r="H79" s="589"/>
      <c r="I79" s="603"/>
      <c r="J79" s="589">
        <f>J73+J74+J76</f>
        <v>26878.757251285715</v>
      </c>
    </row>
    <row r="80" spans="1:10">
      <c r="A80" s="584"/>
      <c r="B80" s="585"/>
      <c r="C80" s="586" t="s">
        <v>590</v>
      </c>
      <c r="D80" s="133" t="s">
        <v>590</v>
      </c>
      <c r="E80" s="587" t="s">
        <v>273</v>
      </c>
      <c r="F80" s="585" t="s">
        <v>274</v>
      </c>
      <c r="G80" s="591">
        <f>'Thông tin'!E67</f>
        <v>6.2E-2</v>
      </c>
      <c r="H80" s="589"/>
      <c r="I80" s="603"/>
      <c r="J80" s="589">
        <f>(J79)*G80</f>
        <v>1666.4829495797144</v>
      </c>
    </row>
    <row r="81" spans="1:10">
      <c r="A81" s="584"/>
      <c r="B81" s="585"/>
      <c r="C81" s="586" t="s">
        <v>590</v>
      </c>
      <c r="D81" s="133" t="s">
        <v>590</v>
      </c>
      <c r="E81" s="587" t="s">
        <v>276</v>
      </c>
      <c r="F81" s="585" t="s">
        <v>277</v>
      </c>
      <c r="G81" s="591">
        <f>'Thông tin'!E60</f>
        <v>2.2000000000000002E-2</v>
      </c>
      <c r="H81" s="589"/>
      <c r="I81" s="603"/>
      <c r="J81" s="589">
        <f>(J79)*G81</f>
        <v>591.33265952828583</v>
      </c>
    </row>
    <row r="82" spans="1:10" ht="27.6">
      <c r="A82" s="584"/>
      <c r="B82" s="585"/>
      <c r="C82" s="586" t="s">
        <v>590</v>
      </c>
      <c r="D82" s="133" t="s">
        <v>590</v>
      </c>
      <c r="E82" s="587" t="s">
        <v>279</v>
      </c>
      <c r="F82" s="585" t="s">
        <v>142</v>
      </c>
      <c r="G82" s="591">
        <f>'Thông tin'!E65</f>
        <v>0.02</v>
      </c>
      <c r="H82" s="589"/>
      <c r="I82" s="603"/>
      <c r="J82" s="589">
        <f>(J79)*G82</f>
        <v>537.57514502571428</v>
      </c>
    </row>
    <row r="83" spans="1:10">
      <c r="A83" s="584"/>
      <c r="B83" s="585"/>
      <c r="C83" s="586" t="s">
        <v>590</v>
      </c>
      <c r="D83" s="133" t="s">
        <v>590</v>
      </c>
      <c r="E83" s="587" t="s">
        <v>281</v>
      </c>
      <c r="F83" s="585" t="s">
        <v>282</v>
      </c>
      <c r="G83" s="590"/>
      <c r="H83" s="589"/>
      <c r="I83" s="603"/>
      <c r="J83" s="589">
        <f>J80+J81+J82</f>
        <v>2795.3907541337144</v>
      </c>
    </row>
    <row r="84" spans="1:10">
      <c r="A84" s="584"/>
      <c r="B84" s="585"/>
      <c r="C84" s="586" t="s">
        <v>590</v>
      </c>
      <c r="D84" s="133" t="s">
        <v>590</v>
      </c>
      <c r="E84" s="587" t="s">
        <v>284</v>
      </c>
      <c r="F84" s="585" t="s">
        <v>285</v>
      </c>
      <c r="G84" s="591">
        <f>'Thông tin'!E63</f>
        <v>0.06</v>
      </c>
      <c r="H84" s="589"/>
      <c r="I84" s="603"/>
      <c r="J84" s="589">
        <f>(J79+J83)*G84</f>
        <v>1780.4488803251656</v>
      </c>
    </row>
    <row r="85" spans="1:10">
      <c r="A85" s="584"/>
      <c r="B85" s="585"/>
      <c r="C85" s="586" t="s">
        <v>590</v>
      </c>
      <c r="D85" s="133" t="s">
        <v>590</v>
      </c>
      <c r="E85" s="592" t="s">
        <v>287</v>
      </c>
      <c r="F85" s="593" t="s">
        <v>288</v>
      </c>
      <c r="G85" s="590"/>
      <c r="H85" s="589"/>
      <c r="I85" s="603"/>
      <c r="J85" s="604">
        <f>J79+J83+J84</f>
        <v>31454.596885744595</v>
      </c>
    </row>
    <row r="86" spans="1:10">
      <c r="A86" s="584"/>
      <c r="B86" s="585"/>
      <c r="C86" s="586" t="s">
        <v>590</v>
      </c>
      <c r="D86" s="133" t="s">
        <v>590</v>
      </c>
      <c r="E86" s="587" t="s">
        <v>290</v>
      </c>
      <c r="F86" s="585" t="s">
        <v>291</v>
      </c>
      <c r="G86" s="591">
        <f>'Thông tin'!E61</f>
        <v>0.1</v>
      </c>
      <c r="H86" s="589"/>
      <c r="I86" s="603"/>
      <c r="J86" s="589">
        <f>(J85)*G86</f>
        <v>3145.4596885744595</v>
      </c>
    </row>
    <row r="87" spans="1:10">
      <c r="A87" s="594"/>
      <c r="B87" s="595"/>
      <c r="C87" s="596" t="s">
        <v>590</v>
      </c>
      <c r="D87" s="137" t="s">
        <v>590</v>
      </c>
      <c r="E87" s="597" t="s">
        <v>293</v>
      </c>
      <c r="F87" s="598" t="s">
        <v>19</v>
      </c>
      <c r="G87" s="599"/>
      <c r="H87" s="600"/>
      <c r="I87" s="605"/>
      <c r="J87" s="606">
        <f>J85+J86</f>
        <v>34600.056574319053</v>
      </c>
    </row>
    <row r="88" spans="1:10">
      <c r="A88" s="578"/>
      <c r="B88" s="579">
        <v>6</v>
      </c>
      <c r="C88" s="578" t="str">
        <f>'5.Tiên lượng'!C21</f>
        <v>AB.31132(VD)</v>
      </c>
      <c r="D88" s="578" t="str">
        <f>'5.Tiên lượng'!C21</f>
        <v>AB.31132(VD)</v>
      </c>
      <c r="E88" s="580" t="str">
        <f>'5.Tiên lượng'!D21</f>
        <v>Đào rãnh bằng máy đào 1,25m3 - Cấp đất II</v>
      </c>
      <c r="F88" s="579" t="str">
        <f>'5.Tiên lượng'!E21</f>
        <v>100m3</v>
      </c>
      <c r="G88" s="581"/>
      <c r="H88" s="582"/>
      <c r="I88" s="602"/>
      <c r="J88" s="582"/>
    </row>
    <row r="89" spans="1:10">
      <c r="A89" s="126"/>
      <c r="B89" s="127"/>
      <c r="C89" s="128" t="s">
        <v>590</v>
      </c>
      <c r="D89" s="128" t="s">
        <v>590</v>
      </c>
      <c r="E89" s="583" t="s">
        <v>262</v>
      </c>
      <c r="F89" s="127" t="s">
        <v>263</v>
      </c>
      <c r="G89" s="130"/>
      <c r="H89" s="131"/>
      <c r="I89" s="143"/>
      <c r="J89" s="131">
        <v>0</v>
      </c>
    </row>
    <row r="90" spans="1:10">
      <c r="A90" s="126"/>
      <c r="B90" s="127"/>
      <c r="C90" s="128" t="s">
        <v>590</v>
      </c>
      <c r="D90" s="128" t="s">
        <v>590</v>
      </c>
      <c r="E90" s="583" t="s">
        <v>265</v>
      </c>
      <c r="F90" s="127" t="s">
        <v>266</v>
      </c>
      <c r="G90" s="130"/>
      <c r="H90" s="131"/>
      <c r="I90" s="143"/>
      <c r="J90" s="131">
        <f>SUM(J91:J91)</f>
        <v>775015.02</v>
      </c>
    </row>
    <row r="91" spans="1:10">
      <c r="A91" s="584"/>
      <c r="B91" s="585"/>
      <c r="C91" s="586" t="s">
        <v>590</v>
      </c>
      <c r="D91" s="133" t="s">
        <v>598</v>
      </c>
      <c r="E91" s="587" t="str">
        <f>" - "&amp;'Giá NC'!E5</f>
        <v xml:space="preserve"> - Nhân công bậc 3,0/7 - Nhóm 1</v>
      </c>
      <c r="F91" s="585" t="str">
        <f>'Giá NC'!F5</f>
        <v>công</v>
      </c>
      <c r="G91" s="588">
        <f>PTVT!G40</f>
        <v>3.39</v>
      </c>
      <c r="H91" s="589">
        <f>'Giá NC'!K5</f>
        <v>228618</v>
      </c>
      <c r="I91" s="603">
        <f>'5.Tiên lượng'!W21</f>
        <v>1</v>
      </c>
      <c r="J91" s="589">
        <f>PRODUCT(G91,H91,I91)</f>
        <v>775015.02</v>
      </c>
    </row>
    <row r="92" spans="1:10">
      <c r="A92" s="126"/>
      <c r="B92" s="127"/>
      <c r="C92" s="128" t="s">
        <v>590</v>
      </c>
      <c r="D92" s="128" t="s">
        <v>590</v>
      </c>
      <c r="E92" s="583" t="s">
        <v>267</v>
      </c>
      <c r="F92" s="127" t="s">
        <v>268</v>
      </c>
      <c r="G92" s="130"/>
      <c r="H92" s="131"/>
      <c r="I92" s="143"/>
      <c r="J92" s="131">
        <f>SUM(J93:J94)</f>
        <v>923192.63670857158</v>
      </c>
    </row>
    <row r="93" spans="1:10">
      <c r="A93" s="584"/>
      <c r="B93" s="585"/>
      <c r="C93" s="586" t="s">
        <v>590</v>
      </c>
      <c r="D93" s="133" t="s">
        <v>599</v>
      </c>
      <c r="E93" s="587" t="str">
        <f>" - "&amp;'Giá Máy'!E14</f>
        <v xml:space="preserve"> - Máy đào 1,25m3</v>
      </c>
      <c r="F93" s="585" t="str">
        <f>'Giá Máy'!F14</f>
        <v>ca</v>
      </c>
      <c r="G93" s="588">
        <f>PTVT!G42</f>
        <v>0.26400000000000001</v>
      </c>
      <c r="H93" s="589">
        <f>'Giá Máy'!O14</f>
        <v>3496941.8057142859</v>
      </c>
      <c r="I93" s="603">
        <f>'5.Tiên lượng'!X21</f>
        <v>1</v>
      </c>
      <c r="J93" s="589">
        <f t="shared" ref="J93" si="5">PRODUCT(G93,H93,I93)</f>
        <v>923192.63670857158</v>
      </c>
    </row>
    <row r="94" spans="1:10">
      <c r="A94" s="584"/>
      <c r="B94" s="585"/>
      <c r="C94" s="586" t="s">
        <v>590</v>
      </c>
      <c r="D94" s="133" t="s">
        <v>600</v>
      </c>
      <c r="E94" s="587" t="str">
        <f>" - "&amp;'Giá Máy'!E29</f>
        <v xml:space="preserve"> - Máy ủi 110CV</v>
      </c>
      <c r="F94" s="585" t="str">
        <f>'Giá Máy'!F29</f>
        <v>ca</v>
      </c>
      <c r="G94" s="588"/>
      <c r="H94" s="589"/>
      <c r="I94" s="603"/>
      <c r="J94" s="589"/>
    </row>
    <row r="95" spans="1:10">
      <c r="A95" s="584"/>
      <c r="B95" s="585"/>
      <c r="C95" s="586" t="s">
        <v>590</v>
      </c>
      <c r="D95" s="133" t="s">
        <v>590</v>
      </c>
      <c r="E95" s="587" t="s">
        <v>269</v>
      </c>
      <c r="F95" s="585" t="s">
        <v>270</v>
      </c>
      <c r="G95" s="590"/>
      <c r="H95" s="589"/>
      <c r="I95" s="603"/>
      <c r="J95" s="589">
        <f>J89+J90+J92</f>
        <v>1698207.6567085716</v>
      </c>
    </row>
    <row r="96" spans="1:10">
      <c r="A96" s="584"/>
      <c r="B96" s="585"/>
      <c r="C96" s="586" t="s">
        <v>590</v>
      </c>
      <c r="D96" s="133" t="s">
        <v>590</v>
      </c>
      <c r="E96" s="587" t="s">
        <v>273</v>
      </c>
      <c r="F96" s="585" t="s">
        <v>274</v>
      </c>
      <c r="G96" s="591">
        <f>'Thông tin'!E67</f>
        <v>6.2E-2</v>
      </c>
      <c r="H96" s="589"/>
      <c r="I96" s="603"/>
      <c r="J96" s="589">
        <f>(J95)*G96</f>
        <v>105288.87471593144</v>
      </c>
    </row>
    <row r="97" spans="1:10">
      <c r="A97" s="584"/>
      <c r="B97" s="585"/>
      <c r="C97" s="586" t="s">
        <v>590</v>
      </c>
      <c r="D97" s="133" t="s">
        <v>590</v>
      </c>
      <c r="E97" s="587" t="s">
        <v>276</v>
      </c>
      <c r="F97" s="585" t="s">
        <v>277</v>
      </c>
      <c r="G97" s="591">
        <f>'Thông tin'!E60</f>
        <v>2.2000000000000002E-2</v>
      </c>
      <c r="H97" s="589"/>
      <c r="I97" s="603"/>
      <c r="J97" s="589">
        <f>(J95)*G97</f>
        <v>37360.568447588579</v>
      </c>
    </row>
    <row r="98" spans="1:10" ht="27.6">
      <c r="A98" s="584"/>
      <c r="B98" s="585"/>
      <c r="C98" s="586" t="s">
        <v>590</v>
      </c>
      <c r="D98" s="133" t="s">
        <v>590</v>
      </c>
      <c r="E98" s="587" t="s">
        <v>279</v>
      </c>
      <c r="F98" s="585" t="s">
        <v>142</v>
      </c>
      <c r="G98" s="591">
        <f>'Thông tin'!E65</f>
        <v>0.02</v>
      </c>
      <c r="H98" s="589"/>
      <c r="I98" s="603"/>
      <c r="J98" s="589">
        <f>(J95)*G98</f>
        <v>33964.153134171429</v>
      </c>
    </row>
    <row r="99" spans="1:10">
      <c r="A99" s="584"/>
      <c r="B99" s="585"/>
      <c r="C99" s="586" t="s">
        <v>590</v>
      </c>
      <c r="D99" s="133" t="s">
        <v>590</v>
      </c>
      <c r="E99" s="587" t="s">
        <v>281</v>
      </c>
      <c r="F99" s="585" t="s">
        <v>282</v>
      </c>
      <c r="G99" s="590"/>
      <c r="H99" s="589"/>
      <c r="I99" s="603"/>
      <c r="J99" s="589">
        <f>J96+J97+J98</f>
        <v>176613.59629769146</v>
      </c>
    </row>
    <row r="100" spans="1:10">
      <c r="A100" s="584"/>
      <c r="B100" s="585"/>
      <c r="C100" s="586" t="s">
        <v>590</v>
      </c>
      <c r="D100" s="133" t="s">
        <v>590</v>
      </c>
      <c r="E100" s="587" t="s">
        <v>284</v>
      </c>
      <c r="F100" s="585" t="s">
        <v>285</v>
      </c>
      <c r="G100" s="591">
        <f>'Thông tin'!E63</f>
        <v>0.06</v>
      </c>
      <c r="H100" s="589"/>
      <c r="I100" s="603"/>
      <c r="J100" s="589">
        <f>(J95+J99)*G100</f>
        <v>112489.27518037579</v>
      </c>
    </row>
    <row r="101" spans="1:10">
      <c r="A101" s="584"/>
      <c r="B101" s="585"/>
      <c r="C101" s="586" t="s">
        <v>590</v>
      </c>
      <c r="D101" s="133" t="s">
        <v>590</v>
      </c>
      <c r="E101" s="592" t="s">
        <v>287</v>
      </c>
      <c r="F101" s="593" t="s">
        <v>288</v>
      </c>
      <c r="G101" s="590"/>
      <c r="H101" s="589"/>
      <c r="I101" s="603"/>
      <c r="J101" s="604">
        <f>J95+J99+J100</f>
        <v>1987310.5281866388</v>
      </c>
    </row>
    <row r="102" spans="1:10">
      <c r="A102" s="584"/>
      <c r="B102" s="585"/>
      <c r="C102" s="586" t="s">
        <v>590</v>
      </c>
      <c r="D102" s="133" t="s">
        <v>590</v>
      </c>
      <c r="E102" s="587" t="s">
        <v>290</v>
      </c>
      <c r="F102" s="585" t="s">
        <v>291</v>
      </c>
      <c r="G102" s="591">
        <f>'Thông tin'!E61</f>
        <v>0.1</v>
      </c>
      <c r="H102" s="589"/>
      <c r="I102" s="603"/>
      <c r="J102" s="589">
        <f>(J101)*G102</f>
        <v>198731.05281866388</v>
      </c>
    </row>
    <row r="103" spans="1:10">
      <c r="A103" s="594"/>
      <c r="B103" s="595"/>
      <c r="C103" s="596" t="s">
        <v>590</v>
      </c>
      <c r="D103" s="137" t="s">
        <v>590</v>
      </c>
      <c r="E103" s="597" t="s">
        <v>293</v>
      </c>
      <c r="F103" s="598" t="s">
        <v>19</v>
      </c>
      <c r="G103" s="599"/>
      <c r="H103" s="600"/>
      <c r="I103" s="605"/>
      <c r="J103" s="606">
        <f>J101+J102</f>
        <v>2186041.5810053027</v>
      </c>
    </row>
    <row r="104" spans="1:10">
      <c r="A104" s="578"/>
      <c r="B104" s="579">
        <v>7</v>
      </c>
      <c r="C104" s="578" t="str">
        <f>'5.Tiên lượng'!C23</f>
        <v>AB.31133(VD)</v>
      </c>
      <c r="D104" s="578" t="str">
        <f>'5.Tiên lượng'!C23</f>
        <v>AB.31133(VD)</v>
      </c>
      <c r="E104" s="580" t="str">
        <f>'5.Tiên lượng'!D23</f>
        <v>Đào rãnh bằng máy đào 1,25m3 - Cấp đất III</v>
      </c>
      <c r="F104" s="579" t="str">
        <f>'5.Tiên lượng'!E23</f>
        <v>100m3</v>
      </c>
      <c r="G104" s="581"/>
      <c r="H104" s="582"/>
      <c r="I104" s="602"/>
      <c r="J104" s="582"/>
    </row>
    <row r="105" spans="1:10">
      <c r="A105" s="126"/>
      <c r="B105" s="127"/>
      <c r="C105" s="128" t="s">
        <v>590</v>
      </c>
      <c r="D105" s="128" t="s">
        <v>590</v>
      </c>
      <c r="E105" s="583" t="s">
        <v>262</v>
      </c>
      <c r="F105" s="127" t="s">
        <v>263</v>
      </c>
      <c r="G105" s="130"/>
      <c r="H105" s="131"/>
      <c r="I105" s="143"/>
      <c r="J105" s="131">
        <v>0</v>
      </c>
    </row>
    <row r="106" spans="1:10">
      <c r="A106" s="126"/>
      <c r="B106" s="127"/>
      <c r="C106" s="128" t="s">
        <v>590</v>
      </c>
      <c r="D106" s="128" t="s">
        <v>590</v>
      </c>
      <c r="E106" s="583" t="s">
        <v>265</v>
      </c>
      <c r="F106" s="127" t="s">
        <v>266</v>
      </c>
      <c r="G106" s="130"/>
      <c r="H106" s="131"/>
      <c r="I106" s="143"/>
      <c r="J106" s="131">
        <f>SUM(J107:J107)</f>
        <v>928189.08</v>
      </c>
    </row>
    <row r="107" spans="1:10">
      <c r="A107" s="584"/>
      <c r="B107" s="585"/>
      <c r="C107" s="586" t="s">
        <v>590</v>
      </c>
      <c r="D107" s="133" t="s">
        <v>598</v>
      </c>
      <c r="E107" s="587" t="str">
        <f>" - "&amp;'Giá NC'!E5</f>
        <v xml:space="preserve"> - Nhân công bậc 3,0/7 - Nhóm 1</v>
      </c>
      <c r="F107" s="585" t="str">
        <f>'Giá NC'!F5</f>
        <v>công</v>
      </c>
      <c r="G107" s="588">
        <f>PTVT!G46</f>
        <v>4.0599999999999996</v>
      </c>
      <c r="H107" s="589">
        <f>'Giá NC'!K5</f>
        <v>228618</v>
      </c>
      <c r="I107" s="603">
        <f>'5.Tiên lượng'!W23</f>
        <v>1</v>
      </c>
      <c r="J107" s="589">
        <f>PRODUCT(G107,H107,I107)</f>
        <v>928189.08</v>
      </c>
    </row>
    <row r="108" spans="1:10">
      <c r="A108" s="126"/>
      <c r="B108" s="127"/>
      <c r="C108" s="128" t="s">
        <v>590</v>
      </c>
      <c r="D108" s="128" t="s">
        <v>590</v>
      </c>
      <c r="E108" s="583" t="s">
        <v>267</v>
      </c>
      <c r="F108" s="127" t="s">
        <v>268</v>
      </c>
      <c r="G108" s="130"/>
      <c r="H108" s="131"/>
      <c r="I108" s="143"/>
      <c r="J108" s="131">
        <f>SUM(J109:J110)</f>
        <v>1087548.901577143</v>
      </c>
    </row>
    <row r="109" spans="1:10">
      <c r="A109" s="584"/>
      <c r="B109" s="585"/>
      <c r="C109" s="586" t="s">
        <v>590</v>
      </c>
      <c r="D109" s="133" t="s">
        <v>599</v>
      </c>
      <c r="E109" s="587" t="str">
        <f>" - "&amp;'Giá Máy'!E14</f>
        <v xml:space="preserve"> - Máy đào 1,25m3</v>
      </c>
      <c r="F109" s="585" t="str">
        <f>'Giá Máy'!F14</f>
        <v>ca</v>
      </c>
      <c r="G109" s="588">
        <f>PTVT!G48</f>
        <v>0.311</v>
      </c>
      <c r="H109" s="589">
        <f>'Giá Máy'!O14</f>
        <v>3496941.8057142859</v>
      </c>
      <c r="I109" s="603">
        <f>'5.Tiên lượng'!X23</f>
        <v>1</v>
      </c>
      <c r="J109" s="589">
        <f t="shared" ref="J109" si="6">PRODUCT(G109,H109,I109)</f>
        <v>1087548.901577143</v>
      </c>
    </row>
    <row r="110" spans="1:10">
      <c r="A110" s="584"/>
      <c r="B110" s="585"/>
      <c r="C110" s="586" t="s">
        <v>590</v>
      </c>
      <c r="D110" s="133" t="s">
        <v>600</v>
      </c>
      <c r="E110" s="587"/>
      <c r="F110" s="585"/>
      <c r="G110" s="588"/>
      <c r="H110" s="589"/>
      <c r="I110" s="603"/>
      <c r="J110" s="589"/>
    </row>
    <row r="111" spans="1:10">
      <c r="A111" s="584"/>
      <c r="B111" s="585"/>
      <c r="C111" s="586" t="s">
        <v>590</v>
      </c>
      <c r="D111" s="133" t="s">
        <v>590</v>
      </c>
      <c r="E111" s="587" t="s">
        <v>269</v>
      </c>
      <c r="F111" s="585" t="s">
        <v>270</v>
      </c>
      <c r="G111" s="590"/>
      <c r="H111" s="589"/>
      <c r="I111" s="603"/>
      <c r="J111" s="589">
        <f>J105+J106+J108</f>
        <v>2015737.9815771431</v>
      </c>
    </row>
    <row r="112" spans="1:10">
      <c r="A112" s="584"/>
      <c r="B112" s="585"/>
      <c r="C112" s="586" t="s">
        <v>590</v>
      </c>
      <c r="D112" s="133" t="s">
        <v>590</v>
      </c>
      <c r="E112" s="587" t="s">
        <v>273</v>
      </c>
      <c r="F112" s="585" t="s">
        <v>274</v>
      </c>
      <c r="G112" s="591">
        <f>'Thông tin'!E67</f>
        <v>6.2E-2</v>
      </c>
      <c r="H112" s="589"/>
      <c r="I112" s="603"/>
      <c r="J112" s="589">
        <f>(J111)*G112</f>
        <v>124975.75485778287</v>
      </c>
    </row>
    <row r="113" spans="1:10">
      <c r="A113" s="584"/>
      <c r="B113" s="585"/>
      <c r="C113" s="586" t="s">
        <v>590</v>
      </c>
      <c r="D113" s="133" t="s">
        <v>590</v>
      </c>
      <c r="E113" s="587" t="s">
        <v>276</v>
      </c>
      <c r="F113" s="585" t="s">
        <v>277</v>
      </c>
      <c r="G113" s="591">
        <f>'Thông tin'!E60</f>
        <v>2.2000000000000002E-2</v>
      </c>
      <c r="H113" s="589"/>
      <c r="I113" s="603"/>
      <c r="J113" s="589">
        <f>(J111)*G113</f>
        <v>44346.235594697151</v>
      </c>
    </row>
    <row r="114" spans="1:10" ht="27.6">
      <c r="A114" s="584"/>
      <c r="B114" s="585"/>
      <c r="C114" s="586" t="s">
        <v>590</v>
      </c>
      <c r="D114" s="133" t="s">
        <v>590</v>
      </c>
      <c r="E114" s="587" t="s">
        <v>279</v>
      </c>
      <c r="F114" s="585" t="s">
        <v>142</v>
      </c>
      <c r="G114" s="591">
        <f>'Thông tin'!E65</f>
        <v>0.02</v>
      </c>
      <c r="H114" s="589"/>
      <c r="I114" s="603"/>
      <c r="J114" s="589">
        <f>(J111)*G114</f>
        <v>40314.75963154286</v>
      </c>
    </row>
    <row r="115" spans="1:10">
      <c r="A115" s="584"/>
      <c r="B115" s="585"/>
      <c r="C115" s="586" t="s">
        <v>590</v>
      </c>
      <c r="D115" s="133" t="s">
        <v>590</v>
      </c>
      <c r="E115" s="587" t="s">
        <v>281</v>
      </c>
      <c r="F115" s="585" t="s">
        <v>282</v>
      </c>
      <c r="G115" s="590"/>
      <c r="H115" s="589"/>
      <c r="I115" s="603"/>
      <c r="J115" s="589">
        <f>J112+J113+J114</f>
        <v>209636.7500840229</v>
      </c>
    </row>
    <row r="116" spans="1:10">
      <c r="A116" s="584"/>
      <c r="B116" s="585"/>
      <c r="C116" s="586" t="s">
        <v>590</v>
      </c>
      <c r="D116" s="133" t="s">
        <v>590</v>
      </c>
      <c r="E116" s="587" t="s">
        <v>284</v>
      </c>
      <c r="F116" s="585" t="s">
        <v>285</v>
      </c>
      <c r="G116" s="591">
        <f>'Thông tin'!E63</f>
        <v>0.06</v>
      </c>
      <c r="H116" s="589"/>
      <c r="I116" s="603"/>
      <c r="J116" s="589">
        <f>(J111+J115)*G116</f>
        <v>133522.48389966995</v>
      </c>
    </row>
    <row r="117" spans="1:10">
      <c r="A117" s="584"/>
      <c r="B117" s="585"/>
      <c r="C117" s="586" t="s">
        <v>590</v>
      </c>
      <c r="D117" s="133" t="s">
        <v>590</v>
      </c>
      <c r="E117" s="592" t="s">
        <v>287</v>
      </c>
      <c r="F117" s="593" t="s">
        <v>288</v>
      </c>
      <c r="G117" s="590"/>
      <c r="H117" s="589"/>
      <c r="I117" s="603"/>
      <c r="J117" s="604">
        <f>J111+J115+J116</f>
        <v>2358897.2155608358</v>
      </c>
    </row>
    <row r="118" spans="1:10">
      <c r="A118" s="584"/>
      <c r="B118" s="585"/>
      <c r="C118" s="586" t="s">
        <v>590</v>
      </c>
      <c r="D118" s="133" t="s">
        <v>590</v>
      </c>
      <c r="E118" s="587" t="s">
        <v>290</v>
      </c>
      <c r="F118" s="585" t="s">
        <v>291</v>
      </c>
      <c r="G118" s="591">
        <f>'Thông tin'!E61</f>
        <v>0.1</v>
      </c>
      <c r="H118" s="589"/>
      <c r="I118" s="603"/>
      <c r="J118" s="589">
        <f>(J117)*G118</f>
        <v>235889.72155608359</v>
      </c>
    </row>
    <row r="119" spans="1:10">
      <c r="A119" s="594"/>
      <c r="B119" s="595"/>
      <c r="C119" s="596" t="s">
        <v>590</v>
      </c>
      <c r="D119" s="137" t="s">
        <v>590</v>
      </c>
      <c r="E119" s="597" t="s">
        <v>293</v>
      </c>
      <c r="F119" s="598" t="s">
        <v>19</v>
      </c>
      <c r="G119" s="599"/>
      <c r="H119" s="600"/>
      <c r="I119" s="605"/>
      <c r="J119" s="606">
        <f>J117+J118</f>
        <v>2594786.9371169196</v>
      </c>
    </row>
    <row r="120" spans="1:10">
      <c r="A120" s="578"/>
      <c r="B120" s="579">
        <v>8</v>
      </c>
      <c r="C120" s="578" t="str">
        <f>'5.Tiên lượng'!C25</f>
        <v>AB.31134(VD)</v>
      </c>
      <c r="D120" s="578" t="str">
        <f>'5.Tiên lượng'!C25</f>
        <v>AB.31134(VD)</v>
      </c>
      <c r="E120" s="580" t="str">
        <f>'5.Tiên lượng'!D25</f>
        <v>Đào rãnh bằng máy đào 1,25m3 - Cấp đất IV</v>
      </c>
      <c r="F120" s="579" t="str">
        <f>'5.Tiên lượng'!E25</f>
        <v>100m3</v>
      </c>
      <c r="G120" s="581"/>
      <c r="H120" s="582"/>
      <c r="I120" s="602"/>
      <c r="J120" s="582"/>
    </row>
    <row r="121" spans="1:10">
      <c r="A121" s="126"/>
      <c r="B121" s="127"/>
      <c r="C121" s="128" t="s">
        <v>590</v>
      </c>
      <c r="D121" s="128" t="s">
        <v>590</v>
      </c>
      <c r="E121" s="583" t="s">
        <v>262</v>
      </c>
      <c r="F121" s="127" t="s">
        <v>263</v>
      </c>
      <c r="G121" s="130"/>
      <c r="H121" s="131"/>
      <c r="I121" s="143"/>
      <c r="J121" s="131">
        <v>0</v>
      </c>
    </row>
    <row r="122" spans="1:10">
      <c r="A122" s="126"/>
      <c r="B122" s="127"/>
      <c r="C122" s="128" t="s">
        <v>590</v>
      </c>
      <c r="D122" s="128" t="s">
        <v>590</v>
      </c>
      <c r="E122" s="583" t="s">
        <v>265</v>
      </c>
      <c r="F122" s="127" t="s">
        <v>266</v>
      </c>
      <c r="G122" s="130"/>
      <c r="H122" s="131"/>
      <c r="I122" s="143"/>
      <c r="J122" s="131">
        <f>SUM(J123:J123)</f>
        <v>1099652.5799999998</v>
      </c>
    </row>
    <row r="123" spans="1:10">
      <c r="A123" s="584"/>
      <c r="B123" s="585"/>
      <c r="C123" s="586" t="s">
        <v>590</v>
      </c>
      <c r="D123" s="133" t="s">
        <v>598</v>
      </c>
      <c r="E123" s="587" t="str">
        <f>" - "&amp;'Giá NC'!E5</f>
        <v xml:space="preserve"> - Nhân công bậc 3,0/7 - Nhóm 1</v>
      </c>
      <c r="F123" s="585" t="str">
        <f>'Giá NC'!F5</f>
        <v>công</v>
      </c>
      <c r="G123" s="588">
        <f>PTVT!G52</f>
        <v>4.8099999999999996</v>
      </c>
      <c r="H123" s="589">
        <f>'Giá NC'!K5</f>
        <v>228618</v>
      </c>
      <c r="I123" s="603">
        <f>'5.Tiên lượng'!W25</f>
        <v>1</v>
      </c>
      <c r="J123" s="589">
        <f>PRODUCT(G123,H123,I123)</f>
        <v>1099652.5799999998</v>
      </c>
    </row>
    <row r="124" spans="1:10">
      <c r="A124" s="126"/>
      <c r="B124" s="127"/>
      <c r="C124" s="128" t="s">
        <v>590</v>
      </c>
      <c r="D124" s="128" t="s">
        <v>590</v>
      </c>
      <c r="E124" s="583" t="s">
        <v>267</v>
      </c>
      <c r="F124" s="127" t="s">
        <v>268</v>
      </c>
      <c r="G124" s="130"/>
      <c r="H124" s="131"/>
      <c r="I124" s="143"/>
      <c r="J124" s="131">
        <f>SUM(J125:J126)</f>
        <v>1482703.3256228571</v>
      </c>
    </row>
    <row r="125" spans="1:10">
      <c r="A125" s="584"/>
      <c r="B125" s="585"/>
      <c r="C125" s="586" t="s">
        <v>590</v>
      </c>
      <c r="D125" s="133" t="s">
        <v>599</v>
      </c>
      <c r="E125" s="587" t="str">
        <f>" - "&amp;'Giá Máy'!E14</f>
        <v xml:space="preserve"> - Máy đào 1,25m3</v>
      </c>
      <c r="F125" s="585" t="str">
        <f>'Giá Máy'!F14</f>
        <v>ca</v>
      </c>
      <c r="G125" s="588">
        <f>PTVT!G54</f>
        <v>0.42399999999999999</v>
      </c>
      <c r="H125" s="589">
        <f>'Giá Máy'!O14</f>
        <v>3496941.8057142859</v>
      </c>
      <c r="I125" s="603">
        <f>'5.Tiên lượng'!X25</f>
        <v>1</v>
      </c>
      <c r="J125" s="589">
        <f t="shared" ref="J125" si="7">PRODUCT(G125,H125,I125)</f>
        <v>1482703.3256228571</v>
      </c>
    </row>
    <row r="126" spans="1:10">
      <c r="A126" s="584"/>
      <c r="B126" s="585"/>
      <c r="C126" s="586" t="s">
        <v>590</v>
      </c>
      <c r="D126" s="133" t="s">
        <v>600</v>
      </c>
      <c r="E126" s="587"/>
      <c r="F126" s="585"/>
      <c r="G126" s="588"/>
      <c r="H126" s="589"/>
      <c r="I126" s="603"/>
      <c r="J126" s="589"/>
    </row>
    <row r="127" spans="1:10">
      <c r="A127" s="584"/>
      <c r="B127" s="585"/>
      <c r="C127" s="586" t="s">
        <v>590</v>
      </c>
      <c r="D127" s="133" t="s">
        <v>590</v>
      </c>
      <c r="E127" s="587" t="s">
        <v>269</v>
      </c>
      <c r="F127" s="585" t="s">
        <v>270</v>
      </c>
      <c r="G127" s="590"/>
      <c r="H127" s="589"/>
      <c r="I127" s="603"/>
      <c r="J127" s="589">
        <f>J121+J122+J124</f>
        <v>2582355.9056228567</v>
      </c>
    </row>
    <row r="128" spans="1:10">
      <c r="A128" s="584"/>
      <c r="B128" s="585"/>
      <c r="C128" s="586" t="s">
        <v>590</v>
      </c>
      <c r="D128" s="133" t="s">
        <v>590</v>
      </c>
      <c r="E128" s="587" t="s">
        <v>273</v>
      </c>
      <c r="F128" s="585" t="s">
        <v>274</v>
      </c>
      <c r="G128" s="591">
        <f>'Thông tin'!E67</f>
        <v>6.2E-2</v>
      </c>
      <c r="H128" s="589"/>
      <c r="I128" s="603"/>
      <c r="J128" s="589">
        <f>(J127)*G128</f>
        <v>160106.0661486171</v>
      </c>
    </row>
    <row r="129" spans="1:10">
      <c r="A129" s="584"/>
      <c r="B129" s="585"/>
      <c r="C129" s="586" t="s">
        <v>590</v>
      </c>
      <c r="D129" s="133" t="s">
        <v>590</v>
      </c>
      <c r="E129" s="587" t="s">
        <v>276</v>
      </c>
      <c r="F129" s="585" t="s">
        <v>277</v>
      </c>
      <c r="G129" s="591">
        <f>'Thông tin'!E60</f>
        <v>2.2000000000000002E-2</v>
      </c>
      <c r="H129" s="589"/>
      <c r="I129" s="603"/>
      <c r="J129" s="589">
        <f>(J127)*G129</f>
        <v>56811.829923702855</v>
      </c>
    </row>
    <row r="130" spans="1:10" ht="27.6">
      <c r="A130" s="584"/>
      <c r="B130" s="585"/>
      <c r="C130" s="586" t="s">
        <v>590</v>
      </c>
      <c r="D130" s="133" t="s">
        <v>590</v>
      </c>
      <c r="E130" s="587" t="s">
        <v>279</v>
      </c>
      <c r="F130" s="585" t="s">
        <v>142</v>
      </c>
      <c r="G130" s="591">
        <f>'Thông tin'!E65</f>
        <v>0.02</v>
      </c>
      <c r="H130" s="589"/>
      <c r="I130" s="603"/>
      <c r="J130" s="589">
        <f>(J127)*G130</f>
        <v>51647.118112457138</v>
      </c>
    </row>
    <row r="131" spans="1:10">
      <c r="A131" s="584"/>
      <c r="B131" s="585"/>
      <c r="C131" s="586" t="s">
        <v>590</v>
      </c>
      <c r="D131" s="133" t="s">
        <v>590</v>
      </c>
      <c r="E131" s="587" t="s">
        <v>281</v>
      </c>
      <c r="F131" s="585" t="s">
        <v>282</v>
      </c>
      <c r="G131" s="590"/>
      <c r="H131" s="589"/>
      <c r="I131" s="603"/>
      <c r="J131" s="589">
        <f>J128+J129+J130</f>
        <v>268565.0141847771</v>
      </c>
    </row>
    <row r="132" spans="1:10">
      <c r="A132" s="584"/>
      <c r="B132" s="585"/>
      <c r="C132" s="586" t="s">
        <v>590</v>
      </c>
      <c r="D132" s="133" t="s">
        <v>590</v>
      </c>
      <c r="E132" s="587" t="s">
        <v>284</v>
      </c>
      <c r="F132" s="585" t="s">
        <v>285</v>
      </c>
      <c r="G132" s="591">
        <f>'Thông tin'!E63</f>
        <v>0.06</v>
      </c>
      <c r="H132" s="589"/>
      <c r="I132" s="603"/>
      <c r="J132" s="589">
        <f>(J127+J131)*G132</f>
        <v>171055.25518845802</v>
      </c>
    </row>
    <row r="133" spans="1:10">
      <c r="A133" s="584"/>
      <c r="B133" s="585"/>
      <c r="C133" s="586" t="s">
        <v>590</v>
      </c>
      <c r="D133" s="133" t="s">
        <v>590</v>
      </c>
      <c r="E133" s="592" t="s">
        <v>287</v>
      </c>
      <c r="F133" s="593" t="s">
        <v>288</v>
      </c>
      <c r="G133" s="590"/>
      <c r="H133" s="589"/>
      <c r="I133" s="603"/>
      <c r="J133" s="604">
        <f>J127+J131+J132</f>
        <v>3021976.174996092</v>
      </c>
    </row>
    <row r="134" spans="1:10">
      <c r="A134" s="584"/>
      <c r="B134" s="585"/>
      <c r="C134" s="586" t="s">
        <v>590</v>
      </c>
      <c r="D134" s="133" t="s">
        <v>590</v>
      </c>
      <c r="E134" s="587" t="s">
        <v>290</v>
      </c>
      <c r="F134" s="585" t="s">
        <v>291</v>
      </c>
      <c r="G134" s="591">
        <f>'Thông tin'!E61</f>
        <v>0.1</v>
      </c>
      <c r="H134" s="589"/>
      <c r="I134" s="603"/>
      <c r="J134" s="589">
        <f>(J133)*G134</f>
        <v>302197.61749960919</v>
      </c>
    </row>
    <row r="135" spans="1:10">
      <c r="A135" s="594"/>
      <c r="B135" s="595"/>
      <c r="C135" s="596" t="s">
        <v>590</v>
      </c>
      <c r="D135" s="137" t="s">
        <v>590</v>
      </c>
      <c r="E135" s="597" t="s">
        <v>293</v>
      </c>
      <c r="F135" s="598" t="s">
        <v>19</v>
      </c>
      <c r="G135" s="599"/>
      <c r="H135" s="600"/>
      <c r="I135" s="605"/>
      <c r="J135" s="606">
        <f>J133+J134</f>
        <v>3324173.792495701</v>
      </c>
    </row>
    <row r="136" spans="1:10">
      <c r="A136" s="578"/>
      <c r="B136" s="579">
        <v>9</v>
      </c>
      <c r="C136" s="578" t="str">
        <f>'5.Tiên lượng'!C27</f>
        <v>MD.QĐ792</v>
      </c>
      <c r="D136" s="578" t="str">
        <f>'5.Tiên lượng'!C27</f>
        <v>MD.QĐ792</v>
      </c>
      <c r="E136" s="580" t="str">
        <f>'5.Tiên lượng'!D27</f>
        <v>Đào rãnh đá cấp IV bằng máy đào 1,6m3</v>
      </c>
      <c r="F136" s="579" t="str">
        <f>'5.Tiên lượng'!E27</f>
        <v>m3</v>
      </c>
      <c r="G136" s="581"/>
      <c r="H136" s="582"/>
      <c r="I136" s="602"/>
      <c r="J136" s="582"/>
    </row>
    <row r="137" spans="1:10">
      <c r="A137" s="126"/>
      <c r="B137" s="127"/>
      <c r="C137" s="128" t="s">
        <v>590</v>
      </c>
      <c r="D137" s="128" t="s">
        <v>590</v>
      </c>
      <c r="E137" s="583" t="s">
        <v>262</v>
      </c>
      <c r="F137" s="127" t="s">
        <v>263</v>
      </c>
      <c r="G137" s="130"/>
      <c r="H137" s="131"/>
      <c r="I137" s="143"/>
      <c r="J137" s="131">
        <v>0</v>
      </c>
    </row>
    <row r="138" spans="1:10">
      <c r="A138" s="126"/>
      <c r="B138" s="127"/>
      <c r="C138" s="128" t="s">
        <v>590</v>
      </c>
      <c r="D138" s="128" t="s">
        <v>590</v>
      </c>
      <c r="E138" s="583" t="s">
        <v>265</v>
      </c>
      <c r="F138" s="127" t="s">
        <v>266</v>
      </c>
      <c r="G138" s="130"/>
      <c r="H138" s="131"/>
      <c r="I138" s="143"/>
      <c r="J138" s="131">
        <f>SUM(J139:J139)</f>
        <v>10107.5</v>
      </c>
    </row>
    <row r="139" spans="1:10">
      <c r="A139" s="584"/>
      <c r="B139" s="585"/>
      <c r="C139" s="586" t="s">
        <v>590</v>
      </c>
      <c r="D139" s="133" t="s">
        <v>601</v>
      </c>
      <c r="E139" s="587" t="str">
        <f>" - "&amp;'Giá NC'!E6</f>
        <v xml:space="preserve"> - Nhân công bậc 3,5/7 - Nhóm 1</v>
      </c>
      <c r="F139" s="585" t="str">
        <f>'Giá NC'!F6</f>
        <v>công</v>
      </c>
      <c r="G139" s="588">
        <f>PTVT!G58</f>
        <v>4.0430000000000001E-2</v>
      </c>
      <c r="H139" s="589">
        <f>'Giá NC'!K6</f>
        <v>250000</v>
      </c>
      <c r="I139" s="603">
        <f>'5.Tiên lượng'!W27</f>
        <v>1</v>
      </c>
      <c r="J139" s="589">
        <f>PRODUCT(G139,H139,I139)</f>
        <v>10107.5</v>
      </c>
    </row>
    <row r="140" spans="1:10">
      <c r="A140" s="126"/>
      <c r="B140" s="127"/>
      <c r="C140" s="128" t="s">
        <v>590</v>
      </c>
      <c r="D140" s="128" t="s">
        <v>590</v>
      </c>
      <c r="E140" s="583" t="s">
        <v>267</v>
      </c>
      <c r="F140" s="127" t="s">
        <v>268</v>
      </c>
      <c r="G140" s="130"/>
      <c r="H140" s="131"/>
      <c r="I140" s="143"/>
      <c r="J140" s="131">
        <f>SUM(J141:J141)</f>
        <v>48114.351264599994</v>
      </c>
    </row>
    <row r="141" spans="1:10">
      <c r="A141" s="584"/>
      <c r="B141" s="585"/>
      <c r="C141" s="586" t="s">
        <v>590</v>
      </c>
      <c r="D141" s="133" t="s">
        <v>602</v>
      </c>
      <c r="E141" s="587" t="str">
        <f>" - "&amp;'Giá Máy'!E15</f>
        <v xml:space="preserve"> - Máy đào 1,6m3</v>
      </c>
      <c r="F141" s="585" t="str">
        <f>'Giá Máy'!F15</f>
        <v>ca</v>
      </c>
      <c r="G141" s="588">
        <f>PTVT!G60</f>
        <v>1.123E-2</v>
      </c>
      <c r="H141" s="589">
        <f>'Giá Máy'!O15</f>
        <v>4284448.0199999996</v>
      </c>
      <c r="I141" s="603">
        <f>'5.Tiên lượng'!X27</f>
        <v>1</v>
      </c>
      <c r="J141" s="589">
        <f>PRODUCT(G141,H141,I141)</f>
        <v>48114.351264599994</v>
      </c>
    </row>
    <row r="142" spans="1:10">
      <c r="A142" s="584"/>
      <c r="B142" s="585"/>
      <c r="C142" s="586" t="s">
        <v>590</v>
      </c>
      <c r="D142" s="133" t="s">
        <v>590</v>
      </c>
      <c r="E142" s="587" t="s">
        <v>269</v>
      </c>
      <c r="F142" s="585" t="s">
        <v>270</v>
      </c>
      <c r="G142" s="590"/>
      <c r="H142" s="589"/>
      <c r="I142" s="603"/>
      <c r="J142" s="589">
        <f>J137+J138+J140</f>
        <v>58221.851264599994</v>
      </c>
    </row>
    <row r="143" spans="1:10">
      <c r="A143" s="584"/>
      <c r="B143" s="585"/>
      <c r="C143" s="586" t="s">
        <v>590</v>
      </c>
      <c r="D143" s="133" t="s">
        <v>590</v>
      </c>
      <c r="E143" s="587" t="s">
        <v>273</v>
      </c>
      <c r="F143" s="585" t="s">
        <v>274</v>
      </c>
      <c r="G143" s="591">
        <f>'Thông tin'!E67</f>
        <v>6.2E-2</v>
      </c>
      <c r="H143" s="589"/>
      <c r="I143" s="603"/>
      <c r="J143" s="589">
        <f>(J142)*G143</f>
        <v>3609.7547784051994</v>
      </c>
    </row>
    <row r="144" spans="1:10">
      <c r="A144" s="584"/>
      <c r="B144" s="585"/>
      <c r="C144" s="586" t="s">
        <v>590</v>
      </c>
      <c r="D144" s="133" t="s">
        <v>590</v>
      </c>
      <c r="E144" s="587" t="s">
        <v>276</v>
      </c>
      <c r="F144" s="585" t="s">
        <v>277</v>
      </c>
      <c r="G144" s="591">
        <f>'Thông tin'!E60</f>
        <v>2.2000000000000002E-2</v>
      </c>
      <c r="H144" s="589"/>
      <c r="I144" s="603"/>
      <c r="J144" s="589">
        <f>(J142)*G144</f>
        <v>1280.8807278212</v>
      </c>
    </row>
    <row r="145" spans="1:10" ht="27.6">
      <c r="A145" s="584"/>
      <c r="B145" s="585"/>
      <c r="C145" s="586" t="s">
        <v>590</v>
      </c>
      <c r="D145" s="133" t="s">
        <v>590</v>
      </c>
      <c r="E145" s="587" t="s">
        <v>279</v>
      </c>
      <c r="F145" s="585" t="s">
        <v>142</v>
      </c>
      <c r="G145" s="591">
        <f>'Thông tin'!E65</f>
        <v>0.02</v>
      </c>
      <c r="H145" s="589"/>
      <c r="I145" s="603"/>
      <c r="J145" s="589">
        <f>(J142)*G145</f>
        <v>1164.4370252919998</v>
      </c>
    </row>
    <row r="146" spans="1:10">
      <c r="A146" s="584"/>
      <c r="B146" s="585"/>
      <c r="C146" s="586" t="s">
        <v>590</v>
      </c>
      <c r="D146" s="133" t="s">
        <v>590</v>
      </c>
      <c r="E146" s="587" t="s">
        <v>281</v>
      </c>
      <c r="F146" s="585" t="s">
        <v>282</v>
      </c>
      <c r="G146" s="590"/>
      <c r="H146" s="589"/>
      <c r="I146" s="603"/>
      <c r="J146" s="589">
        <f>J143+J144+J145</f>
        <v>6055.072531518399</v>
      </c>
    </row>
    <row r="147" spans="1:10">
      <c r="A147" s="584"/>
      <c r="B147" s="585"/>
      <c r="C147" s="586" t="s">
        <v>590</v>
      </c>
      <c r="D147" s="133" t="s">
        <v>590</v>
      </c>
      <c r="E147" s="587" t="s">
        <v>284</v>
      </c>
      <c r="F147" s="585" t="s">
        <v>285</v>
      </c>
      <c r="G147" s="591">
        <f>'Thông tin'!E63</f>
        <v>0.06</v>
      </c>
      <c r="H147" s="589"/>
      <c r="I147" s="603"/>
      <c r="J147" s="589">
        <f>(J142+J146)*G147</f>
        <v>3856.6154277671035</v>
      </c>
    </row>
    <row r="148" spans="1:10">
      <c r="A148" s="584"/>
      <c r="B148" s="585"/>
      <c r="C148" s="586" t="s">
        <v>590</v>
      </c>
      <c r="D148" s="133" t="s">
        <v>590</v>
      </c>
      <c r="E148" s="592" t="s">
        <v>287</v>
      </c>
      <c r="F148" s="593" t="s">
        <v>288</v>
      </c>
      <c r="G148" s="590"/>
      <c r="H148" s="589"/>
      <c r="I148" s="603"/>
      <c r="J148" s="604">
        <f>J142+J146+J147</f>
        <v>68133.539223885498</v>
      </c>
    </row>
    <row r="149" spans="1:10">
      <c r="A149" s="584"/>
      <c r="B149" s="585"/>
      <c r="C149" s="586" t="s">
        <v>590</v>
      </c>
      <c r="D149" s="133" t="s">
        <v>590</v>
      </c>
      <c r="E149" s="587" t="s">
        <v>290</v>
      </c>
      <c r="F149" s="585" t="s">
        <v>291</v>
      </c>
      <c r="G149" s="591">
        <f>'Thông tin'!E61</f>
        <v>0.1</v>
      </c>
      <c r="H149" s="589"/>
      <c r="I149" s="603"/>
      <c r="J149" s="589">
        <f>(J148)*G149</f>
        <v>6813.35392238855</v>
      </c>
    </row>
    <row r="150" spans="1:10">
      <c r="A150" s="594"/>
      <c r="B150" s="595"/>
      <c r="C150" s="596" t="s">
        <v>590</v>
      </c>
      <c r="D150" s="137" t="s">
        <v>590</v>
      </c>
      <c r="E150" s="597" t="s">
        <v>293</v>
      </c>
      <c r="F150" s="598" t="s">
        <v>19</v>
      </c>
      <c r="G150" s="599"/>
      <c r="H150" s="600"/>
      <c r="I150" s="605"/>
      <c r="J150" s="606">
        <f>J148+J149</f>
        <v>74946.893146274044</v>
      </c>
    </row>
    <row r="151" spans="1:10">
      <c r="A151" s="578"/>
      <c r="B151" s="579">
        <v>10</v>
      </c>
      <c r="C151" s="578" t="str">
        <f>'5.Tiên lượng'!C29</f>
        <v>AB.31132(VD)</v>
      </c>
      <c r="D151" s="578" t="str">
        <f>'5.Tiên lượng'!C29</f>
        <v>AB.31132(VD)</v>
      </c>
      <c r="E151" s="580" t="str">
        <f>'5.Tiên lượng'!D29</f>
        <v>Đào cấp bằng máy đào 1,25m3 - Cấp đất II</v>
      </c>
      <c r="F151" s="579" t="str">
        <f>'5.Tiên lượng'!E29</f>
        <v>100m3</v>
      </c>
      <c r="G151" s="581"/>
      <c r="H151" s="582"/>
      <c r="I151" s="602"/>
      <c r="J151" s="582"/>
    </row>
    <row r="152" spans="1:10">
      <c r="A152" s="126"/>
      <c r="B152" s="127"/>
      <c r="C152" s="128" t="s">
        <v>590</v>
      </c>
      <c r="D152" s="128" t="s">
        <v>590</v>
      </c>
      <c r="E152" s="583" t="s">
        <v>262</v>
      </c>
      <c r="F152" s="127" t="s">
        <v>263</v>
      </c>
      <c r="G152" s="130"/>
      <c r="H152" s="131"/>
      <c r="I152" s="143"/>
      <c r="J152" s="131">
        <v>0</v>
      </c>
    </row>
    <row r="153" spans="1:10">
      <c r="A153" s="126"/>
      <c r="B153" s="127"/>
      <c r="C153" s="128" t="s">
        <v>590</v>
      </c>
      <c r="D153" s="128" t="s">
        <v>590</v>
      </c>
      <c r="E153" s="583" t="s">
        <v>265</v>
      </c>
      <c r="F153" s="127" t="s">
        <v>266</v>
      </c>
      <c r="G153" s="130"/>
      <c r="H153" s="131"/>
      <c r="I153" s="143"/>
      <c r="J153" s="131">
        <f>SUM(J154:J154)</f>
        <v>775015.02</v>
      </c>
    </row>
    <row r="154" spans="1:10">
      <c r="A154" s="584"/>
      <c r="B154" s="585"/>
      <c r="C154" s="586" t="s">
        <v>590</v>
      </c>
      <c r="D154" s="133" t="s">
        <v>598</v>
      </c>
      <c r="E154" s="587" t="str">
        <f>" - "&amp;'Giá NC'!E5</f>
        <v xml:space="preserve"> - Nhân công bậc 3,0/7 - Nhóm 1</v>
      </c>
      <c r="F154" s="585" t="str">
        <f>'Giá NC'!F5</f>
        <v>công</v>
      </c>
      <c r="G154" s="588">
        <f>PTVT!G63</f>
        <v>3.39</v>
      </c>
      <c r="H154" s="589">
        <f>'Giá NC'!K5</f>
        <v>228618</v>
      </c>
      <c r="I154" s="603">
        <f>'5.Tiên lượng'!W29</f>
        <v>1</v>
      </c>
      <c r="J154" s="589">
        <f>PRODUCT(G154,H154,I154)</f>
        <v>775015.02</v>
      </c>
    </row>
    <row r="155" spans="1:10">
      <c r="A155" s="126"/>
      <c r="B155" s="127"/>
      <c r="C155" s="128" t="s">
        <v>590</v>
      </c>
      <c r="D155" s="128" t="s">
        <v>590</v>
      </c>
      <c r="E155" s="583" t="s">
        <v>267</v>
      </c>
      <c r="F155" s="127" t="s">
        <v>268</v>
      </c>
      <c r="G155" s="130"/>
      <c r="H155" s="131"/>
      <c r="I155" s="143"/>
      <c r="J155" s="131">
        <f>SUM(J156:J157)</f>
        <v>923192.63670857158</v>
      </c>
    </row>
    <row r="156" spans="1:10">
      <c r="A156" s="584"/>
      <c r="B156" s="585"/>
      <c r="C156" s="586" t="s">
        <v>590</v>
      </c>
      <c r="D156" s="133" t="s">
        <v>599</v>
      </c>
      <c r="E156" s="587" t="str">
        <f>" - "&amp;'Giá Máy'!E14</f>
        <v xml:space="preserve"> - Máy đào 1,25m3</v>
      </c>
      <c r="F156" s="585" t="str">
        <f>'Giá Máy'!F14</f>
        <v>ca</v>
      </c>
      <c r="G156" s="588">
        <f>PTVT!G65</f>
        <v>0.26400000000000001</v>
      </c>
      <c r="H156" s="589">
        <f>'Giá Máy'!O14</f>
        <v>3496941.8057142859</v>
      </c>
      <c r="I156" s="603">
        <f>'5.Tiên lượng'!X29</f>
        <v>1</v>
      </c>
      <c r="J156" s="589">
        <f t="shared" ref="J156" si="8">PRODUCT(G156,H156,I156)</f>
        <v>923192.63670857158</v>
      </c>
    </row>
    <row r="157" spans="1:10">
      <c r="A157" s="584"/>
      <c r="B157" s="585"/>
      <c r="C157" s="586"/>
      <c r="D157" s="133"/>
      <c r="E157" s="587"/>
      <c r="F157" s="585"/>
      <c r="G157" s="588"/>
      <c r="H157" s="589"/>
      <c r="I157" s="603"/>
      <c r="J157" s="589"/>
    </row>
    <row r="158" spans="1:10">
      <c r="A158" s="584"/>
      <c r="B158" s="585"/>
      <c r="C158" s="586" t="s">
        <v>590</v>
      </c>
      <c r="D158" s="133" t="s">
        <v>590</v>
      </c>
      <c r="E158" s="587" t="s">
        <v>269</v>
      </c>
      <c r="F158" s="585" t="s">
        <v>270</v>
      </c>
      <c r="G158" s="590"/>
      <c r="H158" s="589"/>
      <c r="I158" s="603"/>
      <c r="J158" s="589">
        <f>J152+J153+J155</f>
        <v>1698207.6567085716</v>
      </c>
    </row>
    <row r="159" spans="1:10">
      <c r="A159" s="584"/>
      <c r="B159" s="585"/>
      <c r="C159" s="586" t="s">
        <v>590</v>
      </c>
      <c r="D159" s="133" t="s">
        <v>590</v>
      </c>
      <c r="E159" s="587" t="s">
        <v>273</v>
      </c>
      <c r="F159" s="585" t="s">
        <v>274</v>
      </c>
      <c r="G159" s="591">
        <f>'Thông tin'!E67</f>
        <v>6.2E-2</v>
      </c>
      <c r="H159" s="589"/>
      <c r="I159" s="603"/>
      <c r="J159" s="589">
        <f>(J158)*G159</f>
        <v>105288.87471593144</v>
      </c>
    </row>
    <row r="160" spans="1:10">
      <c r="A160" s="584"/>
      <c r="B160" s="585"/>
      <c r="C160" s="586" t="s">
        <v>590</v>
      </c>
      <c r="D160" s="133" t="s">
        <v>590</v>
      </c>
      <c r="E160" s="587" t="s">
        <v>276</v>
      </c>
      <c r="F160" s="585" t="s">
        <v>277</v>
      </c>
      <c r="G160" s="591">
        <f>'Thông tin'!E60</f>
        <v>2.2000000000000002E-2</v>
      </c>
      <c r="H160" s="589"/>
      <c r="I160" s="603"/>
      <c r="J160" s="589">
        <f>(J158)*G160</f>
        <v>37360.568447588579</v>
      </c>
    </row>
    <row r="161" spans="1:10" ht="27.6">
      <c r="A161" s="584"/>
      <c r="B161" s="585"/>
      <c r="C161" s="586" t="s">
        <v>590</v>
      </c>
      <c r="D161" s="133" t="s">
        <v>590</v>
      </c>
      <c r="E161" s="587" t="s">
        <v>279</v>
      </c>
      <c r="F161" s="585" t="s">
        <v>142</v>
      </c>
      <c r="G161" s="591">
        <f>'Thông tin'!E65</f>
        <v>0.02</v>
      </c>
      <c r="H161" s="589"/>
      <c r="I161" s="603"/>
      <c r="J161" s="589">
        <f>(J158)*G161</f>
        <v>33964.153134171429</v>
      </c>
    </row>
    <row r="162" spans="1:10">
      <c r="A162" s="584"/>
      <c r="B162" s="585"/>
      <c r="C162" s="586" t="s">
        <v>590</v>
      </c>
      <c r="D162" s="133" t="s">
        <v>590</v>
      </c>
      <c r="E162" s="587" t="s">
        <v>281</v>
      </c>
      <c r="F162" s="585" t="s">
        <v>282</v>
      </c>
      <c r="G162" s="590"/>
      <c r="H162" s="589"/>
      <c r="I162" s="603"/>
      <c r="J162" s="589">
        <f>J159+J160+J161</f>
        <v>176613.59629769146</v>
      </c>
    </row>
    <row r="163" spans="1:10">
      <c r="A163" s="584"/>
      <c r="B163" s="585"/>
      <c r="C163" s="586" t="s">
        <v>590</v>
      </c>
      <c r="D163" s="133" t="s">
        <v>590</v>
      </c>
      <c r="E163" s="587" t="s">
        <v>284</v>
      </c>
      <c r="F163" s="585" t="s">
        <v>285</v>
      </c>
      <c r="G163" s="591">
        <f>'Thông tin'!E63</f>
        <v>0.06</v>
      </c>
      <c r="H163" s="589"/>
      <c r="I163" s="603"/>
      <c r="J163" s="589">
        <f>(J158+J162)*G163</f>
        <v>112489.27518037579</v>
      </c>
    </row>
    <row r="164" spans="1:10">
      <c r="A164" s="584"/>
      <c r="B164" s="585"/>
      <c r="C164" s="586" t="s">
        <v>590</v>
      </c>
      <c r="D164" s="133" t="s">
        <v>590</v>
      </c>
      <c r="E164" s="592" t="s">
        <v>287</v>
      </c>
      <c r="F164" s="593" t="s">
        <v>288</v>
      </c>
      <c r="G164" s="590"/>
      <c r="H164" s="589"/>
      <c r="I164" s="603"/>
      <c r="J164" s="604">
        <f>J158+J162+J163</f>
        <v>1987310.5281866388</v>
      </c>
    </row>
    <row r="165" spans="1:10">
      <c r="A165" s="584"/>
      <c r="B165" s="585"/>
      <c r="C165" s="586" t="s">
        <v>590</v>
      </c>
      <c r="D165" s="133" t="s">
        <v>590</v>
      </c>
      <c r="E165" s="587" t="s">
        <v>290</v>
      </c>
      <c r="F165" s="585" t="s">
        <v>291</v>
      </c>
      <c r="G165" s="591">
        <f>'Thông tin'!E61</f>
        <v>0.1</v>
      </c>
      <c r="H165" s="589"/>
      <c r="I165" s="603"/>
      <c r="J165" s="589">
        <f>(J164)*G165</f>
        <v>198731.05281866388</v>
      </c>
    </row>
    <row r="166" spans="1:10">
      <c r="A166" s="594"/>
      <c r="B166" s="595"/>
      <c r="C166" s="596" t="s">
        <v>590</v>
      </c>
      <c r="D166" s="137" t="s">
        <v>590</v>
      </c>
      <c r="E166" s="597" t="s">
        <v>293</v>
      </c>
      <c r="F166" s="598" t="s">
        <v>19</v>
      </c>
      <c r="G166" s="599"/>
      <c r="H166" s="600"/>
      <c r="I166" s="605"/>
      <c r="J166" s="606">
        <f>J164+J165</f>
        <v>2186041.5810053027</v>
      </c>
    </row>
    <row r="167" spans="1:10" ht="27.6">
      <c r="A167" s="578"/>
      <c r="B167" s="579">
        <v>11</v>
      </c>
      <c r="C167" s="578" t="str">
        <f>'5.Tiên lượng'!C31</f>
        <v>AB.31132</v>
      </c>
      <c r="D167" s="578" t="str">
        <f>'5.Tiên lượng'!C31</f>
        <v>AB.31132</v>
      </c>
      <c r="E167" s="580" t="str">
        <f>'5.Tiên lượng'!D31</f>
        <v>Đào hữu cơ bằng máy đào 1,25m3 - Cấp đất II</v>
      </c>
      <c r="F167" s="579" t="str">
        <f>'5.Tiên lượng'!E31</f>
        <v>100m3</v>
      </c>
      <c r="G167" s="581"/>
      <c r="H167" s="582"/>
      <c r="I167" s="602"/>
      <c r="J167" s="582"/>
    </row>
    <row r="168" spans="1:10">
      <c r="A168" s="126"/>
      <c r="B168" s="127"/>
      <c r="C168" s="128" t="s">
        <v>590</v>
      </c>
      <c r="D168" s="128" t="s">
        <v>590</v>
      </c>
      <c r="E168" s="583" t="s">
        <v>262</v>
      </c>
      <c r="F168" s="127" t="s">
        <v>263</v>
      </c>
      <c r="G168" s="130"/>
      <c r="H168" s="131"/>
      <c r="I168" s="143"/>
      <c r="J168" s="131">
        <v>0</v>
      </c>
    </row>
    <row r="169" spans="1:10">
      <c r="A169" s="126"/>
      <c r="B169" s="127"/>
      <c r="C169" s="128" t="s">
        <v>590</v>
      </c>
      <c r="D169" s="128" t="s">
        <v>590</v>
      </c>
      <c r="E169" s="583" t="s">
        <v>265</v>
      </c>
      <c r="F169" s="127" t="s">
        <v>266</v>
      </c>
      <c r="G169" s="130"/>
      <c r="H169" s="131"/>
      <c r="I169" s="143"/>
      <c r="J169" s="131">
        <f>SUM(J170:J170)</f>
        <v>775015.02</v>
      </c>
    </row>
    <row r="170" spans="1:10">
      <c r="A170" s="584"/>
      <c r="B170" s="585"/>
      <c r="C170" s="586" t="s">
        <v>590</v>
      </c>
      <c r="D170" s="133" t="s">
        <v>598</v>
      </c>
      <c r="E170" s="587" t="str">
        <f>" - "&amp;'Giá NC'!E5</f>
        <v xml:space="preserve"> - Nhân công bậc 3,0/7 - Nhóm 1</v>
      </c>
      <c r="F170" s="585" t="str">
        <f>'Giá NC'!F5</f>
        <v>công</v>
      </c>
      <c r="G170" s="588">
        <f>PTVT!G69</f>
        <v>3.39</v>
      </c>
      <c r="H170" s="589">
        <f>'Giá NC'!K5</f>
        <v>228618</v>
      </c>
      <c r="I170" s="603">
        <f>'5.Tiên lượng'!W31</f>
        <v>1</v>
      </c>
      <c r="J170" s="589">
        <f>PRODUCT(G170,H170,I170)</f>
        <v>775015.02</v>
      </c>
    </row>
    <row r="171" spans="1:10">
      <c r="A171" s="126"/>
      <c r="B171" s="127"/>
      <c r="C171" s="128" t="s">
        <v>590</v>
      </c>
      <c r="D171" s="128" t="s">
        <v>590</v>
      </c>
      <c r="E171" s="583" t="s">
        <v>267</v>
      </c>
      <c r="F171" s="127" t="s">
        <v>268</v>
      </c>
      <c r="G171" s="130"/>
      <c r="H171" s="131"/>
      <c r="I171" s="143"/>
      <c r="J171" s="131">
        <f>SUM(J172:J173)</f>
        <v>986868.38985857158</v>
      </c>
    </row>
    <row r="172" spans="1:10">
      <c r="A172" s="584"/>
      <c r="B172" s="585"/>
      <c r="C172" s="586" t="s">
        <v>590</v>
      </c>
      <c r="D172" s="133" t="s">
        <v>599</v>
      </c>
      <c r="E172" s="587" t="str">
        <f>" - "&amp;'Giá Máy'!E14</f>
        <v xml:space="preserve"> - Máy đào 1,25m3</v>
      </c>
      <c r="F172" s="585" t="str">
        <f>'Giá Máy'!F14</f>
        <v>ca</v>
      </c>
      <c r="G172" s="588">
        <f>PTVT!G71</f>
        <v>0.26400000000000001</v>
      </c>
      <c r="H172" s="589">
        <f>'Giá Máy'!O14</f>
        <v>3496941.8057142859</v>
      </c>
      <c r="I172" s="603">
        <f>'5.Tiên lượng'!X31</f>
        <v>1</v>
      </c>
      <c r="J172" s="589">
        <f t="shared" ref="J172:J173" si="9">PRODUCT(G172,H172,I172)</f>
        <v>923192.63670857158</v>
      </c>
    </row>
    <row r="173" spans="1:10">
      <c r="A173" s="584"/>
      <c r="B173" s="585"/>
      <c r="C173" s="586" t="s">
        <v>590</v>
      </c>
      <c r="D173" s="133" t="s">
        <v>600</v>
      </c>
      <c r="E173" s="587" t="str">
        <f>" - "&amp;'Giá Máy'!E29</f>
        <v xml:space="preserve"> - Máy ủi 110CV</v>
      </c>
      <c r="F173" s="585" t="str">
        <f>'Giá Máy'!F29</f>
        <v>ca</v>
      </c>
      <c r="G173" s="588">
        <f>PTVT!G72</f>
        <v>3.5000000000000003E-2</v>
      </c>
      <c r="H173" s="589">
        <f>'Giá Máy'!O29</f>
        <v>1819307.232857143</v>
      </c>
      <c r="I173" s="603">
        <f>'5.Tiên lượng'!X31</f>
        <v>1</v>
      </c>
      <c r="J173" s="589">
        <f t="shared" si="9"/>
        <v>63675.753150000011</v>
      </c>
    </row>
    <row r="174" spans="1:10">
      <c r="A174" s="584"/>
      <c r="B174" s="585"/>
      <c r="C174" s="586" t="s">
        <v>590</v>
      </c>
      <c r="D174" s="133" t="s">
        <v>590</v>
      </c>
      <c r="E174" s="587" t="s">
        <v>269</v>
      </c>
      <c r="F174" s="585" t="s">
        <v>270</v>
      </c>
      <c r="G174" s="590"/>
      <c r="H174" s="589"/>
      <c r="I174" s="603"/>
      <c r="J174" s="589">
        <f>J168+J169+J171</f>
        <v>1761883.4098585716</v>
      </c>
    </row>
    <row r="175" spans="1:10">
      <c r="A175" s="584"/>
      <c r="B175" s="585"/>
      <c r="C175" s="586" t="s">
        <v>590</v>
      </c>
      <c r="D175" s="133" t="s">
        <v>590</v>
      </c>
      <c r="E175" s="587" t="s">
        <v>273</v>
      </c>
      <c r="F175" s="585" t="s">
        <v>274</v>
      </c>
      <c r="G175" s="591">
        <f>'Thông tin'!E67</f>
        <v>6.2E-2</v>
      </c>
      <c r="H175" s="589"/>
      <c r="I175" s="603"/>
      <c r="J175" s="589">
        <f>(J174)*G175</f>
        <v>109236.77141123144</v>
      </c>
    </row>
    <row r="176" spans="1:10">
      <c r="A176" s="584"/>
      <c r="B176" s="585"/>
      <c r="C176" s="586" t="s">
        <v>590</v>
      </c>
      <c r="D176" s="133" t="s">
        <v>590</v>
      </c>
      <c r="E176" s="587" t="s">
        <v>276</v>
      </c>
      <c r="F176" s="585" t="s">
        <v>277</v>
      </c>
      <c r="G176" s="591">
        <f>'Thông tin'!E60</f>
        <v>2.2000000000000002E-2</v>
      </c>
      <c r="H176" s="589"/>
      <c r="I176" s="603"/>
      <c r="J176" s="589">
        <f>(J174)*G176</f>
        <v>38761.435016888579</v>
      </c>
    </row>
    <row r="177" spans="1:10" ht="27.6">
      <c r="A177" s="584"/>
      <c r="B177" s="585"/>
      <c r="C177" s="586" t="s">
        <v>590</v>
      </c>
      <c r="D177" s="133" t="s">
        <v>590</v>
      </c>
      <c r="E177" s="587" t="s">
        <v>279</v>
      </c>
      <c r="F177" s="585" t="s">
        <v>142</v>
      </c>
      <c r="G177" s="591">
        <f>'Thông tin'!E65</f>
        <v>0.02</v>
      </c>
      <c r="H177" s="589"/>
      <c r="I177" s="603"/>
      <c r="J177" s="589">
        <f>(J174)*G177</f>
        <v>35237.668197171435</v>
      </c>
    </row>
    <row r="178" spans="1:10">
      <c r="A178" s="584"/>
      <c r="B178" s="585"/>
      <c r="C178" s="586" t="s">
        <v>590</v>
      </c>
      <c r="D178" s="133" t="s">
        <v>590</v>
      </c>
      <c r="E178" s="587" t="s">
        <v>281</v>
      </c>
      <c r="F178" s="585" t="s">
        <v>282</v>
      </c>
      <c r="G178" s="590"/>
      <c r="H178" s="589"/>
      <c r="I178" s="603"/>
      <c r="J178" s="589">
        <f>J175+J176+J177</f>
        <v>183235.87462529147</v>
      </c>
    </row>
    <row r="179" spans="1:10">
      <c r="A179" s="584"/>
      <c r="B179" s="585"/>
      <c r="C179" s="586" t="s">
        <v>590</v>
      </c>
      <c r="D179" s="133" t="s">
        <v>590</v>
      </c>
      <c r="E179" s="587" t="s">
        <v>284</v>
      </c>
      <c r="F179" s="585" t="s">
        <v>285</v>
      </c>
      <c r="G179" s="591">
        <f>'Thông tin'!E63</f>
        <v>0.06</v>
      </c>
      <c r="H179" s="589"/>
      <c r="I179" s="603"/>
      <c r="J179" s="589">
        <f>(J174+J178)*G179</f>
        <v>116707.15706903177</v>
      </c>
    </row>
    <row r="180" spans="1:10">
      <c r="A180" s="584"/>
      <c r="B180" s="585"/>
      <c r="C180" s="586" t="s">
        <v>590</v>
      </c>
      <c r="D180" s="133" t="s">
        <v>590</v>
      </c>
      <c r="E180" s="592" t="s">
        <v>287</v>
      </c>
      <c r="F180" s="593" t="s">
        <v>288</v>
      </c>
      <c r="G180" s="590"/>
      <c r="H180" s="589"/>
      <c r="I180" s="603"/>
      <c r="J180" s="604">
        <f>J174+J178+J179</f>
        <v>2061826.4415528949</v>
      </c>
    </row>
    <row r="181" spans="1:10">
      <c r="A181" s="584"/>
      <c r="B181" s="585"/>
      <c r="C181" s="586" t="s">
        <v>590</v>
      </c>
      <c r="D181" s="133" t="s">
        <v>590</v>
      </c>
      <c r="E181" s="587" t="s">
        <v>290</v>
      </c>
      <c r="F181" s="585" t="s">
        <v>291</v>
      </c>
      <c r="G181" s="591">
        <f>'Thông tin'!E61</f>
        <v>0.1</v>
      </c>
      <c r="H181" s="589"/>
      <c r="I181" s="603"/>
      <c r="J181" s="589">
        <f>(J180)*G181</f>
        <v>206182.64415528951</v>
      </c>
    </row>
    <row r="182" spans="1:10">
      <c r="A182" s="594"/>
      <c r="B182" s="595"/>
      <c r="C182" s="596" t="s">
        <v>590</v>
      </c>
      <c r="D182" s="137" t="s">
        <v>590</v>
      </c>
      <c r="E182" s="597" t="s">
        <v>293</v>
      </c>
      <c r="F182" s="598" t="s">
        <v>19</v>
      </c>
      <c r="G182" s="599"/>
      <c r="H182" s="600"/>
      <c r="I182" s="605"/>
      <c r="J182" s="606">
        <f>J180+J181</f>
        <v>2268009.0857081842</v>
      </c>
    </row>
    <row r="183" spans="1:10">
      <c r="A183" s="572"/>
      <c r="B183" s="573"/>
      <c r="C183" s="574" t="s">
        <v>339</v>
      </c>
      <c r="D183" s="117" t="s">
        <v>339</v>
      </c>
      <c r="E183" s="575" t="s">
        <v>376</v>
      </c>
      <c r="F183" s="573"/>
      <c r="G183" s="576"/>
      <c r="H183" s="577"/>
      <c r="I183" s="601"/>
      <c r="J183" s="577" t="s">
        <v>597</v>
      </c>
    </row>
    <row r="184" spans="1:10" ht="27.6">
      <c r="A184" s="578"/>
      <c r="B184" s="579">
        <v>12</v>
      </c>
      <c r="C184" s="578" t="str">
        <f>'5.Tiên lượng'!C34</f>
        <v>AB.67110</v>
      </c>
      <c r="D184" s="578" t="str">
        <f>'5.Tiên lượng'!C34</f>
        <v>AB.67110</v>
      </c>
      <c r="E184" s="580" t="str">
        <f>'5.Tiên lượng'!D34</f>
        <v>Đắp đá hỗn hợp công trình bằng máy ủi 180CV</v>
      </c>
      <c r="F184" s="579" t="str">
        <f>'5.Tiên lượng'!E34</f>
        <v>100m3</v>
      </c>
      <c r="G184" s="581"/>
      <c r="H184" s="582"/>
      <c r="I184" s="602"/>
      <c r="J184" s="582"/>
    </row>
    <row r="185" spans="1:10">
      <c r="A185" s="126"/>
      <c r="B185" s="127"/>
      <c r="C185" s="128" t="s">
        <v>590</v>
      </c>
      <c r="D185" s="128" t="s">
        <v>590</v>
      </c>
      <c r="E185" s="583" t="s">
        <v>262</v>
      </c>
      <c r="F185" s="127" t="s">
        <v>263</v>
      </c>
      <c r="G185" s="130"/>
      <c r="H185" s="131"/>
      <c r="I185" s="143"/>
      <c r="J185" s="131">
        <v>0</v>
      </c>
    </row>
    <row r="186" spans="1:10">
      <c r="A186" s="126"/>
      <c r="B186" s="127"/>
      <c r="C186" s="128" t="s">
        <v>590</v>
      </c>
      <c r="D186" s="128" t="s">
        <v>590</v>
      </c>
      <c r="E186" s="583" t="s">
        <v>265</v>
      </c>
      <c r="F186" s="127" t="s">
        <v>266</v>
      </c>
      <c r="G186" s="130"/>
      <c r="H186" s="131"/>
      <c r="I186" s="143"/>
      <c r="J186" s="131">
        <f>SUM(J187:J187)</f>
        <v>857317.5</v>
      </c>
    </row>
    <row r="187" spans="1:10">
      <c r="A187" s="584"/>
      <c r="B187" s="585"/>
      <c r="C187" s="586" t="s">
        <v>590</v>
      </c>
      <c r="D187" s="133" t="s">
        <v>598</v>
      </c>
      <c r="E187" s="587" t="str">
        <f>" - "&amp;'Giá NC'!E5</f>
        <v xml:space="preserve"> - Nhân công bậc 3,0/7 - Nhóm 1</v>
      </c>
      <c r="F187" s="585" t="str">
        <f>'Giá NC'!F5</f>
        <v>công</v>
      </c>
      <c r="G187" s="588">
        <f>PTVT!G76</f>
        <v>3.75</v>
      </c>
      <c r="H187" s="589">
        <f>'Giá NC'!K5</f>
        <v>228618</v>
      </c>
      <c r="I187" s="603">
        <f>'5.Tiên lượng'!W34</f>
        <v>1</v>
      </c>
      <c r="J187" s="589">
        <f>PRODUCT(G187,H187,I187)</f>
        <v>857317.5</v>
      </c>
    </row>
    <row r="188" spans="1:10">
      <c r="A188" s="126"/>
      <c r="B188" s="127"/>
      <c r="C188" s="128" t="s">
        <v>590</v>
      </c>
      <c r="D188" s="128" t="s">
        <v>590</v>
      </c>
      <c r="E188" s="583" t="s">
        <v>267</v>
      </c>
      <c r="F188" s="127" t="s">
        <v>268</v>
      </c>
      <c r="G188" s="130"/>
      <c r="H188" s="131"/>
      <c r="I188" s="143"/>
      <c r="J188" s="131">
        <f>SUM(J189:J189)</f>
        <v>3453228.9288000008</v>
      </c>
    </row>
    <row r="189" spans="1:10">
      <c r="A189" s="584"/>
      <c r="B189" s="585"/>
      <c r="C189" s="586" t="s">
        <v>590</v>
      </c>
      <c r="D189" s="133" t="s">
        <v>603</v>
      </c>
      <c r="E189" s="587" t="str">
        <f>" - "&amp;'Giá Máy'!E30</f>
        <v xml:space="preserve"> - Máy ủi 180CV</v>
      </c>
      <c r="F189" s="585" t="str">
        <f>'Giá Máy'!F30</f>
        <v>ca</v>
      </c>
      <c r="G189" s="588">
        <f>PTVT!G78</f>
        <v>1.1200000000000001</v>
      </c>
      <c r="H189" s="589">
        <f>'Giá Máy'!O30</f>
        <v>3083240.1150000002</v>
      </c>
      <c r="I189" s="603">
        <f>'5.Tiên lượng'!X34</f>
        <v>1</v>
      </c>
      <c r="J189" s="589">
        <f>PRODUCT(G189,H189,I189)</f>
        <v>3453228.9288000008</v>
      </c>
    </row>
    <row r="190" spans="1:10">
      <c r="A190" s="584"/>
      <c r="B190" s="585"/>
      <c r="C190" s="586" t="s">
        <v>590</v>
      </c>
      <c r="D190" s="133" t="s">
        <v>590</v>
      </c>
      <c r="E190" s="587" t="s">
        <v>269</v>
      </c>
      <c r="F190" s="585" t="s">
        <v>270</v>
      </c>
      <c r="G190" s="590"/>
      <c r="H190" s="589"/>
      <c r="I190" s="603"/>
      <c r="J190" s="589">
        <f>J185+J186+J188</f>
        <v>4310546.4288000008</v>
      </c>
    </row>
    <row r="191" spans="1:10">
      <c r="A191" s="584"/>
      <c r="B191" s="585"/>
      <c r="C191" s="586" t="s">
        <v>590</v>
      </c>
      <c r="D191" s="133" t="s">
        <v>590</v>
      </c>
      <c r="E191" s="587" t="s">
        <v>273</v>
      </c>
      <c r="F191" s="585" t="s">
        <v>274</v>
      </c>
      <c r="G191" s="591">
        <f>'Thông tin'!E67</f>
        <v>6.2E-2</v>
      </c>
      <c r="H191" s="589"/>
      <c r="I191" s="603"/>
      <c r="J191" s="589">
        <f>(J190)*G191</f>
        <v>267253.87858560006</v>
      </c>
    </row>
    <row r="192" spans="1:10">
      <c r="A192" s="584"/>
      <c r="B192" s="585"/>
      <c r="C192" s="586" t="s">
        <v>590</v>
      </c>
      <c r="D192" s="133" t="s">
        <v>590</v>
      </c>
      <c r="E192" s="587" t="s">
        <v>276</v>
      </c>
      <c r="F192" s="585" t="s">
        <v>277</v>
      </c>
      <c r="G192" s="591">
        <f>'Thông tin'!E60</f>
        <v>2.2000000000000002E-2</v>
      </c>
      <c r="H192" s="589"/>
      <c r="I192" s="603"/>
      <c r="J192" s="589">
        <f>(J190)*G192</f>
        <v>94832.021433600021</v>
      </c>
    </row>
    <row r="193" spans="1:10" ht="27.6">
      <c r="A193" s="584"/>
      <c r="B193" s="585"/>
      <c r="C193" s="586" t="s">
        <v>590</v>
      </c>
      <c r="D193" s="133" t="s">
        <v>590</v>
      </c>
      <c r="E193" s="587" t="s">
        <v>279</v>
      </c>
      <c r="F193" s="585" t="s">
        <v>142</v>
      </c>
      <c r="G193" s="591">
        <f>'Thông tin'!E65</f>
        <v>0.02</v>
      </c>
      <c r="H193" s="589"/>
      <c r="I193" s="603"/>
      <c r="J193" s="589">
        <f>(J190)*G193</f>
        <v>86210.92857600002</v>
      </c>
    </row>
    <row r="194" spans="1:10">
      <c r="A194" s="584"/>
      <c r="B194" s="585"/>
      <c r="C194" s="586" t="s">
        <v>590</v>
      </c>
      <c r="D194" s="133" t="s">
        <v>590</v>
      </c>
      <c r="E194" s="587" t="s">
        <v>281</v>
      </c>
      <c r="F194" s="585" t="s">
        <v>282</v>
      </c>
      <c r="G194" s="590"/>
      <c r="H194" s="589"/>
      <c r="I194" s="603"/>
      <c r="J194" s="589">
        <f>J191+J192+J193</f>
        <v>448296.82859520009</v>
      </c>
    </row>
    <row r="195" spans="1:10">
      <c r="A195" s="584"/>
      <c r="B195" s="585"/>
      <c r="C195" s="586" t="s">
        <v>590</v>
      </c>
      <c r="D195" s="133" t="s">
        <v>590</v>
      </c>
      <c r="E195" s="587" t="s">
        <v>284</v>
      </c>
      <c r="F195" s="585" t="s">
        <v>285</v>
      </c>
      <c r="G195" s="591">
        <f>'Thông tin'!E63</f>
        <v>0.06</v>
      </c>
      <c r="H195" s="589"/>
      <c r="I195" s="603"/>
      <c r="J195" s="589">
        <f>(J190+J194)*G195</f>
        <v>285530.59544371202</v>
      </c>
    </row>
    <row r="196" spans="1:10">
      <c r="A196" s="584"/>
      <c r="B196" s="585"/>
      <c r="C196" s="586" t="s">
        <v>590</v>
      </c>
      <c r="D196" s="133" t="s">
        <v>590</v>
      </c>
      <c r="E196" s="592" t="s">
        <v>287</v>
      </c>
      <c r="F196" s="593" t="s">
        <v>288</v>
      </c>
      <c r="G196" s="590"/>
      <c r="H196" s="589"/>
      <c r="I196" s="603"/>
      <c r="J196" s="604">
        <f>J190+J194+J195</f>
        <v>5044373.852838912</v>
      </c>
    </row>
    <row r="197" spans="1:10">
      <c r="A197" s="584"/>
      <c r="B197" s="585"/>
      <c r="C197" s="586" t="s">
        <v>590</v>
      </c>
      <c r="D197" s="133" t="s">
        <v>590</v>
      </c>
      <c r="E197" s="587" t="s">
        <v>290</v>
      </c>
      <c r="F197" s="585" t="s">
        <v>291</v>
      </c>
      <c r="G197" s="591">
        <f>'Thông tin'!E61</f>
        <v>0.1</v>
      </c>
      <c r="H197" s="589"/>
      <c r="I197" s="603"/>
      <c r="J197" s="589">
        <f>(J196)*G197</f>
        <v>504437.38528389123</v>
      </c>
    </row>
    <row r="198" spans="1:10">
      <c r="A198" s="594"/>
      <c r="B198" s="595"/>
      <c r="C198" s="596" t="s">
        <v>590</v>
      </c>
      <c r="D198" s="137" t="s">
        <v>590</v>
      </c>
      <c r="E198" s="597" t="s">
        <v>293</v>
      </c>
      <c r="F198" s="598" t="s">
        <v>19</v>
      </c>
      <c r="G198" s="599"/>
      <c r="H198" s="600"/>
      <c r="I198" s="605"/>
      <c r="J198" s="606">
        <f>J196+J197</f>
        <v>5548811.2381228032</v>
      </c>
    </row>
    <row r="199" spans="1:10">
      <c r="A199" s="578"/>
      <c r="B199" s="579">
        <v>13</v>
      </c>
      <c r="C199" s="578" t="str">
        <f>'5.Tiên lượng'!C36</f>
        <v>AD.11212</v>
      </c>
      <c r="D199" s="578" t="str">
        <f>'5.Tiên lượng'!C36</f>
        <v>AD.11212</v>
      </c>
      <c r="E199" s="580" t="str">
        <f>'5.Tiên lượng'!D36</f>
        <v>Thi công đắp cấp phối đá dăm loại 2</v>
      </c>
      <c r="F199" s="579" t="str">
        <f>'5.Tiên lượng'!E36</f>
        <v>100m3</v>
      </c>
      <c r="G199" s="581"/>
      <c r="H199" s="582"/>
      <c r="I199" s="602"/>
      <c r="J199" s="582"/>
    </row>
    <row r="200" spans="1:10">
      <c r="A200" s="126"/>
      <c r="B200" s="127"/>
      <c r="C200" s="128" t="s">
        <v>590</v>
      </c>
      <c r="D200" s="128" t="s">
        <v>590</v>
      </c>
      <c r="E200" s="583" t="s">
        <v>262</v>
      </c>
      <c r="F200" s="127" t="s">
        <v>263</v>
      </c>
      <c r="G200" s="130"/>
      <c r="H200" s="131"/>
      <c r="I200" s="143"/>
      <c r="J200" s="131">
        <f>SUM(J201:J201)</f>
        <v>32221379.337286752</v>
      </c>
    </row>
    <row r="201" spans="1:10">
      <c r="A201" s="584"/>
      <c r="B201" s="585"/>
      <c r="C201" s="586" t="s">
        <v>590</v>
      </c>
      <c r="D201" s="133" t="s">
        <v>604</v>
      </c>
      <c r="E201" s="587" t="str">
        <f>" - "&amp;'Giá VL'!E13</f>
        <v xml:space="preserve"> - Cấp phối đá dăm loại 2</v>
      </c>
      <c r="F201" s="585" t="str">
        <f>'Giá VL'!F13</f>
        <v>m3</v>
      </c>
      <c r="G201" s="588">
        <f>PTVT!G81</f>
        <v>134</v>
      </c>
      <c r="H201" s="589">
        <f>'Giá VL'!V13</f>
        <v>240458.05475587127</v>
      </c>
      <c r="I201" s="603">
        <f>'5.Tiên lượng'!V36</f>
        <v>1</v>
      </c>
      <c r="J201" s="589">
        <f>PRODUCT(G201,H201,I201)</f>
        <v>32221379.337286752</v>
      </c>
    </row>
    <row r="202" spans="1:10">
      <c r="A202" s="126"/>
      <c r="B202" s="127"/>
      <c r="C202" s="128" t="s">
        <v>590</v>
      </c>
      <c r="D202" s="128" t="s">
        <v>590</v>
      </c>
      <c r="E202" s="583" t="s">
        <v>265</v>
      </c>
      <c r="F202" s="127" t="s">
        <v>266</v>
      </c>
      <c r="G202" s="130"/>
      <c r="H202" s="131"/>
      <c r="I202" s="143"/>
      <c r="J202" s="131">
        <f>SUM(J203:J203)</f>
        <v>770352.96000000008</v>
      </c>
    </row>
    <row r="203" spans="1:10">
      <c r="A203" s="584"/>
      <c r="B203" s="585"/>
      <c r="C203" s="586" t="s">
        <v>590</v>
      </c>
      <c r="D203" s="133" t="s">
        <v>605</v>
      </c>
      <c r="E203" s="587" t="str">
        <f>" - "&amp;'Giá NC'!E7</f>
        <v xml:space="preserve"> - Nhân công bậc 3,0/7 - Nhóm 2</v>
      </c>
      <c r="F203" s="585" t="str">
        <f>'Giá NC'!F7</f>
        <v>công</v>
      </c>
      <c r="G203" s="588">
        <f>PTVT!G83</f>
        <v>3.12</v>
      </c>
      <c r="H203" s="589">
        <f>'Giá NC'!K7</f>
        <v>246908</v>
      </c>
      <c r="I203" s="603">
        <f>'5.Tiên lượng'!W36</f>
        <v>1</v>
      </c>
      <c r="J203" s="589">
        <f>PRODUCT(G203,H203,I203)</f>
        <v>770352.96000000008</v>
      </c>
    </row>
    <row r="204" spans="1:10">
      <c r="A204" s="126"/>
      <c r="B204" s="127"/>
      <c r="C204" s="128" t="s">
        <v>590</v>
      </c>
      <c r="D204" s="128" t="s">
        <v>590</v>
      </c>
      <c r="E204" s="583" t="s">
        <v>267</v>
      </c>
      <c r="F204" s="127" t="s">
        <v>268</v>
      </c>
      <c r="G204" s="130"/>
      <c r="H204" s="131"/>
      <c r="I204" s="143"/>
      <c r="J204" s="131">
        <f>SUM(J205:J210)</f>
        <v>2369565.459726376</v>
      </c>
    </row>
    <row r="205" spans="1:10">
      <c r="A205" s="584"/>
      <c r="B205" s="585"/>
      <c r="C205" s="586" t="s">
        <v>590</v>
      </c>
      <c r="D205" s="133" t="s">
        <v>606</v>
      </c>
      <c r="E205" s="587" t="str">
        <f>" - "&amp;'Giá Máy'!E24</f>
        <v xml:space="preserve"> - Máy rải cấp phối đá dăm 50 - 60m3/h</v>
      </c>
      <c r="F205" s="585" t="str">
        <f>'Giá Máy'!F24</f>
        <v>ca</v>
      </c>
      <c r="G205" s="588">
        <f>PTVT!G85</f>
        <v>0.21</v>
      </c>
      <c r="H205" s="589">
        <f>'Giá Máy'!O24</f>
        <v>3572483.6555555556</v>
      </c>
      <c r="I205" s="603">
        <f>'5.Tiên lượng'!X36</f>
        <v>1</v>
      </c>
      <c r="J205" s="589">
        <f t="shared" ref="J205:J210" si="10">PRODUCT(G205,H205,I205)</f>
        <v>750221.5676666667</v>
      </c>
    </row>
    <row r="206" spans="1:10">
      <c r="A206" s="584"/>
      <c r="B206" s="585"/>
      <c r="C206" s="586" t="s">
        <v>590</v>
      </c>
      <c r="D206" s="133" t="s">
        <v>607</v>
      </c>
      <c r="E206" s="587" t="str">
        <f>" - "&amp;'Giá Máy'!E19</f>
        <v xml:space="preserve"> - Máy lu rung tự hành 25T</v>
      </c>
      <c r="F206" s="585" t="str">
        <f>'Giá Máy'!F19</f>
        <v>ca</v>
      </c>
      <c r="G206" s="588">
        <f>PTVT!G86</f>
        <v>0.32</v>
      </c>
      <c r="H206" s="589">
        <f>'Giá Máy'!O19</f>
        <v>2794294.0688888887</v>
      </c>
      <c r="I206" s="603">
        <f>'5.Tiên lượng'!X36</f>
        <v>1</v>
      </c>
      <c r="J206" s="589">
        <f t="shared" si="10"/>
        <v>894174.10204444441</v>
      </c>
    </row>
    <row r="207" spans="1:10">
      <c r="A207" s="584"/>
      <c r="B207" s="585"/>
      <c r="C207" s="586" t="s">
        <v>590</v>
      </c>
      <c r="D207" s="133" t="s">
        <v>608</v>
      </c>
      <c r="E207" s="587" t="str">
        <f>" - "&amp;'Giá Máy'!E38</f>
        <v xml:space="preserve"> - Máy lu bánh hơi tự hành 16T</v>
      </c>
      <c r="F207" s="585" t="str">
        <f>'Giá Máy'!F38</f>
        <v>ca</v>
      </c>
      <c r="G207" s="588">
        <f>PTVT!G87</f>
        <v>0.12</v>
      </c>
      <c r="H207" s="589">
        <f>'Giá Máy'!O38</f>
        <v>1553246.5422222223</v>
      </c>
      <c r="I207" s="603">
        <f>'5.Tiên lượng'!X36</f>
        <v>1</v>
      </c>
      <c r="J207" s="589">
        <f t="shared" si="10"/>
        <v>186389.58506666668</v>
      </c>
    </row>
    <row r="208" spans="1:10">
      <c r="A208" s="584"/>
      <c r="B208" s="585"/>
      <c r="C208" s="586" t="s">
        <v>590</v>
      </c>
      <c r="D208" s="133" t="s">
        <v>609</v>
      </c>
      <c r="E208" s="587" t="str">
        <f>" - "&amp;'Giá Máy'!E17</f>
        <v xml:space="preserve"> - Máy lu bánh thép 10T</v>
      </c>
      <c r="F208" s="585" t="str">
        <f>'Giá Máy'!F17</f>
        <v>ca</v>
      </c>
      <c r="G208" s="588">
        <f>PTVT!G88</f>
        <v>0.26</v>
      </c>
      <c r="H208" s="589">
        <f>'Giá Máy'!O17</f>
        <v>1132157.2474074075</v>
      </c>
      <c r="I208" s="603">
        <f>'5.Tiên lượng'!X36</f>
        <v>1</v>
      </c>
      <c r="J208" s="589">
        <f t="shared" si="10"/>
        <v>294360.88432592596</v>
      </c>
    </row>
    <row r="209" spans="1:10">
      <c r="A209" s="584"/>
      <c r="B209" s="585"/>
      <c r="C209" s="586" t="s">
        <v>590</v>
      </c>
      <c r="D209" s="133" t="s">
        <v>610</v>
      </c>
      <c r="E209" s="587" t="str">
        <f>" - "&amp;'Giá Máy'!E33</f>
        <v xml:space="preserve"> - Ô tô tưới nước 5m3</v>
      </c>
      <c r="F209" s="585" t="str">
        <f>'Giá Máy'!F33</f>
        <v>ca</v>
      </c>
      <c r="G209" s="588">
        <f>PTVT!G89</f>
        <v>0.21</v>
      </c>
      <c r="H209" s="589">
        <f>'Giá Máy'!O33</f>
        <v>1107763.9892307692</v>
      </c>
      <c r="I209" s="603">
        <f>'5.Tiên lượng'!X36</f>
        <v>1</v>
      </c>
      <c r="J209" s="589">
        <f t="shared" si="10"/>
        <v>232630.43773846154</v>
      </c>
    </row>
    <row r="210" spans="1:10">
      <c r="A210" s="584"/>
      <c r="B210" s="585"/>
      <c r="C210" s="586" t="s">
        <v>590</v>
      </c>
      <c r="D210" s="133" t="s">
        <v>611</v>
      </c>
      <c r="E210" s="587" t="s">
        <v>612</v>
      </c>
      <c r="F210" s="585" t="s">
        <v>37</v>
      </c>
      <c r="G210" s="588">
        <f>PTVT!G90</f>
        <v>0.5</v>
      </c>
      <c r="H210" s="589">
        <f>IF('5.Tiên lượng'!X36&lt;&gt;0,SUM(J205:J209)/100/'5.Tiên lượng'!X36,0)</f>
        <v>23577.76576842165</v>
      </c>
      <c r="I210" s="603">
        <f>'5.Tiên lượng'!X36</f>
        <v>1</v>
      </c>
      <c r="J210" s="589">
        <f t="shared" si="10"/>
        <v>11788.882884210825</v>
      </c>
    </row>
    <row r="211" spans="1:10">
      <c r="A211" s="584"/>
      <c r="B211" s="585"/>
      <c r="C211" s="586" t="s">
        <v>590</v>
      </c>
      <c r="D211" s="133" t="s">
        <v>590</v>
      </c>
      <c r="E211" s="587" t="s">
        <v>269</v>
      </c>
      <c r="F211" s="585" t="s">
        <v>270</v>
      </c>
      <c r="G211" s="590"/>
      <c r="H211" s="589"/>
      <c r="I211" s="603"/>
      <c r="J211" s="589">
        <f>J200+J202+J204</f>
        <v>35361297.757013127</v>
      </c>
    </row>
    <row r="212" spans="1:10">
      <c r="A212" s="584"/>
      <c r="B212" s="585"/>
      <c r="C212" s="586" t="s">
        <v>590</v>
      </c>
      <c r="D212" s="133" t="s">
        <v>590</v>
      </c>
      <c r="E212" s="587" t="s">
        <v>273</v>
      </c>
      <c r="F212" s="585" t="s">
        <v>274</v>
      </c>
      <c r="G212" s="591">
        <f>'Thông tin'!E67</f>
        <v>6.2E-2</v>
      </c>
      <c r="H212" s="589"/>
      <c r="I212" s="603"/>
      <c r="J212" s="589">
        <f>(J211)*G212</f>
        <v>2192400.4609348141</v>
      </c>
    </row>
    <row r="213" spans="1:10">
      <c r="A213" s="584"/>
      <c r="B213" s="585"/>
      <c r="C213" s="586" t="s">
        <v>590</v>
      </c>
      <c r="D213" s="133" t="s">
        <v>590</v>
      </c>
      <c r="E213" s="587" t="s">
        <v>276</v>
      </c>
      <c r="F213" s="585" t="s">
        <v>277</v>
      </c>
      <c r="G213" s="591">
        <f>'Thông tin'!E60</f>
        <v>2.2000000000000002E-2</v>
      </c>
      <c r="H213" s="589"/>
      <c r="I213" s="603"/>
      <c r="J213" s="589">
        <f>(J211)*G213</f>
        <v>777948.55065428885</v>
      </c>
    </row>
    <row r="214" spans="1:10" ht="27.6">
      <c r="A214" s="584"/>
      <c r="B214" s="585"/>
      <c r="C214" s="586" t="s">
        <v>590</v>
      </c>
      <c r="D214" s="133" t="s">
        <v>590</v>
      </c>
      <c r="E214" s="587" t="s">
        <v>279</v>
      </c>
      <c r="F214" s="585" t="s">
        <v>142</v>
      </c>
      <c r="G214" s="591">
        <f>'Thông tin'!E65</f>
        <v>0.02</v>
      </c>
      <c r="H214" s="589"/>
      <c r="I214" s="603"/>
      <c r="J214" s="589">
        <f>(J211)*G214</f>
        <v>707225.95514026261</v>
      </c>
    </row>
    <row r="215" spans="1:10">
      <c r="A215" s="584"/>
      <c r="B215" s="585"/>
      <c r="C215" s="586" t="s">
        <v>590</v>
      </c>
      <c r="D215" s="133" t="s">
        <v>590</v>
      </c>
      <c r="E215" s="587" t="s">
        <v>281</v>
      </c>
      <c r="F215" s="585" t="s">
        <v>282</v>
      </c>
      <c r="G215" s="590"/>
      <c r="H215" s="589"/>
      <c r="I215" s="603"/>
      <c r="J215" s="589">
        <f>J212+J213+J214</f>
        <v>3677574.9667293653</v>
      </c>
    </row>
    <row r="216" spans="1:10">
      <c r="A216" s="584"/>
      <c r="B216" s="585"/>
      <c r="C216" s="586" t="s">
        <v>590</v>
      </c>
      <c r="D216" s="133" t="s">
        <v>590</v>
      </c>
      <c r="E216" s="587" t="s">
        <v>284</v>
      </c>
      <c r="F216" s="585" t="s">
        <v>285</v>
      </c>
      <c r="G216" s="591">
        <f>'Thông tin'!E63</f>
        <v>0.06</v>
      </c>
      <c r="H216" s="589"/>
      <c r="I216" s="603"/>
      <c r="J216" s="589">
        <f>(J211+J215)*G216</f>
        <v>2342332.3634245493</v>
      </c>
    </row>
    <row r="217" spans="1:10">
      <c r="A217" s="584"/>
      <c r="B217" s="585"/>
      <c r="C217" s="586" t="s">
        <v>590</v>
      </c>
      <c r="D217" s="133" t="s">
        <v>590</v>
      </c>
      <c r="E217" s="592" t="s">
        <v>287</v>
      </c>
      <c r="F217" s="593" t="s">
        <v>288</v>
      </c>
      <c r="G217" s="590"/>
      <c r="H217" s="589"/>
      <c r="I217" s="603"/>
      <c r="J217" s="604">
        <f>J211+J215+J216</f>
        <v>41381205.08716704</v>
      </c>
    </row>
    <row r="218" spans="1:10">
      <c r="A218" s="584"/>
      <c r="B218" s="585"/>
      <c r="C218" s="586" t="s">
        <v>590</v>
      </c>
      <c r="D218" s="133" t="s">
        <v>590</v>
      </c>
      <c r="E218" s="587" t="s">
        <v>290</v>
      </c>
      <c r="F218" s="585" t="s">
        <v>291</v>
      </c>
      <c r="G218" s="591">
        <f>'Thông tin'!E61</f>
        <v>0.1</v>
      </c>
      <c r="H218" s="589"/>
      <c r="I218" s="603"/>
      <c r="J218" s="589">
        <f>(J217)*G218</f>
        <v>4138120.5087167043</v>
      </c>
    </row>
    <row r="219" spans="1:10">
      <c r="A219" s="594"/>
      <c r="B219" s="595"/>
      <c r="C219" s="596" t="s">
        <v>590</v>
      </c>
      <c r="D219" s="137" t="s">
        <v>590</v>
      </c>
      <c r="E219" s="597" t="s">
        <v>293</v>
      </c>
      <c r="F219" s="598" t="s">
        <v>19</v>
      </c>
      <c r="G219" s="599"/>
      <c r="H219" s="600"/>
      <c r="I219" s="605"/>
      <c r="J219" s="606">
        <f>J217+J218</f>
        <v>45519325.595883742</v>
      </c>
    </row>
    <row r="220" spans="1:10" ht="27.6">
      <c r="A220" s="578"/>
      <c r="B220" s="579">
        <v>14</v>
      </c>
      <c r="C220" s="578" t="str">
        <f>'5.Tiên lượng'!C38</f>
        <v>AB.64123</v>
      </c>
      <c r="D220" s="578" t="str">
        <f>'5.Tiên lượng'!C38</f>
        <v>AB.64123</v>
      </c>
      <c r="E220" s="580" t="str">
        <f>'5.Tiên lượng'!D38</f>
        <v>Đắp nền đường bằng máy lu bánh thép 16T, máy ủi 110CV, độ chặt Y/C K = 0,95</v>
      </c>
      <c r="F220" s="579" t="str">
        <f>'5.Tiên lượng'!E38</f>
        <v>100m3</v>
      </c>
      <c r="G220" s="581"/>
      <c r="H220" s="582"/>
      <c r="I220" s="602"/>
      <c r="J220" s="582"/>
    </row>
    <row r="221" spans="1:10">
      <c r="A221" s="126"/>
      <c r="B221" s="127"/>
      <c r="C221" s="128" t="s">
        <v>590</v>
      </c>
      <c r="D221" s="128" t="s">
        <v>590</v>
      </c>
      <c r="E221" s="583" t="s">
        <v>262</v>
      </c>
      <c r="F221" s="127" t="s">
        <v>263</v>
      </c>
      <c r="G221" s="130"/>
      <c r="H221" s="131"/>
      <c r="I221" s="143"/>
      <c r="J221" s="131">
        <v>0</v>
      </c>
    </row>
    <row r="222" spans="1:10">
      <c r="A222" s="126"/>
      <c r="B222" s="127"/>
      <c r="C222" s="128" t="s">
        <v>590</v>
      </c>
      <c r="D222" s="128" t="s">
        <v>590</v>
      </c>
      <c r="E222" s="583" t="s">
        <v>265</v>
      </c>
      <c r="F222" s="127" t="s">
        <v>266</v>
      </c>
      <c r="G222" s="130"/>
      <c r="H222" s="131"/>
      <c r="I222" s="143"/>
      <c r="J222" s="131">
        <f>SUM(J223:J223)</f>
        <v>331496.09999999998</v>
      </c>
    </row>
    <row r="223" spans="1:10">
      <c r="A223" s="584"/>
      <c r="B223" s="585"/>
      <c r="C223" s="586" t="s">
        <v>590</v>
      </c>
      <c r="D223" s="133" t="s">
        <v>598</v>
      </c>
      <c r="E223" s="587" t="str">
        <f>" - "&amp;'Giá NC'!E5</f>
        <v xml:space="preserve"> - Nhân công bậc 3,0/7 - Nhóm 1</v>
      </c>
      <c r="F223" s="585" t="str">
        <f>'Giá NC'!F5</f>
        <v>công</v>
      </c>
      <c r="G223" s="588">
        <f>PTVT!G93</f>
        <v>1.45</v>
      </c>
      <c r="H223" s="589">
        <f>'Giá NC'!K5</f>
        <v>228618</v>
      </c>
      <c r="I223" s="603">
        <f>'5.Tiên lượng'!W38</f>
        <v>1</v>
      </c>
      <c r="J223" s="589">
        <f>PRODUCT(G223,H223,I223)</f>
        <v>331496.09999999998</v>
      </c>
    </row>
    <row r="224" spans="1:10">
      <c r="A224" s="126"/>
      <c r="B224" s="127"/>
      <c r="C224" s="128" t="s">
        <v>590</v>
      </c>
      <c r="D224" s="128" t="s">
        <v>590</v>
      </c>
      <c r="E224" s="583" t="s">
        <v>267</v>
      </c>
      <c r="F224" s="127" t="s">
        <v>268</v>
      </c>
      <c r="G224" s="130"/>
      <c r="H224" s="131"/>
      <c r="I224" s="143"/>
      <c r="J224" s="131">
        <f>SUM(J225:J227)</f>
        <v>775105.66290050559</v>
      </c>
    </row>
    <row r="225" spans="1:10">
      <c r="A225" s="584"/>
      <c r="B225" s="585"/>
      <c r="C225" s="586" t="s">
        <v>590</v>
      </c>
      <c r="D225" s="133" t="s">
        <v>613</v>
      </c>
      <c r="E225" s="587" t="str">
        <f>" - "&amp;'Giá Máy'!E42</f>
        <v xml:space="preserve"> - Máy lu bánh thép 16T</v>
      </c>
      <c r="F225" s="585" t="str">
        <f>'Giá Máy'!F42</f>
        <v>ca</v>
      </c>
      <c r="G225" s="588">
        <f>PTVT!G95</f>
        <v>0.33500000000000002</v>
      </c>
      <c r="H225" s="589">
        <f>'Giá Máy'!O42</f>
        <v>1372616.6911111111</v>
      </c>
      <c r="I225" s="603">
        <f>'5.Tiên lượng'!X38</f>
        <v>1</v>
      </c>
      <c r="J225" s="589">
        <f t="shared" ref="J225:J227" si="11">PRODUCT(G225,H225,I225)</f>
        <v>459826.59152222227</v>
      </c>
    </row>
    <row r="226" spans="1:10">
      <c r="A226" s="584"/>
      <c r="B226" s="585"/>
      <c r="C226" s="586" t="s">
        <v>590</v>
      </c>
      <c r="D226" s="133" t="s">
        <v>600</v>
      </c>
      <c r="E226" s="587" t="str">
        <f>" - "&amp;'Giá Máy'!E29</f>
        <v xml:space="preserve"> - Máy ủi 110CV</v>
      </c>
      <c r="F226" s="585" t="str">
        <f>'Giá Máy'!F29</f>
        <v>ca</v>
      </c>
      <c r="G226" s="588">
        <f>PTVT!G96</f>
        <v>0.16700000000000001</v>
      </c>
      <c r="H226" s="589">
        <f>'Giá Máy'!O29</f>
        <v>1819307.232857143</v>
      </c>
      <c r="I226" s="603">
        <f>'5.Tiên lượng'!X38</f>
        <v>1</v>
      </c>
      <c r="J226" s="589">
        <f t="shared" si="11"/>
        <v>303824.30788714293</v>
      </c>
    </row>
    <row r="227" spans="1:10">
      <c r="A227" s="584"/>
      <c r="B227" s="585"/>
      <c r="C227" s="586" t="s">
        <v>590</v>
      </c>
      <c r="D227" s="133" t="s">
        <v>611</v>
      </c>
      <c r="E227" s="587" t="s">
        <v>612</v>
      </c>
      <c r="F227" s="585" t="s">
        <v>37</v>
      </c>
      <c r="G227" s="588">
        <f>PTVT!G97</f>
        <v>1.5</v>
      </c>
      <c r="H227" s="589">
        <f>IF('5.Tiên lượng'!X38&lt;&gt;0,SUM(J225:J226)/100/'5.Tiên lượng'!X38,0)</f>
        <v>7636.5089940936514</v>
      </c>
      <c r="I227" s="603">
        <f>'5.Tiên lượng'!X38</f>
        <v>1</v>
      </c>
      <c r="J227" s="589">
        <f t="shared" si="11"/>
        <v>11454.763491140477</v>
      </c>
    </row>
    <row r="228" spans="1:10">
      <c r="A228" s="584"/>
      <c r="B228" s="585"/>
      <c r="C228" s="586" t="s">
        <v>590</v>
      </c>
      <c r="D228" s="133" t="s">
        <v>590</v>
      </c>
      <c r="E228" s="587" t="s">
        <v>269</v>
      </c>
      <c r="F228" s="585" t="s">
        <v>270</v>
      </c>
      <c r="G228" s="590"/>
      <c r="H228" s="589"/>
      <c r="I228" s="603"/>
      <c r="J228" s="589">
        <f>J221+J222+J224</f>
        <v>1106601.7629005057</v>
      </c>
    </row>
    <row r="229" spans="1:10">
      <c r="A229" s="584"/>
      <c r="B229" s="585"/>
      <c r="C229" s="586" t="s">
        <v>590</v>
      </c>
      <c r="D229" s="133" t="s">
        <v>590</v>
      </c>
      <c r="E229" s="587" t="s">
        <v>273</v>
      </c>
      <c r="F229" s="585" t="s">
        <v>274</v>
      </c>
      <c r="G229" s="591">
        <f>'Thông tin'!E67</f>
        <v>6.2E-2</v>
      </c>
      <c r="H229" s="589"/>
      <c r="I229" s="603"/>
      <c r="J229" s="589">
        <f>(J228)*G229</f>
        <v>68609.309299831351</v>
      </c>
    </row>
    <row r="230" spans="1:10">
      <c r="A230" s="584"/>
      <c r="B230" s="585"/>
      <c r="C230" s="586" t="s">
        <v>590</v>
      </c>
      <c r="D230" s="133" t="s">
        <v>590</v>
      </c>
      <c r="E230" s="587" t="s">
        <v>276</v>
      </c>
      <c r="F230" s="585" t="s">
        <v>277</v>
      </c>
      <c r="G230" s="591">
        <f>'Thông tin'!E60</f>
        <v>2.2000000000000002E-2</v>
      </c>
      <c r="H230" s="589"/>
      <c r="I230" s="603"/>
      <c r="J230" s="589">
        <f>(J228)*G230</f>
        <v>24345.238783811128</v>
      </c>
    </row>
    <row r="231" spans="1:10" ht="27.6">
      <c r="A231" s="584"/>
      <c r="B231" s="585"/>
      <c r="C231" s="586" t="s">
        <v>590</v>
      </c>
      <c r="D231" s="133" t="s">
        <v>590</v>
      </c>
      <c r="E231" s="587" t="s">
        <v>279</v>
      </c>
      <c r="F231" s="585" t="s">
        <v>142</v>
      </c>
      <c r="G231" s="591">
        <f>'Thông tin'!E65</f>
        <v>0.02</v>
      </c>
      <c r="H231" s="589"/>
      <c r="I231" s="603"/>
      <c r="J231" s="589">
        <f>(J228)*G231</f>
        <v>22132.035258010113</v>
      </c>
    </row>
    <row r="232" spans="1:10">
      <c r="A232" s="584"/>
      <c r="B232" s="585"/>
      <c r="C232" s="586" t="s">
        <v>590</v>
      </c>
      <c r="D232" s="133" t="s">
        <v>590</v>
      </c>
      <c r="E232" s="587" t="s">
        <v>281</v>
      </c>
      <c r="F232" s="585" t="s">
        <v>282</v>
      </c>
      <c r="G232" s="590"/>
      <c r="H232" s="589"/>
      <c r="I232" s="603"/>
      <c r="J232" s="589">
        <f>J229+J230+J231</f>
        <v>115086.5833416526</v>
      </c>
    </row>
    <row r="233" spans="1:10">
      <c r="A233" s="584"/>
      <c r="B233" s="585"/>
      <c r="C233" s="586" t="s">
        <v>590</v>
      </c>
      <c r="D233" s="133" t="s">
        <v>590</v>
      </c>
      <c r="E233" s="587" t="s">
        <v>284</v>
      </c>
      <c r="F233" s="585" t="s">
        <v>285</v>
      </c>
      <c r="G233" s="591">
        <f>'Thông tin'!E63</f>
        <v>0.06</v>
      </c>
      <c r="H233" s="589"/>
      <c r="I233" s="603"/>
      <c r="J233" s="589">
        <f>(J228+J232)*G233</f>
        <v>73301.300774529489</v>
      </c>
    </row>
    <row r="234" spans="1:10">
      <c r="A234" s="584"/>
      <c r="B234" s="585"/>
      <c r="C234" s="586" t="s">
        <v>590</v>
      </c>
      <c r="D234" s="133" t="s">
        <v>590</v>
      </c>
      <c r="E234" s="592" t="s">
        <v>287</v>
      </c>
      <c r="F234" s="593" t="s">
        <v>288</v>
      </c>
      <c r="G234" s="590"/>
      <c r="H234" s="589"/>
      <c r="I234" s="603"/>
      <c r="J234" s="604">
        <f>J228+J232+J233</f>
        <v>1294989.6470166878</v>
      </c>
    </row>
    <row r="235" spans="1:10">
      <c r="A235" s="584"/>
      <c r="B235" s="585"/>
      <c r="C235" s="586" t="s">
        <v>590</v>
      </c>
      <c r="D235" s="133" t="s">
        <v>590</v>
      </c>
      <c r="E235" s="587" t="s">
        <v>290</v>
      </c>
      <c r="F235" s="585" t="s">
        <v>291</v>
      </c>
      <c r="G235" s="591">
        <f>'Thông tin'!E61</f>
        <v>0.1</v>
      </c>
      <c r="H235" s="589"/>
      <c r="I235" s="603"/>
      <c r="J235" s="589">
        <f>(J234)*G235</f>
        <v>129498.96470166878</v>
      </c>
    </row>
    <row r="236" spans="1:10">
      <c r="A236" s="594"/>
      <c r="B236" s="595"/>
      <c r="C236" s="596" t="s">
        <v>590</v>
      </c>
      <c r="D236" s="137" t="s">
        <v>590</v>
      </c>
      <c r="E236" s="597" t="s">
        <v>293</v>
      </c>
      <c r="F236" s="598" t="s">
        <v>19</v>
      </c>
      <c r="G236" s="599"/>
      <c r="H236" s="600"/>
      <c r="I236" s="605"/>
      <c r="J236" s="606">
        <f>J234+J235</f>
        <v>1424488.6117183566</v>
      </c>
    </row>
    <row r="237" spans="1:10">
      <c r="A237" s="572"/>
      <c r="B237" s="573"/>
      <c r="C237" s="574" t="s">
        <v>339</v>
      </c>
      <c r="D237" s="117" t="s">
        <v>339</v>
      </c>
      <c r="E237" s="575" t="s">
        <v>387</v>
      </c>
      <c r="F237" s="573"/>
      <c r="G237" s="576"/>
      <c r="H237" s="577"/>
      <c r="I237" s="601"/>
      <c r="J237" s="577" t="s">
        <v>597</v>
      </c>
    </row>
    <row r="238" spans="1:10">
      <c r="A238" s="572"/>
      <c r="B238" s="573"/>
      <c r="C238" s="574" t="s">
        <v>339</v>
      </c>
      <c r="D238" s="117" t="s">
        <v>339</v>
      </c>
      <c r="E238" s="575" t="s">
        <v>388</v>
      </c>
      <c r="F238" s="573"/>
      <c r="G238" s="576"/>
      <c r="H238" s="577"/>
      <c r="I238" s="601"/>
      <c r="J238" s="577" t="s">
        <v>597</v>
      </c>
    </row>
    <row r="239" spans="1:10" ht="27.6">
      <c r="A239" s="578"/>
      <c r="B239" s="579">
        <v>15</v>
      </c>
      <c r="C239" s="578" t="str">
        <f>'5.Tiên lượng'!C42</f>
        <v>AB.31134VD</v>
      </c>
      <c r="D239" s="578" t="str">
        <f>'5.Tiên lượng'!C42</f>
        <v>AB.31134VD</v>
      </c>
      <c r="E239" s="580" t="str">
        <f>'5.Tiên lượng'!D42</f>
        <v>Đào khuôn đường cũ cấp phối bằng máy đào 1,25m3</v>
      </c>
      <c r="F239" s="579" t="str">
        <f>'5.Tiên lượng'!E42</f>
        <v>m3</v>
      </c>
      <c r="G239" s="581"/>
      <c r="H239" s="582"/>
      <c r="I239" s="602"/>
      <c r="J239" s="582"/>
    </row>
    <row r="240" spans="1:10">
      <c r="A240" s="126"/>
      <c r="B240" s="127"/>
      <c r="C240" s="128" t="s">
        <v>590</v>
      </c>
      <c r="D240" s="128" t="s">
        <v>590</v>
      </c>
      <c r="E240" s="583" t="s">
        <v>262</v>
      </c>
      <c r="F240" s="127" t="s">
        <v>263</v>
      </c>
      <c r="G240" s="130"/>
      <c r="H240" s="131"/>
      <c r="I240" s="143"/>
      <c r="J240" s="131">
        <v>0</v>
      </c>
    </row>
    <row r="241" spans="1:10">
      <c r="A241" s="126"/>
      <c r="B241" s="127"/>
      <c r="C241" s="128" t="s">
        <v>590</v>
      </c>
      <c r="D241" s="128" t="s">
        <v>590</v>
      </c>
      <c r="E241" s="583" t="s">
        <v>265</v>
      </c>
      <c r="F241" s="127" t="s">
        <v>266</v>
      </c>
      <c r="G241" s="130"/>
      <c r="H241" s="131"/>
      <c r="I241" s="143"/>
      <c r="J241" s="131">
        <f>SUM(J242:J242)</f>
        <v>10996.525799999999</v>
      </c>
    </row>
    <row r="242" spans="1:10">
      <c r="A242" s="584"/>
      <c r="B242" s="585"/>
      <c r="C242" s="586" t="s">
        <v>590</v>
      </c>
      <c r="D242" s="133" t="s">
        <v>598</v>
      </c>
      <c r="E242" s="587" t="str">
        <f>" - "&amp;'Giá NC'!E5</f>
        <v xml:space="preserve"> - Nhân công bậc 3,0/7 - Nhóm 1</v>
      </c>
      <c r="F242" s="585" t="str">
        <f>'Giá NC'!F5</f>
        <v>công</v>
      </c>
      <c r="G242" s="588">
        <f>PTVT!G102</f>
        <v>4.8099999999999997E-2</v>
      </c>
      <c r="H242" s="589">
        <f>'Giá NC'!K5</f>
        <v>228618</v>
      </c>
      <c r="I242" s="603">
        <f>'5.Tiên lượng'!W42</f>
        <v>1</v>
      </c>
      <c r="J242" s="589">
        <f>PRODUCT(G242,H242,I242)</f>
        <v>10996.525799999999</v>
      </c>
    </row>
    <row r="243" spans="1:10">
      <c r="A243" s="126"/>
      <c r="B243" s="127"/>
      <c r="C243" s="128" t="s">
        <v>590</v>
      </c>
      <c r="D243" s="128" t="s">
        <v>590</v>
      </c>
      <c r="E243" s="583" t="s">
        <v>267</v>
      </c>
      <c r="F243" s="127" t="s">
        <v>268</v>
      </c>
      <c r="G243" s="130"/>
      <c r="H243" s="131"/>
      <c r="I243" s="143"/>
      <c r="J243" s="131">
        <f>SUM(J244:J245)</f>
        <v>15882.231451285714</v>
      </c>
    </row>
    <row r="244" spans="1:10">
      <c r="A244" s="584"/>
      <c r="B244" s="585"/>
      <c r="C244" s="586" t="s">
        <v>590</v>
      </c>
      <c r="D244" s="133" t="s">
        <v>599</v>
      </c>
      <c r="E244" s="587" t="str">
        <f>" - "&amp;'Giá Máy'!E14</f>
        <v xml:space="preserve"> - Máy đào 1,25m3</v>
      </c>
      <c r="F244" s="585" t="str">
        <f>'Giá Máy'!F14</f>
        <v>ca</v>
      </c>
      <c r="G244" s="588">
        <f>PTVT!G104</f>
        <v>4.2399999999999998E-3</v>
      </c>
      <c r="H244" s="589">
        <f>'Giá Máy'!O14</f>
        <v>3496941.8057142859</v>
      </c>
      <c r="I244" s="603">
        <f>'5.Tiên lượng'!X42</f>
        <v>1</v>
      </c>
      <c r="J244" s="589">
        <f t="shared" ref="J244:J245" si="12">PRODUCT(G244,H244,I244)</f>
        <v>14827.033256228571</v>
      </c>
    </row>
    <row r="245" spans="1:10">
      <c r="A245" s="584"/>
      <c r="B245" s="585"/>
      <c r="C245" s="586" t="s">
        <v>590</v>
      </c>
      <c r="D245" s="133" t="s">
        <v>600</v>
      </c>
      <c r="E245" s="587" t="str">
        <f>" - "&amp;'Giá Máy'!E29</f>
        <v xml:space="preserve"> - Máy ủi 110CV</v>
      </c>
      <c r="F245" s="585" t="str">
        <f>'Giá Máy'!F29</f>
        <v>ca</v>
      </c>
      <c r="G245" s="588">
        <f>PTVT!G105</f>
        <v>5.8E-4</v>
      </c>
      <c r="H245" s="589">
        <f>'Giá Máy'!O29</f>
        <v>1819307.232857143</v>
      </c>
      <c r="I245" s="603">
        <f>'5.Tiên lượng'!X42</f>
        <v>1</v>
      </c>
      <c r="J245" s="589">
        <f t="shared" si="12"/>
        <v>1055.198195057143</v>
      </c>
    </row>
    <row r="246" spans="1:10">
      <c r="A246" s="584"/>
      <c r="B246" s="585"/>
      <c r="C246" s="586" t="s">
        <v>590</v>
      </c>
      <c r="D246" s="133" t="s">
        <v>590</v>
      </c>
      <c r="E246" s="587" t="s">
        <v>269</v>
      </c>
      <c r="F246" s="585" t="s">
        <v>270</v>
      </c>
      <c r="G246" s="590"/>
      <c r="H246" s="589"/>
      <c r="I246" s="603"/>
      <c r="J246" s="589">
        <f>J240+J241+J243</f>
        <v>26878.757251285715</v>
      </c>
    </row>
    <row r="247" spans="1:10">
      <c r="A247" s="584"/>
      <c r="B247" s="585"/>
      <c r="C247" s="586" t="s">
        <v>590</v>
      </c>
      <c r="D247" s="133" t="s">
        <v>590</v>
      </c>
      <c r="E247" s="587" t="s">
        <v>273</v>
      </c>
      <c r="F247" s="585" t="s">
        <v>274</v>
      </c>
      <c r="G247" s="591">
        <f>'Thông tin'!E67</f>
        <v>6.2E-2</v>
      </c>
      <c r="H247" s="589"/>
      <c r="I247" s="603"/>
      <c r="J247" s="589">
        <f>(J246)*G247</f>
        <v>1666.4829495797144</v>
      </c>
    </row>
    <row r="248" spans="1:10">
      <c r="A248" s="584"/>
      <c r="B248" s="585"/>
      <c r="C248" s="586" t="s">
        <v>590</v>
      </c>
      <c r="D248" s="133" t="s">
        <v>590</v>
      </c>
      <c r="E248" s="587" t="s">
        <v>276</v>
      </c>
      <c r="F248" s="585" t="s">
        <v>277</v>
      </c>
      <c r="G248" s="591">
        <f>'Thông tin'!E60</f>
        <v>2.2000000000000002E-2</v>
      </c>
      <c r="H248" s="589"/>
      <c r="I248" s="603"/>
      <c r="J248" s="589">
        <f>(J246)*G248</f>
        <v>591.33265952828583</v>
      </c>
    </row>
    <row r="249" spans="1:10" ht="27.6">
      <c r="A249" s="584"/>
      <c r="B249" s="585"/>
      <c r="C249" s="586" t="s">
        <v>590</v>
      </c>
      <c r="D249" s="133" t="s">
        <v>590</v>
      </c>
      <c r="E249" s="587" t="s">
        <v>279</v>
      </c>
      <c r="F249" s="585" t="s">
        <v>142</v>
      </c>
      <c r="G249" s="591">
        <f>'Thông tin'!E65</f>
        <v>0.02</v>
      </c>
      <c r="H249" s="589"/>
      <c r="I249" s="603"/>
      <c r="J249" s="589">
        <f>(J246)*G249</f>
        <v>537.57514502571428</v>
      </c>
    </row>
    <row r="250" spans="1:10">
      <c r="A250" s="584"/>
      <c r="B250" s="585"/>
      <c r="C250" s="586" t="s">
        <v>590</v>
      </c>
      <c r="D250" s="133" t="s">
        <v>590</v>
      </c>
      <c r="E250" s="587" t="s">
        <v>281</v>
      </c>
      <c r="F250" s="585" t="s">
        <v>282</v>
      </c>
      <c r="G250" s="590"/>
      <c r="H250" s="589"/>
      <c r="I250" s="603"/>
      <c r="J250" s="589">
        <f>J247+J248+J249</f>
        <v>2795.3907541337144</v>
      </c>
    </row>
    <row r="251" spans="1:10">
      <c r="A251" s="584"/>
      <c r="B251" s="585"/>
      <c r="C251" s="586" t="s">
        <v>590</v>
      </c>
      <c r="D251" s="133" t="s">
        <v>590</v>
      </c>
      <c r="E251" s="587" t="s">
        <v>284</v>
      </c>
      <c r="F251" s="585" t="s">
        <v>285</v>
      </c>
      <c r="G251" s="591">
        <f>'Thông tin'!E63</f>
        <v>0.06</v>
      </c>
      <c r="H251" s="589"/>
      <c r="I251" s="603"/>
      <c r="J251" s="589">
        <f>(J246+J250)*G251</f>
        <v>1780.4488803251656</v>
      </c>
    </row>
    <row r="252" spans="1:10">
      <c r="A252" s="584"/>
      <c r="B252" s="585"/>
      <c r="C252" s="586" t="s">
        <v>590</v>
      </c>
      <c r="D252" s="133" t="s">
        <v>590</v>
      </c>
      <c r="E252" s="592" t="s">
        <v>287</v>
      </c>
      <c r="F252" s="593" t="s">
        <v>288</v>
      </c>
      <c r="G252" s="590"/>
      <c r="H252" s="589"/>
      <c r="I252" s="603"/>
      <c r="J252" s="604">
        <f>J246+J250+J251</f>
        <v>31454.596885744595</v>
      </c>
    </row>
    <row r="253" spans="1:10">
      <c r="A253" s="584"/>
      <c r="B253" s="585"/>
      <c r="C253" s="586" t="s">
        <v>590</v>
      </c>
      <c r="D253" s="133" t="s">
        <v>590</v>
      </c>
      <c r="E253" s="587" t="s">
        <v>290</v>
      </c>
      <c r="F253" s="585" t="s">
        <v>291</v>
      </c>
      <c r="G253" s="591">
        <f>'Thông tin'!E61</f>
        <v>0.1</v>
      </c>
      <c r="H253" s="589"/>
      <c r="I253" s="603"/>
      <c r="J253" s="589">
        <f>(J252)*G253</f>
        <v>3145.4596885744595</v>
      </c>
    </row>
    <row r="254" spans="1:10">
      <c r="A254" s="594"/>
      <c r="B254" s="595"/>
      <c r="C254" s="596" t="s">
        <v>590</v>
      </c>
      <c r="D254" s="137" t="s">
        <v>590</v>
      </c>
      <c r="E254" s="597" t="s">
        <v>293</v>
      </c>
      <c r="F254" s="598" t="s">
        <v>19</v>
      </c>
      <c r="G254" s="599"/>
      <c r="H254" s="600"/>
      <c r="I254" s="605"/>
      <c r="J254" s="606">
        <f>J252+J253</f>
        <v>34600.056574319053</v>
      </c>
    </row>
    <row r="255" spans="1:10" ht="27.6">
      <c r="A255" s="578"/>
      <c r="B255" s="579">
        <v>16</v>
      </c>
      <c r="C255" s="578" t="str">
        <f>'5.Tiên lượng'!C43</f>
        <v>AB.31133</v>
      </c>
      <c r="D255" s="578" t="str">
        <f>'5.Tiên lượng'!C43</f>
        <v>AB.31133</v>
      </c>
      <c r="E255" s="580" t="str">
        <f>'5.Tiên lượng'!D43</f>
        <v>Đào nền đường bằng máy đào 1,25m3 - Cấp đất III</v>
      </c>
      <c r="F255" s="579" t="str">
        <f>'5.Tiên lượng'!E43</f>
        <v>100m3</v>
      </c>
      <c r="G255" s="581"/>
      <c r="H255" s="582"/>
      <c r="I255" s="602"/>
      <c r="J255" s="582"/>
    </row>
    <row r="256" spans="1:10">
      <c r="A256" s="126"/>
      <c r="B256" s="127"/>
      <c r="C256" s="128" t="s">
        <v>590</v>
      </c>
      <c r="D256" s="128" t="s">
        <v>590</v>
      </c>
      <c r="E256" s="583" t="s">
        <v>262</v>
      </c>
      <c r="F256" s="127" t="s">
        <v>263</v>
      </c>
      <c r="G256" s="130"/>
      <c r="H256" s="131"/>
      <c r="I256" s="143"/>
      <c r="J256" s="131">
        <v>0</v>
      </c>
    </row>
    <row r="257" spans="1:10">
      <c r="A257" s="126"/>
      <c r="B257" s="127"/>
      <c r="C257" s="128" t="s">
        <v>590</v>
      </c>
      <c r="D257" s="128" t="s">
        <v>590</v>
      </c>
      <c r="E257" s="583" t="s">
        <v>265</v>
      </c>
      <c r="F257" s="127" t="s">
        <v>266</v>
      </c>
      <c r="G257" s="130"/>
      <c r="H257" s="131"/>
      <c r="I257" s="143"/>
      <c r="J257" s="131">
        <f>SUM(J258:J258)</f>
        <v>928189.08</v>
      </c>
    </row>
    <row r="258" spans="1:10">
      <c r="A258" s="584"/>
      <c r="B258" s="585"/>
      <c r="C258" s="586" t="s">
        <v>590</v>
      </c>
      <c r="D258" s="133" t="s">
        <v>598</v>
      </c>
      <c r="E258" s="587" t="str">
        <f>" - "&amp;'Giá NC'!E5</f>
        <v xml:space="preserve"> - Nhân công bậc 3,0/7 - Nhóm 1</v>
      </c>
      <c r="F258" s="585" t="str">
        <f>'Giá NC'!F5</f>
        <v>công</v>
      </c>
      <c r="G258" s="588">
        <f>PTVT!G108</f>
        <v>4.0599999999999996</v>
      </c>
      <c r="H258" s="589">
        <f>'Giá NC'!K5</f>
        <v>228618</v>
      </c>
      <c r="I258" s="603">
        <f>'5.Tiên lượng'!W43</f>
        <v>1</v>
      </c>
      <c r="J258" s="589">
        <f>PRODUCT(G258,H258,I258)</f>
        <v>928189.08</v>
      </c>
    </row>
    <row r="259" spans="1:10">
      <c r="A259" s="126"/>
      <c r="B259" s="127"/>
      <c r="C259" s="128" t="s">
        <v>590</v>
      </c>
      <c r="D259" s="128" t="s">
        <v>590</v>
      </c>
      <c r="E259" s="583" t="s">
        <v>267</v>
      </c>
      <c r="F259" s="127" t="s">
        <v>268</v>
      </c>
      <c r="G259" s="130"/>
      <c r="H259" s="131"/>
      <c r="I259" s="143"/>
      <c r="J259" s="131">
        <f>SUM(J260:J261)</f>
        <v>1160321.1908914286</v>
      </c>
    </row>
    <row r="260" spans="1:10">
      <c r="A260" s="584"/>
      <c r="B260" s="585"/>
      <c r="C260" s="586" t="s">
        <v>590</v>
      </c>
      <c r="D260" s="133" t="s">
        <v>599</v>
      </c>
      <c r="E260" s="587" t="str">
        <f>" - "&amp;'Giá Máy'!E14</f>
        <v xml:space="preserve"> - Máy đào 1,25m3</v>
      </c>
      <c r="F260" s="585" t="str">
        <f>'Giá Máy'!F14</f>
        <v>ca</v>
      </c>
      <c r="G260" s="588">
        <f>PTVT!G110</f>
        <v>0.311</v>
      </c>
      <c r="H260" s="589">
        <f>'Giá Máy'!O14</f>
        <v>3496941.8057142859</v>
      </c>
      <c r="I260" s="603">
        <f>'5.Tiên lượng'!X43</f>
        <v>1</v>
      </c>
      <c r="J260" s="589">
        <f t="shared" ref="J260:J261" si="13">PRODUCT(G260,H260,I260)</f>
        <v>1087548.901577143</v>
      </c>
    </row>
    <row r="261" spans="1:10">
      <c r="A261" s="584"/>
      <c r="B261" s="585"/>
      <c r="C261" s="586" t="s">
        <v>590</v>
      </c>
      <c r="D261" s="133" t="s">
        <v>600</v>
      </c>
      <c r="E261" s="587" t="str">
        <f>" - "&amp;'Giá Máy'!E29</f>
        <v xml:space="preserve"> - Máy ủi 110CV</v>
      </c>
      <c r="F261" s="585" t="str">
        <f>'Giá Máy'!F29</f>
        <v>ca</v>
      </c>
      <c r="G261" s="588">
        <f>PTVT!G111</f>
        <v>0.04</v>
      </c>
      <c r="H261" s="589">
        <f>'Giá Máy'!O29</f>
        <v>1819307.232857143</v>
      </c>
      <c r="I261" s="603">
        <f>'5.Tiên lượng'!X43</f>
        <v>1</v>
      </c>
      <c r="J261" s="589">
        <f t="shared" si="13"/>
        <v>72772.289314285721</v>
      </c>
    </row>
    <row r="262" spans="1:10">
      <c r="A262" s="584"/>
      <c r="B262" s="585"/>
      <c r="C262" s="586" t="s">
        <v>590</v>
      </c>
      <c r="D262" s="133" t="s">
        <v>590</v>
      </c>
      <c r="E262" s="587" t="s">
        <v>269</v>
      </c>
      <c r="F262" s="585" t="s">
        <v>270</v>
      </c>
      <c r="G262" s="590"/>
      <c r="H262" s="589"/>
      <c r="I262" s="603"/>
      <c r="J262" s="589">
        <f>J256+J257+J259</f>
        <v>2088510.2708914285</v>
      </c>
    </row>
    <row r="263" spans="1:10">
      <c r="A263" s="584"/>
      <c r="B263" s="585"/>
      <c r="C263" s="586" t="s">
        <v>590</v>
      </c>
      <c r="D263" s="133" t="s">
        <v>590</v>
      </c>
      <c r="E263" s="587" t="s">
        <v>273</v>
      </c>
      <c r="F263" s="585" t="s">
        <v>274</v>
      </c>
      <c r="G263" s="591">
        <f>'Thông tin'!E67</f>
        <v>6.2E-2</v>
      </c>
      <c r="H263" s="589"/>
      <c r="I263" s="603"/>
      <c r="J263" s="589">
        <f>(J262)*G263</f>
        <v>129487.63679526857</v>
      </c>
    </row>
    <row r="264" spans="1:10">
      <c r="A264" s="584"/>
      <c r="B264" s="585"/>
      <c r="C264" s="586" t="s">
        <v>590</v>
      </c>
      <c r="D264" s="133" t="s">
        <v>590</v>
      </c>
      <c r="E264" s="587" t="s">
        <v>276</v>
      </c>
      <c r="F264" s="585" t="s">
        <v>277</v>
      </c>
      <c r="G264" s="591">
        <f>'Thông tin'!E60</f>
        <v>2.2000000000000002E-2</v>
      </c>
      <c r="H264" s="589"/>
      <c r="I264" s="603"/>
      <c r="J264" s="589">
        <f>(J262)*G264</f>
        <v>45947.225959611431</v>
      </c>
    </row>
    <row r="265" spans="1:10" ht="27.6">
      <c r="A265" s="584"/>
      <c r="B265" s="585"/>
      <c r="C265" s="586" t="s">
        <v>590</v>
      </c>
      <c r="D265" s="133" t="s">
        <v>590</v>
      </c>
      <c r="E265" s="587" t="s">
        <v>279</v>
      </c>
      <c r="F265" s="585" t="s">
        <v>142</v>
      </c>
      <c r="G265" s="591">
        <f>'Thông tin'!E65</f>
        <v>0.02</v>
      </c>
      <c r="H265" s="589"/>
      <c r="I265" s="603"/>
      <c r="J265" s="589">
        <f>(J262)*G265</f>
        <v>41770.205417828569</v>
      </c>
    </row>
    <row r="266" spans="1:10">
      <c r="A266" s="584"/>
      <c r="B266" s="585"/>
      <c r="C266" s="586" t="s">
        <v>590</v>
      </c>
      <c r="D266" s="133" t="s">
        <v>590</v>
      </c>
      <c r="E266" s="587" t="s">
        <v>281</v>
      </c>
      <c r="F266" s="585" t="s">
        <v>282</v>
      </c>
      <c r="G266" s="590"/>
      <c r="H266" s="589"/>
      <c r="I266" s="603"/>
      <c r="J266" s="589">
        <f>J263+J264+J265</f>
        <v>217205.06817270856</v>
      </c>
    </row>
    <row r="267" spans="1:10">
      <c r="A267" s="584"/>
      <c r="B267" s="585"/>
      <c r="C267" s="586" t="s">
        <v>590</v>
      </c>
      <c r="D267" s="133" t="s">
        <v>590</v>
      </c>
      <c r="E267" s="587" t="s">
        <v>284</v>
      </c>
      <c r="F267" s="585" t="s">
        <v>285</v>
      </c>
      <c r="G267" s="591">
        <f>'Thông tin'!E63</f>
        <v>0.06</v>
      </c>
      <c r="H267" s="589"/>
      <c r="I267" s="603"/>
      <c r="J267" s="589">
        <f>(J262+J266)*G267</f>
        <v>138342.92034384821</v>
      </c>
    </row>
    <row r="268" spans="1:10">
      <c r="A268" s="584"/>
      <c r="B268" s="585"/>
      <c r="C268" s="586" t="s">
        <v>590</v>
      </c>
      <c r="D268" s="133" t="s">
        <v>590</v>
      </c>
      <c r="E268" s="592" t="s">
        <v>287</v>
      </c>
      <c r="F268" s="593" t="s">
        <v>288</v>
      </c>
      <c r="G268" s="590"/>
      <c r="H268" s="589"/>
      <c r="I268" s="603"/>
      <c r="J268" s="604">
        <f>J262+J266+J267</f>
        <v>2444058.2594079855</v>
      </c>
    </row>
    <row r="269" spans="1:10">
      <c r="A269" s="584"/>
      <c r="B269" s="585"/>
      <c r="C269" s="586" t="s">
        <v>590</v>
      </c>
      <c r="D269" s="133" t="s">
        <v>590</v>
      </c>
      <c r="E269" s="587" t="s">
        <v>290</v>
      </c>
      <c r="F269" s="585" t="s">
        <v>291</v>
      </c>
      <c r="G269" s="591">
        <f>'Thông tin'!E61</f>
        <v>0.1</v>
      </c>
      <c r="H269" s="589"/>
      <c r="I269" s="603"/>
      <c r="J269" s="589">
        <f>(J268)*G269</f>
        <v>244405.82594079856</v>
      </c>
    </row>
    <row r="270" spans="1:10">
      <c r="A270" s="594"/>
      <c r="B270" s="595"/>
      <c r="C270" s="596" t="s">
        <v>590</v>
      </c>
      <c r="D270" s="137" t="s">
        <v>590</v>
      </c>
      <c r="E270" s="597" t="s">
        <v>293</v>
      </c>
      <c r="F270" s="598" t="s">
        <v>19</v>
      </c>
      <c r="G270" s="599"/>
      <c r="H270" s="600"/>
      <c r="I270" s="605"/>
      <c r="J270" s="606">
        <f>J268+J269</f>
        <v>2688464.085348784</v>
      </c>
    </row>
    <row r="271" spans="1:10">
      <c r="A271" s="572"/>
      <c r="B271" s="573"/>
      <c r="C271" s="574" t="s">
        <v>339</v>
      </c>
      <c r="D271" s="117" t="s">
        <v>339</v>
      </c>
      <c r="E271" s="575" t="s">
        <v>391</v>
      </c>
      <c r="F271" s="573"/>
      <c r="G271" s="576"/>
      <c r="H271" s="577"/>
      <c r="I271" s="601"/>
      <c r="J271" s="577" t="s">
        <v>597</v>
      </c>
    </row>
    <row r="272" spans="1:10" ht="41.4">
      <c r="A272" s="578"/>
      <c r="B272" s="579">
        <v>17</v>
      </c>
      <c r="C272" s="578" t="str">
        <f>'5.Tiên lượng'!C46</f>
        <v>AF.15433</v>
      </c>
      <c r="D272" s="578" t="str">
        <f>'5.Tiên lượng'!C46</f>
        <v>AF.15433</v>
      </c>
      <c r="E272" s="580" t="str">
        <f>'5.Tiên lượng'!D46</f>
        <v>Bê tông sản xuất bằng máy trộn và đổ bằng thủ công, bê tông mặt đường dày mặt đường ≤25cm, bê tông M250, đá 2x4, PCB40</v>
      </c>
      <c r="F272" s="579" t="str">
        <f>'5.Tiên lượng'!E46</f>
        <v>m3</v>
      </c>
      <c r="G272" s="581"/>
      <c r="H272" s="582"/>
      <c r="I272" s="602"/>
      <c r="J272" s="582"/>
    </row>
    <row r="273" spans="1:10">
      <c r="A273" s="126"/>
      <c r="B273" s="127"/>
      <c r="C273" s="128" t="s">
        <v>590</v>
      </c>
      <c r="D273" s="128" t="s">
        <v>590</v>
      </c>
      <c r="E273" s="583" t="s">
        <v>262</v>
      </c>
      <c r="F273" s="127" t="s">
        <v>263</v>
      </c>
      <c r="G273" s="130"/>
      <c r="H273" s="131"/>
      <c r="I273" s="143"/>
      <c r="J273" s="131">
        <f>SUM(J274:J280)</f>
        <v>1155340.0035279584</v>
      </c>
    </row>
    <row r="274" spans="1:10">
      <c r="A274" s="584"/>
      <c r="B274" s="585"/>
      <c r="C274" s="586" t="s">
        <v>590</v>
      </c>
      <c r="D274" s="133" t="s">
        <v>614</v>
      </c>
      <c r="E274" s="587" t="str">
        <f>" - "&amp;'Giá VL'!E45</f>
        <v xml:space="preserve"> - Xi măng PCB40</v>
      </c>
      <c r="F274" s="585" t="str">
        <f>'Giá VL'!F45</f>
        <v>kg</v>
      </c>
      <c r="G274" s="588">
        <f>PTVT!G115</f>
        <v>291.10000000000002</v>
      </c>
      <c r="H274" s="589">
        <f>'Giá VL'!V45</f>
        <v>1730</v>
      </c>
      <c r="I274" s="603">
        <f>'5.Tiên lượng'!V46</f>
        <v>1</v>
      </c>
      <c r="J274" s="589">
        <f t="shared" ref="J274:J280" si="14">PRODUCT(G274,H274,I274)</f>
        <v>503603.00000000006</v>
      </c>
    </row>
    <row r="275" spans="1:10">
      <c r="A275" s="584"/>
      <c r="B275" s="585"/>
      <c r="C275" s="586" t="s">
        <v>590</v>
      </c>
      <c r="D275" s="133" t="s">
        <v>615</v>
      </c>
      <c r="E275" s="587" t="str">
        <f>" - "&amp;'Giá VL'!E17</f>
        <v xml:space="preserve"> - Cát vàng</v>
      </c>
      <c r="F275" s="585" t="str">
        <f>'Giá VL'!F17</f>
        <v>m3</v>
      </c>
      <c r="G275" s="588">
        <f>PTVT!G116</f>
        <v>0.54325000000000001</v>
      </c>
      <c r="H275" s="589">
        <f>'Giá VL'!V17</f>
        <v>659026.49526849983</v>
      </c>
      <c r="I275" s="603">
        <f>'5.Tiên lượng'!V46</f>
        <v>1</v>
      </c>
      <c r="J275" s="589">
        <f t="shared" si="14"/>
        <v>358016.14355461253</v>
      </c>
    </row>
    <row r="276" spans="1:10">
      <c r="A276" s="584"/>
      <c r="B276" s="585"/>
      <c r="C276" s="586" t="s">
        <v>590</v>
      </c>
      <c r="D276" s="133" t="s">
        <v>616</v>
      </c>
      <c r="E276" s="587" t="str">
        <f>" - "&amp;'Giá VL'!E19</f>
        <v xml:space="preserve"> - Đá 2x4</v>
      </c>
      <c r="F276" s="585" t="str">
        <f>'Giá VL'!F19</f>
        <v>m3</v>
      </c>
      <c r="G276" s="588">
        <f>PTVT!G117</f>
        <v>0.882525</v>
      </c>
      <c r="H276" s="589">
        <f>'Giá VL'!V19</f>
        <v>310458.0547558713</v>
      </c>
      <c r="I276" s="603">
        <f>'5.Tiên lượng'!V46</f>
        <v>1</v>
      </c>
      <c r="J276" s="589">
        <f t="shared" si="14"/>
        <v>273986.99477342534</v>
      </c>
    </row>
    <row r="277" spans="1:10">
      <c r="A277" s="584"/>
      <c r="B277" s="585"/>
      <c r="C277" s="586" t="s">
        <v>590</v>
      </c>
      <c r="D277" s="133" t="s">
        <v>617</v>
      </c>
      <c r="E277" s="587" t="str">
        <f>" - "&amp;'Giá VL'!E33</f>
        <v xml:space="preserve"> - Nước</v>
      </c>
      <c r="F277" s="585" t="str">
        <f>'Giá VL'!F33</f>
        <v>lít</v>
      </c>
      <c r="G277" s="588">
        <f>PTVT!G118</f>
        <v>177.32499999999999</v>
      </c>
      <c r="H277" s="589">
        <f>'Giá VL'!V33</f>
        <v>15</v>
      </c>
      <c r="I277" s="603">
        <f>'5.Tiên lượng'!V46</f>
        <v>1</v>
      </c>
      <c r="J277" s="589">
        <f t="shared" si="14"/>
        <v>2659.875</v>
      </c>
    </row>
    <row r="278" spans="1:10">
      <c r="A278" s="584"/>
      <c r="B278" s="585"/>
      <c r="C278" s="586" t="s">
        <v>590</v>
      </c>
      <c r="D278" s="133" t="s">
        <v>618</v>
      </c>
      <c r="E278" s="587" t="str">
        <f>" - "&amp;'Giá VL'!E25</f>
        <v xml:space="preserve"> - Gỗ làm khe co dãn</v>
      </c>
      <c r="F278" s="585" t="str">
        <f>'Giá VL'!F25</f>
        <v>m3</v>
      </c>
      <c r="G278" s="588"/>
      <c r="H278" s="589"/>
      <c r="I278" s="603"/>
      <c r="J278" s="589"/>
    </row>
    <row r="279" spans="1:10">
      <c r="A279" s="584"/>
      <c r="B279" s="585"/>
      <c r="C279" s="586" t="s">
        <v>590</v>
      </c>
      <c r="D279" s="133" t="s">
        <v>619</v>
      </c>
      <c r="E279" s="587" t="str">
        <f>" - "&amp;'Giá VL'!E31</f>
        <v xml:space="preserve"> - Nhựa đường</v>
      </c>
      <c r="F279" s="585" t="str">
        <f>'Giá VL'!F31</f>
        <v>kg</v>
      </c>
      <c r="G279" s="588"/>
      <c r="H279" s="589"/>
      <c r="I279" s="603"/>
      <c r="J279" s="589"/>
    </row>
    <row r="280" spans="1:10">
      <c r="A280" s="584"/>
      <c r="B280" s="585"/>
      <c r="C280" s="586" t="s">
        <v>590</v>
      </c>
      <c r="D280" s="133" t="s">
        <v>620</v>
      </c>
      <c r="E280" s="587" t="s">
        <v>621</v>
      </c>
      <c r="F280" s="585" t="s">
        <v>37</v>
      </c>
      <c r="G280" s="588">
        <f>PTVT!G121</f>
        <v>1.5</v>
      </c>
      <c r="H280" s="589">
        <f>IF('5.Tiên lượng'!V46&lt;&gt;0,SUM(J274:J279)/100/'5.Tiên lượng'!V46,0)</f>
        <v>11382.660133280378</v>
      </c>
      <c r="I280" s="603">
        <f>'5.Tiên lượng'!V46</f>
        <v>1</v>
      </c>
      <c r="J280" s="589">
        <f t="shared" si="14"/>
        <v>17073.990199920569</v>
      </c>
    </row>
    <row r="281" spans="1:10">
      <c r="A281" s="126"/>
      <c r="B281" s="127"/>
      <c r="C281" s="128" t="s">
        <v>590</v>
      </c>
      <c r="D281" s="128" t="s">
        <v>590</v>
      </c>
      <c r="E281" s="583" t="s">
        <v>265</v>
      </c>
      <c r="F281" s="127" t="s">
        <v>266</v>
      </c>
      <c r="G281" s="130"/>
      <c r="H281" s="131"/>
      <c r="I281" s="143"/>
      <c r="J281" s="131">
        <f>SUM(J282:J282)</f>
        <v>332910</v>
      </c>
    </row>
    <row r="282" spans="1:10">
      <c r="A282" s="584"/>
      <c r="B282" s="585"/>
      <c r="C282" s="586" t="s">
        <v>590</v>
      </c>
      <c r="D282" s="133" t="s">
        <v>622</v>
      </c>
      <c r="E282" s="587" t="str">
        <f>" - "&amp;'Giá NC'!E9</f>
        <v xml:space="preserve"> - Nhân công bậc 3,5/7 - Nhóm 2</v>
      </c>
      <c r="F282" s="585" t="str">
        <f>'Giá NC'!F9</f>
        <v>công</v>
      </c>
      <c r="G282" s="588">
        <f>PTVT!G123</f>
        <v>1.37</v>
      </c>
      <c r="H282" s="589">
        <f>'Giá NC'!K9</f>
        <v>270000</v>
      </c>
      <c r="I282" s="603">
        <f>'5.Tiên lượng'!W46</f>
        <v>0.9</v>
      </c>
      <c r="J282" s="589">
        <f>PRODUCT(G282,H282,I282)</f>
        <v>332910</v>
      </c>
    </row>
    <row r="283" spans="1:10">
      <c r="A283" s="126"/>
      <c r="B283" s="127"/>
      <c r="C283" s="128" t="s">
        <v>590</v>
      </c>
      <c r="D283" s="128" t="s">
        <v>590</v>
      </c>
      <c r="E283" s="583" t="s">
        <v>267</v>
      </c>
      <c r="F283" s="127" t="s">
        <v>268</v>
      </c>
      <c r="G283" s="130"/>
      <c r="H283" s="131"/>
      <c r="I283" s="143"/>
      <c r="J283" s="131">
        <f>SUM(J284:J287)</f>
        <v>82287.912777365709</v>
      </c>
    </row>
    <row r="284" spans="1:10">
      <c r="A284" s="584"/>
      <c r="B284" s="585"/>
      <c r="C284" s="586" t="s">
        <v>590</v>
      </c>
      <c r="D284" s="133" t="s">
        <v>623</v>
      </c>
      <c r="E284" s="587" t="str">
        <f>" - "&amp;'Giá Máy'!E27</f>
        <v xml:space="preserve"> - Máy trộn bê tông 250 lít</v>
      </c>
      <c r="F284" s="585" t="str">
        <f>'Giá Máy'!F27</f>
        <v>ca</v>
      </c>
      <c r="G284" s="588">
        <f>PTVT!G125</f>
        <v>9.5000000000000001E-2</v>
      </c>
      <c r="H284" s="589">
        <f>'Giá Máy'!O27</f>
        <v>326305.98864499998</v>
      </c>
      <c r="I284" s="603">
        <f>'5.Tiên lượng'!X46</f>
        <v>1</v>
      </c>
      <c r="J284" s="589">
        <f t="shared" ref="J284:J287" si="15">PRODUCT(G284,H284,I284)</f>
        <v>30999.068921274997</v>
      </c>
    </row>
    <row r="285" spans="1:10">
      <c r="A285" s="584"/>
      <c r="B285" s="585"/>
      <c r="C285" s="586" t="s">
        <v>590</v>
      </c>
      <c r="D285" s="133" t="s">
        <v>624</v>
      </c>
      <c r="E285" s="587" t="str">
        <f>" - "&amp;'Giá Máy'!E10</f>
        <v xml:space="preserve"> - Máy đầm bàn 1kW</v>
      </c>
      <c r="F285" s="585" t="str">
        <f>'Giá Máy'!F10</f>
        <v>ca</v>
      </c>
      <c r="G285" s="588">
        <f>PTVT!G126</f>
        <v>8.8999999999999996E-2</v>
      </c>
      <c r="H285" s="589">
        <f>'Giá Máy'!O10</f>
        <v>276870.75847500004</v>
      </c>
      <c r="I285" s="603">
        <f>'5.Tiên lượng'!X46</f>
        <v>1</v>
      </c>
      <c r="J285" s="589">
        <f t="shared" si="15"/>
        <v>24641.497504275001</v>
      </c>
    </row>
    <row r="286" spans="1:10">
      <c r="A286" s="584"/>
      <c r="B286" s="585"/>
      <c r="C286" s="586" t="s">
        <v>590</v>
      </c>
      <c r="D286" s="133" t="s">
        <v>625</v>
      </c>
      <c r="E286" s="587" t="str">
        <f>" - "&amp;'Giá Máy'!E12</f>
        <v xml:space="preserve"> - Máy đầm dùi 1,5kW</v>
      </c>
      <c r="F286" s="585" t="str">
        <f>'Giá Máy'!F12</f>
        <v>ca</v>
      </c>
      <c r="G286" s="588">
        <f>PTVT!G127</f>
        <v>8.8999999999999996E-2</v>
      </c>
      <c r="H286" s="589">
        <f>'Giá Máy'!O12</f>
        <v>281279.30186500004</v>
      </c>
      <c r="I286" s="603">
        <f>'5.Tiên lượng'!X46</f>
        <v>1</v>
      </c>
      <c r="J286" s="589">
        <f t="shared" si="15"/>
        <v>25033.857865985003</v>
      </c>
    </row>
    <row r="287" spans="1:10">
      <c r="A287" s="584"/>
      <c r="B287" s="585"/>
      <c r="C287" s="586" t="s">
        <v>590</v>
      </c>
      <c r="D287" s="133" t="s">
        <v>611</v>
      </c>
      <c r="E287" s="587" t="s">
        <v>612</v>
      </c>
      <c r="F287" s="585" t="s">
        <v>37</v>
      </c>
      <c r="G287" s="588">
        <f>PTVT!G128</f>
        <v>2</v>
      </c>
      <c r="H287" s="589">
        <f>IF('5.Tiên lượng'!X46&lt;&gt;0,SUM(J284:J286)/100/'5.Tiên lượng'!X46,0)</f>
        <v>806.74424291535001</v>
      </c>
      <c r="I287" s="603">
        <f>'5.Tiên lượng'!X46</f>
        <v>1</v>
      </c>
      <c r="J287" s="589">
        <f t="shared" si="15"/>
        <v>1613.4884858307</v>
      </c>
    </row>
    <row r="288" spans="1:10">
      <c r="A288" s="584"/>
      <c r="B288" s="585"/>
      <c r="C288" s="586" t="s">
        <v>590</v>
      </c>
      <c r="D288" s="133" t="s">
        <v>590</v>
      </c>
      <c r="E288" s="587" t="s">
        <v>269</v>
      </c>
      <c r="F288" s="585" t="s">
        <v>270</v>
      </c>
      <c r="G288" s="590"/>
      <c r="H288" s="589"/>
      <c r="I288" s="603"/>
      <c r="J288" s="589">
        <f>J273+J281+J283</f>
        <v>1570537.9163053241</v>
      </c>
    </row>
    <row r="289" spans="1:10">
      <c r="A289" s="584"/>
      <c r="B289" s="585"/>
      <c r="C289" s="586" t="s">
        <v>590</v>
      </c>
      <c r="D289" s="133" t="s">
        <v>590</v>
      </c>
      <c r="E289" s="587" t="s">
        <v>273</v>
      </c>
      <c r="F289" s="585" t="s">
        <v>274</v>
      </c>
      <c r="G289" s="591">
        <f>'Thông tin'!E67</f>
        <v>6.2E-2</v>
      </c>
      <c r="H289" s="589"/>
      <c r="I289" s="603"/>
      <c r="J289" s="589">
        <f>(J288)*G289</f>
        <v>97373.350810930089</v>
      </c>
    </row>
    <row r="290" spans="1:10">
      <c r="A290" s="584"/>
      <c r="B290" s="585"/>
      <c r="C290" s="586" t="s">
        <v>590</v>
      </c>
      <c r="D290" s="133" t="s">
        <v>590</v>
      </c>
      <c r="E290" s="587" t="s">
        <v>276</v>
      </c>
      <c r="F290" s="585" t="s">
        <v>277</v>
      </c>
      <c r="G290" s="591">
        <f>'Thông tin'!E60</f>
        <v>2.2000000000000002E-2</v>
      </c>
      <c r="H290" s="589"/>
      <c r="I290" s="603"/>
      <c r="J290" s="589">
        <f>(J288)*G290</f>
        <v>34551.834158717131</v>
      </c>
    </row>
    <row r="291" spans="1:10" ht="27.6">
      <c r="A291" s="584"/>
      <c r="B291" s="585"/>
      <c r="C291" s="586" t="s">
        <v>590</v>
      </c>
      <c r="D291" s="133" t="s">
        <v>590</v>
      </c>
      <c r="E291" s="587" t="s">
        <v>279</v>
      </c>
      <c r="F291" s="585" t="s">
        <v>142</v>
      </c>
      <c r="G291" s="591">
        <f>'Thông tin'!E65</f>
        <v>0.02</v>
      </c>
      <c r="H291" s="589"/>
      <c r="I291" s="603"/>
      <c r="J291" s="589">
        <f>(J288)*G291</f>
        <v>31410.758326106483</v>
      </c>
    </row>
    <row r="292" spans="1:10">
      <c r="A292" s="584"/>
      <c r="B292" s="585"/>
      <c r="C292" s="586" t="s">
        <v>590</v>
      </c>
      <c r="D292" s="133" t="s">
        <v>590</v>
      </c>
      <c r="E292" s="587" t="s">
        <v>281</v>
      </c>
      <c r="F292" s="585" t="s">
        <v>282</v>
      </c>
      <c r="G292" s="590"/>
      <c r="H292" s="589"/>
      <c r="I292" s="603"/>
      <c r="J292" s="589">
        <f>J289+J290+J291</f>
        <v>163335.94329575368</v>
      </c>
    </row>
    <row r="293" spans="1:10">
      <c r="A293" s="584"/>
      <c r="B293" s="585"/>
      <c r="C293" s="586" t="s">
        <v>590</v>
      </c>
      <c r="D293" s="133" t="s">
        <v>590</v>
      </c>
      <c r="E293" s="587" t="s">
        <v>284</v>
      </c>
      <c r="F293" s="585" t="s">
        <v>285</v>
      </c>
      <c r="G293" s="591">
        <f>'Thông tin'!E63</f>
        <v>0.06</v>
      </c>
      <c r="H293" s="589"/>
      <c r="I293" s="603"/>
      <c r="J293" s="589">
        <f>(J288+J292)*G293</f>
        <v>104032.43157606466</v>
      </c>
    </row>
    <row r="294" spans="1:10">
      <c r="A294" s="584"/>
      <c r="B294" s="585"/>
      <c r="C294" s="586" t="s">
        <v>590</v>
      </c>
      <c r="D294" s="133" t="s">
        <v>590</v>
      </c>
      <c r="E294" s="592" t="s">
        <v>287</v>
      </c>
      <c r="F294" s="593" t="s">
        <v>288</v>
      </c>
      <c r="G294" s="590"/>
      <c r="H294" s="589"/>
      <c r="I294" s="603"/>
      <c r="J294" s="604">
        <f>J288+J292+J293</f>
        <v>1837906.2911771422</v>
      </c>
    </row>
    <row r="295" spans="1:10">
      <c r="A295" s="584"/>
      <c r="B295" s="585"/>
      <c r="C295" s="586" t="s">
        <v>590</v>
      </c>
      <c r="D295" s="133" t="s">
        <v>590</v>
      </c>
      <c r="E295" s="587" t="s">
        <v>290</v>
      </c>
      <c r="F295" s="585" t="s">
        <v>291</v>
      </c>
      <c r="G295" s="591">
        <f>'Thông tin'!E61</f>
        <v>0.1</v>
      </c>
      <c r="H295" s="589"/>
      <c r="I295" s="603"/>
      <c r="J295" s="589">
        <f>(J294)*G295</f>
        <v>183790.62911771424</v>
      </c>
    </row>
    <row r="296" spans="1:10">
      <c r="A296" s="594"/>
      <c r="B296" s="595"/>
      <c r="C296" s="596" t="s">
        <v>590</v>
      </c>
      <c r="D296" s="137" t="s">
        <v>590</v>
      </c>
      <c r="E296" s="597" t="s">
        <v>293</v>
      </c>
      <c r="F296" s="598" t="s">
        <v>19</v>
      </c>
      <c r="G296" s="599"/>
      <c r="H296" s="600"/>
      <c r="I296" s="605"/>
      <c r="J296" s="606">
        <f>J294+J295</f>
        <v>2021696.9202948564</v>
      </c>
    </row>
    <row r="297" spans="1:10">
      <c r="A297" s="578"/>
      <c r="B297" s="579">
        <v>18</v>
      </c>
      <c r="C297" s="578" t="str">
        <f>'5.Tiên lượng'!C49</f>
        <v>AL.16201</v>
      </c>
      <c r="D297" s="578" t="str">
        <f>'5.Tiên lượng'!C49</f>
        <v>AL.16201</v>
      </c>
      <c r="E297" s="580" t="str">
        <f>'5.Tiên lượng'!D49</f>
        <v>Ni lông chống thấm</v>
      </c>
      <c r="F297" s="579" t="str">
        <f>'5.Tiên lượng'!E49</f>
        <v>100m2</v>
      </c>
      <c r="G297" s="581"/>
      <c r="H297" s="582"/>
      <c r="I297" s="602"/>
      <c r="J297" s="582"/>
    </row>
    <row r="298" spans="1:10">
      <c r="A298" s="126"/>
      <c r="B298" s="127"/>
      <c r="C298" s="128" t="s">
        <v>590</v>
      </c>
      <c r="D298" s="128" t="s">
        <v>590</v>
      </c>
      <c r="E298" s="583" t="s">
        <v>262</v>
      </c>
      <c r="F298" s="127" t="s">
        <v>263</v>
      </c>
      <c r="G298" s="130"/>
      <c r="H298" s="131"/>
      <c r="I298" s="143"/>
      <c r="J298" s="131">
        <f>SUM(J299:J300)</f>
        <v>220440</v>
      </c>
    </row>
    <row r="299" spans="1:10">
      <c r="A299" s="584"/>
      <c r="B299" s="585"/>
      <c r="C299" s="586" t="s">
        <v>590</v>
      </c>
      <c r="D299" s="133" t="s">
        <v>626</v>
      </c>
      <c r="E299" s="587" t="str">
        <f>" - "&amp;'Giá VL'!E24</f>
        <v xml:space="preserve"> - Ni Lông</v>
      </c>
      <c r="F299" s="585" t="str">
        <f>'Giá VL'!F24</f>
        <v>m2</v>
      </c>
      <c r="G299" s="588">
        <f>PTVT!G131</f>
        <v>110</v>
      </c>
      <c r="H299" s="589">
        <f>'Giá VL'!V24</f>
        <v>2000</v>
      </c>
      <c r="I299" s="603">
        <f>'5.Tiên lượng'!V49</f>
        <v>1</v>
      </c>
      <c r="J299" s="589">
        <f t="shared" ref="J299:J300" si="16">PRODUCT(G299,H299,I299)</f>
        <v>220000</v>
      </c>
    </row>
    <row r="300" spans="1:10">
      <c r="A300" s="584"/>
      <c r="B300" s="585"/>
      <c r="C300" s="586" t="s">
        <v>590</v>
      </c>
      <c r="D300" s="133" t="s">
        <v>620</v>
      </c>
      <c r="E300" s="587" t="s">
        <v>621</v>
      </c>
      <c r="F300" s="585" t="s">
        <v>37</v>
      </c>
      <c r="G300" s="588">
        <f>PTVT!G132</f>
        <v>0.2</v>
      </c>
      <c r="H300" s="589">
        <f>IF('5.Tiên lượng'!V49&lt;&gt;0,SUM(J299:J299)/100/'5.Tiên lượng'!V49,0)</f>
        <v>2200</v>
      </c>
      <c r="I300" s="603">
        <f>'5.Tiên lượng'!V49</f>
        <v>1</v>
      </c>
      <c r="J300" s="589">
        <f t="shared" si="16"/>
        <v>440</v>
      </c>
    </row>
    <row r="301" spans="1:10">
      <c r="A301" s="126"/>
      <c r="B301" s="127"/>
      <c r="C301" s="128" t="s">
        <v>590</v>
      </c>
      <c r="D301" s="128" t="s">
        <v>590</v>
      </c>
      <c r="E301" s="583" t="s">
        <v>265</v>
      </c>
      <c r="F301" s="127" t="s">
        <v>266</v>
      </c>
      <c r="G301" s="130"/>
      <c r="H301" s="131"/>
      <c r="I301" s="143"/>
      <c r="J301" s="131">
        <f>SUM(J302:J302)</f>
        <v>40500</v>
      </c>
    </row>
    <row r="302" spans="1:10">
      <c r="A302" s="584"/>
      <c r="B302" s="585"/>
      <c r="C302" s="586" t="s">
        <v>590</v>
      </c>
      <c r="D302" s="133" t="s">
        <v>622</v>
      </c>
      <c r="E302" s="587" t="str">
        <f>" - "&amp;'Giá NC'!E9</f>
        <v xml:space="preserve"> - Nhân công bậc 3,5/7 - Nhóm 2</v>
      </c>
      <c r="F302" s="585" t="str">
        <f>'Giá NC'!F9</f>
        <v>công</v>
      </c>
      <c r="G302" s="588">
        <f>PTVT!G134</f>
        <v>0.15</v>
      </c>
      <c r="H302" s="589">
        <f>'Giá NC'!K9</f>
        <v>270000</v>
      </c>
      <c r="I302" s="603">
        <f>'5.Tiên lượng'!W49</f>
        <v>1</v>
      </c>
      <c r="J302" s="589">
        <f>PRODUCT(G302,H302,I302)</f>
        <v>40500</v>
      </c>
    </row>
    <row r="303" spans="1:10">
      <c r="A303" s="126"/>
      <c r="B303" s="127"/>
      <c r="C303" s="128" t="s">
        <v>590</v>
      </c>
      <c r="D303" s="128" t="s">
        <v>590</v>
      </c>
      <c r="E303" s="583" t="s">
        <v>267</v>
      </c>
      <c r="F303" s="127" t="s">
        <v>268</v>
      </c>
      <c r="G303" s="130"/>
      <c r="H303" s="131"/>
      <c r="I303" s="143"/>
      <c r="J303" s="131">
        <v>0</v>
      </c>
    </row>
    <row r="304" spans="1:10">
      <c r="A304" s="584"/>
      <c r="B304" s="585"/>
      <c r="C304" s="586" t="s">
        <v>590</v>
      </c>
      <c r="D304" s="133" t="s">
        <v>590</v>
      </c>
      <c r="E304" s="587" t="s">
        <v>269</v>
      </c>
      <c r="F304" s="585" t="s">
        <v>270</v>
      </c>
      <c r="G304" s="590"/>
      <c r="H304" s="589"/>
      <c r="I304" s="603"/>
      <c r="J304" s="589">
        <f>J298+J301+J303</f>
        <v>260940</v>
      </c>
    </row>
    <row r="305" spans="1:10">
      <c r="A305" s="584"/>
      <c r="B305" s="585"/>
      <c r="C305" s="586" t="s">
        <v>590</v>
      </c>
      <c r="D305" s="133" t="s">
        <v>590</v>
      </c>
      <c r="E305" s="587" t="s">
        <v>273</v>
      </c>
      <c r="F305" s="585" t="s">
        <v>274</v>
      </c>
      <c r="G305" s="591">
        <f>'Thông tin'!E67</f>
        <v>6.2E-2</v>
      </c>
      <c r="H305" s="589"/>
      <c r="I305" s="603"/>
      <c r="J305" s="589">
        <f>(J304)*G305</f>
        <v>16178.28</v>
      </c>
    </row>
    <row r="306" spans="1:10">
      <c r="A306" s="584"/>
      <c r="B306" s="585"/>
      <c r="C306" s="586" t="s">
        <v>590</v>
      </c>
      <c r="D306" s="133" t="s">
        <v>590</v>
      </c>
      <c r="E306" s="587" t="s">
        <v>276</v>
      </c>
      <c r="F306" s="585" t="s">
        <v>277</v>
      </c>
      <c r="G306" s="591">
        <f>'Thông tin'!E60</f>
        <v>2.2000000000000002E-2</v>
      </c>
      <c r="H306" s="589"/>
      <c r="I306" s="603"/>
      <c r="J306" s="589">
        <f>(J304)*G306</f>
        <v>5740.68</v>
      </c>
    </row>
    <row r="307" spans="1:10" ht="27.6">
      <c r="A307" s="584"/>
      <c r="B307" s="585"/>
      <c r="C307" s="586" t="s">
        <v>590</v>
      </c>
      <c r="D307" s="133" t="s">
        <v>590</v>
      </c>
      <c r="E307" s="587" t="s">
        <v>279</v>
      </c>
      <c r="F307" s="585" t="s">
        <v>142</v>
      </c>
      <c r="G307" s="591">
        <f>'Thông tin'!E65</f>
        <v>0.02</v>
      </c>
      <c r="H307" s="589"/>
      <c r="I307" s="603"/>
      <c r="J307" s="589">
        <f>(J304)*G307</f>
        <v>5218.8</v>
      </c>
    </row>
    <row r="308" spans="1:10">
      <c r="A308" s="584"/>
      <c r="B308" s="585"/>
      <c r="C308" s="586" t="s">
        <v>590</v>
      </c>
      <c r="D308" s="133" t="s">
        <v>590</v>
      </c>
      <c r="E308" s="587" t="s">
        <v>281</v>
      </c>
      <c r="F308" s="585" t="s">
        <v>282</v>
      </c>
      <c r="G308" s="590"/>
      <c r="H308" s="589"/>
      <c r="I308" s="603"/>
      <c r="J308" s="589">
        <f>J305+J306+J307</f>
        <v>27137.759999999998</v>
      </c>
    </row>
    <row r="309" spans="1:10">
      <c r="A309" s="584"/>
      <c r="B309" s="585"/>
      <c r="C309" s="586" t="s">
        <v>590</v>
      </c>
      <c r="D309" s="133" t="s">
        <v>590</v>
      </c>
      <c r="E309" s="587" t="s">
        <v>284</v>
      </c>
      <c r="F309" s="585" t="s">
        <v>285</v>
      </c>
      <c r="G309" s="591">
        <f>'Thông tin'!E63</f>
        <v>0.06</v>
      </c>
      <c r="H309" s="589"/>
      <c r="I309" s="603"/>
      <c r="J309" s="589">
        <f>(J304+J308)*G309</f>
        <v>17284.6656</v>
      </c>
    </row>
    <row r="310" spans="1:10">
      <c r="A310" s="584"/>
      <c r="B310" s="585"/>
      <c r="C310" s="586" t="s">
        <v>590</v>
      </c>
      <c r="D310" s="133" t="s">
        <v>590</v>
      </c>
      <c r="E310" s="592" t="s">
        <v>287</v>
      </c>
      <c r="F310" s="593" t="s">
        <v>288</v>
      </c>
      <c r="G310" s="590"/>
      <c r="H310" s="589"/>
      <c r="I310" s="603"/>
      <c r="J310" s="604">
        <f>J304+J308+J309</f>
        <v>305362.42560000002</v>
      </c>
    </row>
    <row r="311" spans="1:10">
      <c r="A311" s="584"/>
      <c r="B311" s="585"/>
      <c r="C311" s="586" t="s">
        <v>590</v>
      </c>
      <c r="D311" s="133" t="s">
        <v>590</v>
      </c>
      <c r="E311" s="587" t="s">
        <v>290</v>
      </c>
      <c r="F311" s="585" t="s">
        <v>291</v>
      </c>
      <c r="G311" s="591">
        <f>'Thông tin'!E61</f>
        <v>0.1</v>
      </c>
      <c r="H311" s="589"/>
      <c r="I311" s="603"/>
      <c r="J311" s="589">
        <f>(J310)*G311</f>
        <v>30536.242560000002</v>
      </c>
    </row>
    <row r="312" spans="1:10">
      <c r="A312" s="594"/>
      <c r="B312" s="595"/>
      <c r="C312" s="596" t="s">
        <v>590</v>
      </c>
      <c r="D312" s="137" t="s">
        <v>590</v>
      </c>
      <c r="E312" s="597" t="s">
        <v>293</v>
      </c>
      <c r="F312" s="598" t="s">
        <v>19</v>
      </c>
      <c r="G312" s="599"/>
      <c r="H312" s="600"/>
      <c r="I312" s="605"/>
      <c r="J312" s="606">
        <f>J310+J311</f>
        <v>335898.66816</v>
      </c>
    </row>
    <row r="313" spans="1:10">
      <c r="A313" s="578"/>
      <c r="B313" s="579">
        <v>19</v>
      </c>
      <c r="C313" s="578" t="str">
        <f>'5.Tiên lượng'!C51</f>
        <v>AD.11212</v>
      </c>
      <c r="D313" s="578" t="str">
        <f>'5.Tiên lượng'!C51</f>
        <v>AD.11212</v>
      </c>
      <c r="E313" s="580" t="str">
        <f>'5.Tiên lượng'!D51</f>
        <v xml:space="preserve">Thi công móng cấp phối đá dăm lớp dưới </v>
      </c>
      <c r="F313" s="579" t="str">
        <f>'5.Tiên lượng'!E51</f>
        <v>100m3</v>
      </c>
      <c r="G313" s="581"/>
      <c r="H313" s="582"/>
      <c r="I313" s="602"/>
      <c r="J313" s="582"/>
    </row>
    <row r="314" spans="1:10">
      <c r="A314" s="126"/>
      <c r="B314" s="127"/>
      <c r="C314" s="128" t="s">
        <v>590</v>
      </c>
      <c r="D314" s="128" t="s">
        <v>590</v>
      </c>
      <c r="E314" s="583" t="s">
        <v>262</v>
      </c>
      <c r="F314" s="127" t="s">
        <v>263</v>
      </c>
      <c r="G314" s="130"/>
      <c r="H314" s="131"/>
      <c r="I314" s="143"/>
      <c r="J314" s="131">
        <f>SUM(J315:J315)</f>
        <v>32221379.337286752</v>
      </c>
    </row>
    <row r="315" spans="1:10">
      <c r="A315" s="584"/>
      <c r="B315" s="585"/>
      <c r="C315" s="586" t="s">
        <v>590</v>
      </c>
      <c r="D315" s="133" t="s">
        <v>604</v>
      </c>
      <c r="E315" s="587" t="str">
        <f>" - "&amp;'Giá VL'!E13</f>
        <v xml:space="preserve"> - Cấp phối đá dăm loại 2</v>
      </c>
      <c r="F315" s="585" t="str">
        <f>'Giá VL'!F13</f>
        <v>m3</v>
      </c>
      <c r="G315" s="588">
        <f>PTVT!G137</f>
        <v>134</v>
      </c>
      <c r="H315" s="589">
        <f>'Giá VL'!V13</f>
        <v>240458.05475587127</v>
      </c>
      <c r="I315" s="603">
        <f>'5.Tiên lượng'!V51</f>
        <v>1</v>
      </c>
      <c r="J315" s="589">
        <f>PRODUCT(G315,H315,I315)</f>
        <v>32221379.337286752</v>
      </c>
    </row>
    <row r="316" spans="1:10">
      <c r="A316" s="126"/>
      <c r="B316" s="127"/>
      <c r="C316" s="128" t="s">
        <v>590</v>
      </c>
      <c r="D316" s="128" t="s">
        <v>590</v>
      </c>
      <c r="E316" s="583" t="s">
        <v>265</v>
      </c>
      <c r="F316" s="127" t="s">
        <v>266</v>
      </c>
      <c r="G316" s="130"/>
      <c r="H316" s="131"/>
      <c r="I316" s="143"/>
      <c r="J316" s="131">
        <f>SUM(J317:J317)</f>
        <v>770352.96000000008</v>
      </c>
    </row>
    <row r="317" spans="1:10">
      <c r="A317" s="584"/>
      <c r="B317" s="585"/>
      <c r="C317" s="586" t="s">
        <v>590</v>
      </c>
      <c r="D317" s="133" t="s">
        <v>605</v>
      </c>
      <c r="E317" s="587" t="str">
        <f>" - "&amp;'Giá NC'!E8</f>
        <v xml:space="preserve"> - Nhân công bậc 3,0/7 - Nhóm 2</v>
      </c>
      <c r="F317" s="585" t="str">
        <f>'Giá NC'!F8</f>
        <v>công</v>
      </c>
      <c r="G317" s="588">
        <f>PTVT!G139</f>
        <v>3.12</v>
      </c>
      <c r="H317" s="589">
        <f>'Giá NC'!K8</f>
        <v>246908</v>
      </c>
      <c r="I317" s="603">
        <f>'5.Tiên lượng'!W51</f>
        <v>1</v>
      </c>
      <c r="J317" s="589">
        <f>PRODUCT(G317,H317,I317)</f>
        <v>770352.96000000008</v>
      </c>
    </row>
    <row r="318" spans="1:10">
      <c r="A318" s="126"/>
      <c r="B318" s="127"/>
      <c r="C318" s="128" t="s">
        <v>590</v>
      </c>
      <c r="D318" s="128" t="s">
        <v>590</v>
      </c>
      <c r="E318" s="583" t="s">
        <v>267</v>
      </c>
      <c r="F318" s="127" t="s">
        <v>268</v>
      </c>
      <c r="G318" s="130"/>
      <c r="H318" s="131"/>
      <c r="I318" s="143"/>
      <c r="J318" s="131">
        <f>SUM(J319:J324)</f>
        <v>2369565.459726376</v>
      </c>
    </row>
    <row r="319" spans="1:10">
      <c r="A319" s="584"/>
      <c r="B319" s="585"/>
      <c r="C319" s="586" t="s">
        <v>590</v>
      </c>
      <c r="D319" s="133" t="s">
        <v>606</v>
      </c>
      <c r="E319" s="587" t="str">
        <f>" - "&amp;'Giá Máy'!E24</f>
        <v xml:space="preserve"> - Máy rải cấp phối đá dăm 50 - 60m3/h</v>
      </c>
      <c r="F319" s="585" t="str">
        <f>'Giá Máy'!F24</f>
        <v>ca</v>
      </c>
      <c r="G319" s="588">
        <f>PTVT!G141</f>
        <v>0.21</v>
      </c>
      <c r="H319" s="589">
        <f>'Giá Máy'!O24</f>
        <v>3572483.6555555556</v>
      </c>
      <c r="I319" s="603">
        <f>'5.Tiên lượng'!X51</f>
        <v>1</v>
      </c>
      <c r="J319" s="589">
        <f t="shared" ref="J319:J324" si="17">PRODUCT(G319,H319,I319)</f>
        <v>750221.5676666667</v>
      </c>
    </row>
    <row r="320" spans="1:10">
      <c r="A320" s="584"/>
      <c r="B320" s="585"/>
      <c r="C320" s="586" t="s">
        <v>590</v>
      </c>
      <c r="D320" s="133" t="s">
        <v>607</v>
      </c>
      <c r="E320" s="587" t="str">
        <f>" - "&amp;'Giá Máy'!E19</f>
        <v xml:space="preserve"> - Máy lu rung tự hành 25T</v>
      </c>
      <c r="F320" s="585" t="str">
        <f>'Giá Máy'!F19</f>
        <v>ca</v>
      </c>
      <c r="G320" s="588">
        <f>PTVT!G142</f>
        <v>0.32</v>
      </c>
      <c r="H320" s="589">
        <f>'Giá Máy'!O19</f>
        <v>2794294.0688888887</v>
      </c>
      <c r="I320" s="603">
        <f>'5.Tiên lượng'!X51</f>
        <v>1</v>
      </c>
      <c r="J320" s="589">
        <f t="shared" si="17"/>
        <v>894174.10204444441</v>
      </c>
    </row>
    <row r="321" spans="1:10">
      <c r="A321" s="584"/>
      <c r="B321" s="585"/>
      <c r="C321" s="586" t="s">
        <v>590</v>
      </c>
      <c r="D321" s="133" t="s">
        <v>608</v>
      </c>
      <c r="E321" s="587" t="str">
        <f>" - "&amp;'Giá Máy'!E38</f>
        <v xml:space="preserve"> - Máy lu bánh hơi tự hành 16T</v>
      </c>
      <c r="F321" s="585" t="str">
        <f>'Giá Máy'!F38</f>
        <v>ca</v>
      </c>
      <c r="G321" s="588">
        <f>PTVT!G143</f>
        <v>0.12</v>
      </c>
      <c r="H321" s="589">
        <f>'Giá Máy'!O38</f>
        <v>1553246.5422222223</v>
      </c>
      <c r="I321" s="603">
        <f>'5.Tiên lượng'!X51</f>
        <v>1</v>
      </c>
      <c r="J321" s="589">
        <f t="shared" si="17"/>
        <v>186389.58506666668</v>
      </c>
    </row>
    <row r="322" spans="1:10">
      <c r="A322" s="584"/>
      <c r="B322" s="585"/>
      <c r="C322" s="586" t="s">
        <v>590</v>
      </c>
      <c r="D322" s="133" t="s">
        <v>609</v>
      </c>
      <c r="E322" s="587" t="str">
        <f>" - "&amp;'Giá Máy'!E17</f>
        <v xml:space="preserve"> - Máy lu bánh thép 10T</v>
      </c>
      <c r="F322" s="585" t="str">
        <f>'Giá Máy'!F17</f>
        <v>ca</v>
      </c>
      <c r="G322" s="588">
        <f>PTVT!G144</f>
        <v>0.26</v>
      </c>
      <c r="H322" s="589">
        <f>'Giá Máy'!O17</f>
        <v>1132157.2474074075</v>
      </c>
      <c r="I322" s="603">
        <f>'5.Tiên lượng'!X51</f>
        <v>1</v>
      </c>
      <c r="J322" s="589">
        <f t="shared" si="17"/>
        <v>294360.88432592596</v>
      </c>
    </row>
    <row r="323" spans="1:10">
      <c r="A323" s="584"/>
      <c r="B323" s="585"/>
      <c r="C323" s="586" t="s">
        <v>590</v>
      </c>
      <c r="D323" s="133" t="s">
        <v>610</v>
      </c>
      <c r="E323" s="587" t="str">
        <f>" - "&amp;'Giá Máy'!E33</f>
        <v xml:space="preserve"> - Ô tô tưới nước 5m3</v>
      </c>
      <c r="F323" s="585" t="str">
        <f>'Giá Máy'!F33</f>
        <v>ca</v>
      </c>
      <c r="G323" s="588">
        <f>PTVT!G145</f>
        <v>0.21</v>
      </c>
      <c r="H323" s="589">
        <f>'Giá Máy'!O33</f>
        <v>1107763.9892307692</v>
      </c>
      <c r="I323" s="603">
        <f>'5.Tiên lượng'!X51</f>
        <v>1</v>
      </c>
      <c r="J323" s="589">
        <f t="shared" si="17"/>
        <v>232630.43773846154</v>
      </c>
    </row>
    <row r="324" spans="1:10">
      <c r="A324" s="584"/>
      <c r="B324" s="585"/>
      <c r="C324" s="586" t="s">
        <v>590</v>
      </c>
      <c r="D324" s="133" t="s">
        <v>611</v>
      </c>
      <c r="E324" s="587" t="s">
        <v>612</v>
      </c>
      <c r="F324" s="585" t="s">
        <v>37</v>
      </c>
      <c r="G324" s="588">
        <f>PTVT!G146</f>
        <v>0.5</v>
      </c>
      <c r="H324" s="589">
        <f>IF('5.Tiên lượng'!X51&lt;&gt;0,SUM(J319:J323)/100/'5.Tiên lượng'!X51,0)</f>
        <v>23577.76576842165</v>
      </c>
      <c r="I324" s="603">
        <f>'5.Tiên lượng'!X51</f>
        <v>1</v>
      </c>
      <c r="J324" s="589">
        <f t="shared" si="17"/>
        <v>11788.882884210825</v>
      </c>
    </row>
    <row r="325" spans="1:10">
      <c r="A325" s="584"/>
      <c r="B325" s="585"/>
      <c r="C325" s="586" t="s">
        <v>590</v>
      </c>
      <c r="D325" s="133" t="s">
        <v>590</v>
      </c>
      <c r="E325" s="587" t="s">
        <v>269</v>
      </c>
      <c r="F325" s="585" t="s">
        <v>270</v>
      </c>
      <c r="G325" s="590"/>
      <c r="H325" s="589"/>
      <c r="I325" s="603"/>
      <c r="J325" s="589">
        <f>J314+J316+J318</f>
        <v>35361297.757013127</v>
      </c>
    </row>
    <row r="326" spans="1:10">
      <c r="A326" s="584"/>
      <c r="B326" s="585"/>
      <c r="C326" s="586" t="s">
        <v>590</v>
      </c>
      <c r="D326" s="133" t="s">
        <v>590</v>
      </c>
      <c r="E326" s="587" t="s">
        <v>273</v>
      </c>
      <c r="F326" s="585" t="s">
        <v>274</v>
      </c>
      <c r="G326" s="591">
        <f>'Thông tin'!E67</f>
        <v>6.2E-2</v>
      </c>
      <c r="H326" s="589"/>
      <c r="I326" s="603"/>
      <c r="J326" s="589">
        <f>(J325)*G326</f>
        <v>2192400.4609348141</v>
      </c>
    </row>
    <row r="327" spans="1:10">
      <c r="A327" s="584"/>
      <c r="B327" s="585"/>
      <c r="C327" s="586" t="s">
        <v>590</v>
      </c>
      <c r="D327" s="133" t="s">
        <v>590</v>
      </c>
      <c r="E327" s="587" t="s">
        <v>276</v>
      </c>
      <c r="F327" s="585" t="s">
        <v>277</v>
      </c>
      <c r="G327" s="591">
        <f>'Thông tin'!E60</f>
        <v>2.2000000000000002E-2</v>
      </c>
      <c r="H327" s="589"/>
      <c r="I327" s="603"/>
      <c r="J327" s="589">
        <f>(J325)*G327</f>
        <v>777948.55065428885</v>
      </c>
    </row>
    <row r="328" spans="1:10" ht="27.6">
      <c r="A328" s="584"/>
      <c r="B328" s="585"/>
      <c r="C328" s="586" t="s">
        <v>590</v>
      </c>
      <c r="D328" s="133" t="s">
        <v>590</v>
      </c>
      <c r="E328" s="587" t="s">
        <v>279</v>
      </c>
      <c r="F328" s="585" t="s">
        <v>142</v>
      </c>
      <c r="G328" s="591">
        <f>'Thông tin'!E65</f>
        <v>0.02</v>
      </c>
      <c r="H328" s="589"/>
      <c r="I328" s="603"/>
      <c r="J328" s="589">
        <f>(J325)*G328</f>
        <v>707225.95514026261</v>
      </c>
    </row>
    <row r="329" spans="1:10">
      <c r="A329" s="584"/>
      <c r="B329" s="585"/>
      <c r="C329" s="586" t="s">
        <v>590</v>
      </c>
      <c r="D329" s="133" t="s">
        <v>590</v>
      </c>
      <c r="E329" s="587" t="s">
        <v>281</v>
      </c>
      <c r="F329" s="585" t="s">
        <v>282</v>
      </c>
      <c r="G329" s="590"/>
      <c r="H329" s="589"/>
      <c r="I329" s="603"/>
      <c r="J329" s="589">
        <f>J326+J327+J328</f>
        <v>3677574.9667293653</v>
      </c>
    </row>
    <row r="330" spans="1:10">
      <c r="A330" s="584"/>
      <c r="B330" s="585"/>
      <c r="C330" s="586" t="s">
        <v>590</v>
      </c>
      <c r="D330" s="133" t="s">
        <v>590</v>
      </c>
      <c r="E330" s="587" t="s">
        <v>284</v>
      </c>
      <c r="F330" s="585" t="s">
        <v>285</v>
      </c>
      <c r="G330" s="591">
        <f>'Thông tin'!E63</f>
        <v>0.06</v>
      </c>
      <c r="H330" s="589"/>
      <c r="I330" s="603"/>
      <c r="J330" s="589">
        <f>(J325+J329)*G330</f>
        <v>2342332.3634245493</v>
      </c>
    </row>
    <row r="331" spans="1:10">
      <c r="A331" s="584"/>
      <c r="B331" s="585"/>
      <c r="C331" s="586" t="s">
        <v>590</v>
      </c>
      <c r="D331" s="133" t="s">
        <v>590</v>
      </c>
      <c r="E331" s="592" t="s">
        <v>287</v>
      </c>
      <c r="F331" s="593" t="s">
        <v>288</v>
      </c>
      <c r="G331" s="590"/>
      <c r="H331" s="589"/>
      <c r="I331" s="603"/>
      <c r="J331" s="604">
        <f>J325+J329+J330</f>
        <v>41381205.08716704</v>
      </c>
    </row>
    <row r="332" spans="1:10">
      <c r="A332" s="584"/>
      <c r="B332" s="585"/>
      <c r="C332" s="586" t="s">
        <v>590</v>
      </c>
      <c r="D332" s="133" t="s">
        <v>590</v>
      </c>
      <c r="E332" s="587" t="s">
        <v>290</v>
      </c>
      <c r="F332" s="585" t="s">
        <v>291</v>
      </c>
      <c r="G332" s="591">
        <f>'Thông tin'!E61</f>
        <v>0.1</v>
      </c>
      <c r="H332" s="589"/>
      <c r="I332" s="603"/>
      <c r="J332" s="589">
        <f>(J331)*G332</f>
        <v>4138120.5087167043</v>
      </c>
    </row>
    <row r="333" spans="1:10">
      <c r="A333" s="594"/>
      <c r="B333" s="595"/>
      <c r="C333" s="596" t="s">
        <v>590</v>
      </c>
      <c r="D333" s="137" t="s">
        <v>590</v>
      </c>
      <c r="E333" s="597" t="s">
        <v>293</v>
      </c>
      <c r="F333" s="598" t="s">
        <v>19</v>
      </c>
      <c r="G333" s="599"/>
      <c r="H333" s="600"/>
      <c r="I333" s="605"/>
      <c r="J333" s="606">
        <f>J331+J332</f>
        <v>45519325.595883742</v>
      </c>
    </row>
    <row r="334" spans="1:10">
      <c r="A334" s="578"/>
      <c r="B334" s="579">
        <v>20</v>
      </c>
      <c r="C334" s="578" t="str">
        <f>'5.Tiên lượng'!C53</f>
        <v>AD.11212</v>
      </c>
      <c r="D334" s="578" t="str">
        <f>'5.Tiên lượng'!C53</f>
        <v>AD.11212</v>
      </c>
      <c r="E334" s="580" t="str">
        <f>'5.Tiên lượng'!D53</f>
        <v xml:space="preserve">Thi công móng cấp phối đá dăm lớp dưới </v>
      </c>
      <c r="F334" s="579" t="str">
        <f>'5.Tiên lượng'!E53</f>
        <v>100m3</v>
      </c>
      <c r="G334" s="581"/>
      <c r="H334" s="582"/>
      <c r="I334" s="602"/>
      <c r="J334" s="582"/>
    </row>
    <row r="335" spans="1:10">
      <c r="A335" s="126"/>
      <c r="B335" s="127"/>
      <c r="C335" s="128" t="s">
        <v>590</v>
      </c>
      <c r="D335" s="128" t="s">
        <v>590</v>
      </c>
      <c r="E335" s="583" t="s">
        <v>262</v>
      </c>
      <c r="F335" s="127" t="s">
        <v>263</v>
      </c>
      <c r="G335" s="130"/>
      <c r="H335" s="131"/>
      <c r="I335" s="143"/>
      <c r="J335" s="131">
        <f>SUM(J336:J336)</f>
        <v>32221379.337286752</v>
      </c>
    </row>
    <row r="336" spans="1:10">
      <c r="A336" s="584"/>
      <c r="B336" s="585"/>
      <c r="C336" s="586" t="s">
        <v>590</v>
      </c>
      <c r="D336" s="133" t="s">
        <v>604</v>
      </c>
      <c r="E336" s="587" t="str">
        <f>" - "&amp;'Giá VL'!E13</f>
        <v xml:space="preserve"> - Cấp phối đá dăm loại 2</v>
      </c>
      <c r="F336" s="585" t="str">
        <f>'Giá VL'!F13</f>
        <v>m3</v>
      </c>
      <c r="G336" s="588">
        <f>PTVT!G149</f>
        <v>134</v>
      </c>
      <c r="H336" s="589">
        <f>'Giá VL'!V13</f>
        <v>240458.05475587127</v>
      </c>
      <c r="I336" s="603">
        <f>'5.Tiên lượng'!V53</f>
        <v>1</v>
      </c>
      <c r="J336" s="589">
        <f>PRODUCT(G336,H336,I336)</f>
        <v>32221379.337286752</v>
      </c>
    </row>
    <row r="337" spans="1:10">
      <c r="A337" s="126"/>
      <c r="B337" s="127"/>
      <c r="C337" s="128" t="s">
        <v>590</v>
      </c>
      <c r="D337" s="128" t="s">
        <v>590</v>
      </c>
      <c r="E337" s="583" t="s">
        <v>265</v>
      </c>
      <c r="F337" s="127" t="s">
        <v>266</v>
      </c>
      <c r="G337" s="130"/>
      <c r="H337" s="131"/>
      <c r="I337" s="143"/>
      <c r="J337" s="131">
        <f>SUM(J338:J338)</f>
        <v>770352.96000000008</v>
      </c>
    </row>
    <row r="338" spans="1:10">
      <c r="A338" s="584"/>
      <c r="B338" s="585"/>
      <c r="C338" s="586" t="s">
        <v>590</v>
      </c>
      <c r="D338" s="133" t="s">
        <v>605</v>
      </c>
      <c r="E338" s="587" t="str">
        <f>" - "&amp;'Giá NC'!E8</f>
        <v xml:space="preserve"> - Nhân công bậc 3,0/7 - Nhóm 2</v>
      </c>
      <c r="F338" s="585" t="str">
        <f>'Giá NC'!F8</f>
        <v>công</v>
      </c>
      <c r="G338" s="588">
        <f>PTVT!G151</f>
        <v>3.12</v>
      </c>
      <c r="H338" s="589">
        <f>'Giá NC'!K8</f>
        <v>246908</v>
      </c>
      <c r="I338" s="603">
        <f>'5.Tiên lượng'!W53</f>
        <v>1</v>
      </c>
      <c r="J338" s="589">
        <f>PRODUCT(G338,H338,I338)</f>
        <v>770352.96000000008</v>
      </c>
    </row>
    <row r="339" spans="1:10">
      <c r="A339" s="126"/>
      <c r="B339" s="127"/>
      <c r="C339" s="128" t="s">
        <v>590</v>
      </c>
      <c r="D339" s="128" t="s">
        <v>590</v>
      </c>
      <c r="E339" s="583" t="s">
        <v>267</v>
      </c>
      <c r="F339" s="127" t="s">
        <v>268</v>
      </c>
      <c r="G339" s="130"/>
      <c r="H339" s="131"/>
      <c r="I339" s="143"/>
      <c r="J339" s="131">
        <f>SUM(J340:J345)</f>
        <v>2369565.459726376</v>
      </c>
    </row>
    <row r="340" spans="1:10">
      <c r="A340" s="584"/>
      <c r="B340" s="585"/>
      <c r="C340" s="586" t="s">
        <v>590</v>
      </c>
      <c r="D340" s="133" t="s">
        <v>606</v>
      </c>
      <c r="E340" s="587" t="str">
        <f>" - "&amp;'Giá Máy'!E24</f>
        <v xml:space="preserve"> - Máy rải cấp phối đá dăm 50 - 60m3/h</v>
      </c>
      <c r="F340" s="585" t="str">
        <f>'Giá Máy'!F24</f>
        <v>ca</v>
      </c>
      <c r="G340" s="588">
        <f>PTVT!G153</f>
        <v>0.21</v>
      </c>
      <c r="H340" s="589">
        <f>'Giá Máy'!O24</f>
        <v>3572483.6555555556</v>
      </c>
      <c r="I340" s="603">
        <f>'5.Tiên lượng'!X53</f>
        <v>1</v>
      </c>
      <c r="J340" s="589">
        <f t="shared" ref="J340:J345" si="18">PRODUCT(G340,H340,I340)</f>
        <v>750221.5676666667</v>
      </c>
    </row>
    <row r="341" spans="1:10">
      <c r="A341" s="584"/>
      <c r="B341" s="585"/>
      <c r="C341" s="586" t="s">
        <v>590</v>
      </c>
      <c r="D341" s="133" t="s">
        <v>607</v>
      </c>
      <c r="E341" s="587" t="str">
        <f>" - "&amp;'Giá Máy'!E19</f>
        <v xml:space="preserve"> - Máy lu rung tự hành 25T</v>
      </c>
      <c r="F341" s="585" t="str">
        <f>'Giá Máy'!F19</f>
        <v>ca</v>
      </c>
      <c r="G341" s="588">
        <f>PTVT!G154</f>
        <v>0.32</v>
      </c>
      <c r="H341" s="589">
        <f>'Giá Máy'!O19</f>
        <v>2794294.0688888887</v>
      </c>
      <c r="I341" s="603">
        <f>'5.Tiên lượng'!X53</f>
        <v>1</v>
      </c>
      <c r="J341" s="589">
        <f t="shared" si="18"/>
        <v>894174.10204444441</v>
      </c>
    </row>
    <row r="342" spans="1:10">
      <c r="A342" s="584"/>
      <c r="B342" s="585"/>
      <c r="C342" s="586" t="s">
        <v>590</v>
      </c>
      <c r="D342" s="133" t="s">
        <v>608</v>
      </c>
      <c r="E342" s="587" t="str">
        <f>" - "&amp;'Giá Máy'!E38</f>
        <v xml:space="preserve"> - Máy lu bánh hơi tự hành 16T</v>
      </c>
      <c r="F342" s="585" t="str">
        <f>'Giá Máy'!F38</f>
        <v>ca</v>
      </c>
      <c r="G342" s="588">
        <f>PTVT!G155</f>
        <v>0.12</v>
      </c>
      <c r="H342" s="589">
        <f>'Giá Máy'!O38</f>
        <v>1553246.5422222223</v>
      </c>
      <c r="I342" s="603">
        <f>'5.Tiên lượng'!X53</f>
        <v>1</v>
      </c>
      <c r="J342" s="589">
        <f t="shared" si="18"/>
        <v>186389.58506666668</v>
      </c>
    </row>
    <row r="343" spans="1:10">
      <c r="A343" s="584"/>
      <c r="B343" s="585"/>
      <c r="C343" s="586" t="s">
        <v>590</v>
      </c>
      <c r="D343" s="133" t="s">
        <v>609</v>
      </c>
      <c r="E343" s="587" t="str">
        <f>" - "&amp;'Giá Máy'!E17</f>
        <v xml:space="preserve"> - Máy lu bánh thép 10T</v>
      </c>
      <c r="F343" s="585" t="str">
        <f>'Giá Máy'!F17</f>
        <v>ca</v>
      </c>
      <c r="G343" s="588">
        <f>PTVT!G156</f>
        <v>0.26</v>
      </c>
      <c r="H343" s="589">
        <f>'Giá Máy'!O17</f>
        <v>1132157.2474074075</v>
      </c>
      <c r="I343" s="603">
        <f>'5.Tiên lượng'!X53</f>
        <v>1</v>
      </c>
      <c r="J343" s="589">
        <f t="shared" si="18"/>
        <v>294360.88432592596</v>
      </c>
    </row>
    <row r="344" spans="1:10">
      <c r="A344" s="584"/>
      <c r="B344" s="585"/>
      <c r="C344" s="586" t="s">
        <v>590</v>
      </c>
      <c r="D344" s="133" t="s">
        <v>610</v>
      </c>
      <c r="E344" s="587" t="str">
        <f>" - "&amp;'Giá Máy'!E33</f>
        <v xml:space="preserve"> - Ô tô tưới nước 5m3</v>
      </c>
      <c r="F344" s="585" t="str">
        <f>'Giá Máy'!F33</f>
        <v>ca</v>
      </c>
      <c r="G344" s="588">
        <f>PTVT!G157</f>
        <v>0.21</v>
      </c>
      <c r="H344" s="589">
        <f>'Giá Máy'!O33</f>
        <v>1107763.9892307692</v>
      </c>
      <c r="I344" s="603">
        <f>'5.Tiên lượng'!X53</f>
        <v>1</v>
      </c>
      <c r="J344" s="589">
        <f t="shared" si="18"/>
        <v>232630.43773846154</v>
      </c>
    </row>
    <row r="345" spans="1:10">
      <c r="A345" s="584"/>
      <c r="B345" s="585"/>
      <c r="C345" s="586" t="s">
        <v>590</v>
      </c>
      <c r="D345" s="133" t="s">
        <v>611</v>
      </c>
      <c r="E345" s="587" t="s">
        <v>612</v>
      </c>
      <c r="F345" s="585" t="s">
        <v>37</v>
      </c>
      <c r="G345" s="588">
        <f>PTVT!G158</f>
        <v>0.5</v>
      </c>
      <c r="H345" s="589">
        <f>IF('5.Tiên lượng'!X53&lt;&gt;0,SUM(J340:J344)/100/'5.Tiên lượng'!X53,0)</f>
        <v>23577.76576842165</v>
      </c>
      <c r="I345" s="603">
        <f>'5.Tiên lượng'!X53</f>
        <v>1</v>
      </c>
      <c r="J345" s="589">
        <f t="shared" si="18"/>
        <v>11788.882884210825</v>
      </c>
    </row>
    <row r="346" spans="1:10">
      <c r="A346" s="584"/>
      <c r="B346" s="585"/>
      <c r="C346" s="586" t="s">
        <v>590</v>
      </c>
      <c r="D346" s="133" t="s">
        <v>590</v>
      </c>
      <c r="E346" s="587" t="s">
        <v>269</v>
      </c>
      <c r="F346" s="585" t="s">
        <v>270</v>
      </c>
      <c r="G346" s="590"/>
      <c r="H346" s="589"/>
      <c r="I346" s="603"/>
      <c r="J346" s="589">
        <f>J335+J337+J339</f>
        <v>35361297.757013127</v>
      </c>
    </row>
    <row r="347" spans="1:10">
      <c r="A347" s="584"/>
      <c r="B347" s="585"/>
      <c r="C347" s="586" t="s">
        <v>590</v>
      </c>
      <c r="D347" s="133" t="s">
        <v>590</v>
      </c>
      <c r="E347" s="587" t="s">
        <v>273</v>
      </c>
      <c r="F347" s="585" t="s">
        <v>274</v>
      </c>
      <c r="G347" s="591">
        <f>'Thông tin'!E67</f>
        <v>6.2E-2</v>
      </c>
      <c r="H347" s="589"/>
      <c r="I347" s="603"/>
      <c r="J347" s="589">
        <f>(J346)*G347</f>
        <v>2192400.4609348141</v>
      </c>
    </row>
    <row r="348" spans="1:10">
      <c r="A348" s="584"/>
      <c r="B348" s="585"/>
      <c r="C348" s="586" t="s">
        <v>590</v>
      </c>
      <c r="D348" s="133" t="s">
        <v>590</v>
      </c>
      <c r="E348" s="587" t="s">
        <v>276</v>
      </c>
      <c r="F348" s="585" t="s">
        <v>277</v>
      </c>
      <c r="G348" s="591">
        <f>'Thông tin'!E60</f>
        <v>2.2000000000000002E-2</v>
      </c>
      <c r="H348" s="589"/>
      <c r="I348" s="603"/>
      <c r="J348" s="589">
        <f>(J346)*G348</f>
        <v>777948.55065428885</v>
      </c>
    </row>
    <row r="349" spans="1:10" ht="27.6">
      <c r="A349" s="584"/>
      <c r="B349" s="585"/>
      <c r="C349" s="586" t="s">
        <v>590</v>
      </c>
      <c r="D349" s="133" t="s">
        <v>590</v>
      </c>
      <c r="E349" s="587" t="s">
        <v>279</v>
      </c>
      <c r="F349" s="585" t="s">
        <v>142</v>
      </c>
      <c r="G349" s="591">
        <f>'Thông tin'!E65</f>
        <v>0.02</v>
      </c>
      <c r="H349" s="589"/>
      <c r="I349" s="603"/>
      <c r="J349" s="589">
        <f>(J346)*G349</f>
        <v>707225.95514026261</v>
      </c>
    </row>
    <row r="350" spans="1:10">
      <c r="A350" s="584"/>
      <c r="B350" s="585"/>
      <c r="C350" s="586" t="s">
        <v>590</v>
      </c>
      <c r="D350" s="133" t="s">
        <v>590</v>
      </c>
      <c r="E350" s="587" t="s">
        <v>281</v>
      </c>
      <c r="F350" s="585" t="s">
        <v>282</v>
      </c>
      <c r="G350" s="590"/>
      <c r="H350" s="589"/>
      <c r="I350" s="603"/>
      <c r="J350" s="589">
        <f>J347+J348+J349</f>
        <v>3677574.9667293653</v>
      </c>
    </row>
    <row r="351" spans="1:10">
      <c r="A351" s="584"/>
      <c r="B351" s="585"/>
      <c r="C351" s="586" t="s">
        <v>590</v>
      </c>
      <c r="D351" s="133" t="s">
        <v>590</v>
      </c>
      <c r="E351" s="587" t="s">
        <v>284</v>
      </c>
      <c r="F351" s="585" t="s">
        <v>285</v>
      </c>
      <c r="G351" s="591">
        <f>'Thông tin'!E63</f>
        <v>0.06</v>
      </c>
      <c r="H351" s="589"/>
      <c r="I351" s="603"/>
      <c r="J351" s="589">
        <f>(J346+J350)*G351</f>
        <v>2342332.3634245493</v>
      </c>
    </row>
    <row r="352" spans="1:10">
      <c r="A352" s="584"/>
      <c r="B352" s="585"/>
      <c r="C352" s="586" t="s">
        <v>590</v>
      </c>
      <c r="D352" s="133" t="s">
        <v>590</v>
      </c>
      <c r="E352" s="592" t="s">
        <v>287</v>
      </c>
      <c r="F352" s="593" t="s">
        <v>288</v>
      </c>
      <c r="G352" s="590"/>
      <c r="H352" s="589"/>
      <c r="I352" s="603"/>
      <c r="J352" s="604">
        <f>J346+J350+J351</f>
        <v>41381205.08716704</v>
      </c>
    </row>
    <row r="353" spans="1:10">
      <c r="A353" s="584"/>
      <c r="B353" s="585"/>
      <c r="C353" s="586" t="s">
        <v>590</v>
      </c>
      <c r="D353" s="133" t="s">
        <v>590</v>
      </c>
      <c r="E353" s="587" t="s">
        <v>290</v>
      </c>
      <c r="F353" s="585" t="s">
        <v>291</v>
      </c>
      <c r="G353" s="591">
        <f>'Thông tin'!E61</f>
        <v>0.1</v>
      </c>
      <c r="H353" s="589"/>
      <c r="I353" s="603"/>
      <c r="J353" s="589">
        <f>(J352)*G353</f>
        <v>4138120.5087167043</v>
      </c>
    </row>
    <row r="354" spans="1:10">
      <c r="A354" s="594"/>
      <c r="B354" s="595"/>
      <c r="C354" s="596" t="s">
        <v>590</v>
      </c>
      <c r="D354" s="137" t="s">
        <v>590</v>
      </c>
      <c r="E354" s="597" t="s">
        <v>293</v>
      </c>
      <c r="F354" s="598" t="s">
        <v>19</v>
      </c>
      <c r="G354" s="599"/>
      <c r="H354" s="600"/>
      <c r="I354" s="605"/>
      <c r="J354" s="606">
        <f>J352+J353</f>
        <v>45519325.595883742</v>
      </c>
    </row>
    <row r="355" spans="1:10">
      <c r="A355" s="578"/>
      <c r="B355" s="579">
        <v>21</v>
      </c>
      <c r="C355" s="578" t="str">
        <f>'5.Tiên lượng'!C56</f>
        <v>AF.82411</v>
      </c>
      <c r="D355" s="578" t="str">
        <f>'5.Tiên lượng'!C56</f>
        <v>AF.82411</v>
      </c>
      <c r="E355" s="580" t="str">
        <f>'5.Tiên lượng'!D56</f>
        <v>Ván khuôn thép mặt đường bê tông</v>
      </c>
      <c r="F355" s="579" t="str">
        <f>'5.Tiên lượng'!E56</f>
        <v>100m2</v>
      </c>
      <c r="G355" s="581"/>
      <c r="H355" s="582"/>
      <c r="I355" s="602"/>
      <c r="J355" s="582"/>
    </row>
    <row r="356" spans="1:10">
      <c r="A356" s="126"/>
      <c r="B356" s="127"/>
      <c r="C356" s="128" t="s">
        <v>590</v>
      </c>
      <c r="D356" s="128" t="s">
        <v>590</v>
      </c>
      <c r="E356" s="583" t="s">
        <v>262</v>
      </c>
      <c r="F356" s="127" t="s">
        <v>263</v>
      </c>
      <c r="G356" s="130"/>
      <c r="H356" s="131"/>
      <c r="I356" s="143"/>
      <c r="J356" s="131">
        <f>SUM(J357:J359)</f>
        <v>618210.99161675188</v>
      </c>
    </row>
    <row r="357" spans="1:10">
      <c r="A357" s="584"/>
      <c r="B357" s="585"/>
      <c r="C357" s="586" t="s">
        <v>590</v>
      </c>
      <c r="D357" s="133" t="s">
        <v>627</v>
      </c>
      <c r="E357" s="587" t="str">
        <f>" - "&amp;'Giá VL'!E40</f>
        <v xml:space="preserve"> - Thép hình, thép tấm</v>
      </c>
      <c r="F357" s="585" t="str">
        <f>'Giá VL'!F40</f>
        <v>kg</v>
      </c>
      <c r="G357" s="588">
        <f>PTVT!G161</f>
        <v>31.5</v>
      </c>
      <c r="H357" s="589">
        <f>'Giá VL'!V40</f>
        <v>17587.694379947148</v>
      </c>
      <c r="I357" s="603">
        <f>'5.Tiên lượng'!V56</f>
        <v>1</v>
      </c>
      <c r="J357" s="589">
        <f t="shared" ref="J357:J359" si="19">PRODUCT(G357,H357,I357)</f>
        <v>554012.37296833517</v>
      </c>
    </row>
    <row r="358" spans="1:10">
      <c r="A358" s="584"/>
      <c r="B358" s="585"/>
      <c r="C358" s="586" t="s">
        <v>590</v>
      </c>
      <c r="D358" s="133" t="s">
        <v>628</v>
      </c>
      <c r="E358" s="587" t="str">
        <f>" - "&amp;'Giá VL'!E37</f>
        <v xml:space="preserve"> - Que hàn</v>
      </c>
      <c r="F358" s="585" t="str">
        <f>'Giá VL'!F37</f>
        <v>kg</v>
      </c>
      <c r="G358" s="588">
        <f>PTVT!G162</f>
        <v>1.58</v>
      </c>
      <c r="H358" s="589">
        <f>'Giá VL'!V37</f>
        <v>22000</v>
      </c>
      <c r="I358" s="603">
        <f>'5.Tiên lượng'!V56</f>
        <v>1</v>
      </c>
      <c r="J358" s="589">
        <f t="shared" si="19"/>
        <v>34760</v>
      </c>
    </row>
    <row r="359" spans="1:10">
      <c r="A359" s="584"/>
      <c r="B359" s="585"/>
      <c r="C359" s="586" t="s">
        <v>590</v>
      </c>
      <c r="D359" s="133" t="s">
        <v>620</v>
      </c>
      <c r="E359" s="587" t="s">
        <v>621</v>
      </c>
      <c r="F359" s="585" t="s">
        <v>37</v>
      </c>
      <c r="G359" s="588">
        <f>PTVT!G163</f>
        <v>5</v>
      </c>
      <c r="H359" s="589">
        <f>IF('5.Tiên lượng'!V56&lt;&gt;0,SUM(J357:J358)/100/'5.Tiên lượng'!V56,0)</f>
        <v>5887.7237296833518</v>
      </c>
      <c r="I359" s="603">
        <f>'5.Tiên lượng'!V56</f>
        <v>1</v>
      </c>
      <c r="J359" s="589">
        <f t="shared" si="19"/>
        <v>29438.618648416759</v>
      </c>
    </row>
    <row r="360" spans="1:10">
      <c r="A360" s="126"/>
      <c r="B360" s="127"/>
      <c r="C360" s="128" t="s">
        <v>590</v>
      </c>
      <c r="D360" s="128" t="s">
        <v>590</v>
      </c>
      <c r="E360" s="583" t="s">
        <v>265</v>
      </c>
      <c r="F360" s="127" t="s">
        <v>266</v>
      </c>
      <c r="G360" s="130"/>
      <c r="H360" s="131"/>
      <c r="I360" s="143"/>
      <c r="J360" s="131">
        <f>SUM(J361:J361)</f>
        <v>3370558</v>
      </c>
    </row>
    <row r="361" spans="1:10">
      <c r="A361" s="584"/>
      <c r="B361" s="585"/>
      <c r="C361" s="586" t="s">
        <v>590</v>
      </c>
      <c r="D361" s="133" t="s">
        <v>629</v>
      </c>
      <c r="E361" s="587" t="str">
        <f>" - "&amp;'Giá NC'!E10</f>
        <v xml:space="preserve"> - Nhân công bậc 4,0/7 - Nhóm 2</v>
      </c>
      <c r="F361" s="585" t="str">
        <f>'Giá NC'!F10</f>
        <v>công</v>
      </c>
      <c r="G361" s="588">
        <f>PTVT!G165</f>
        <v>11.5</v>
      </c>
      <c r="H361" s="589">
        <f>'Giá NC'!K10</f>
        <v>293092</v>
      </c>
      <c r="I361" s="603">
        <f>'5.Tiên lượng'!W56</f>
        <v>1</v>
      </c>
      <c r="J361" s="589">
        <f>PRODUCT(G361,H361,I361)</f>
        <v>3370558</v>
      </c>
    </row>
    <row r="362" spans="1:10">
      <c r="A362" s="126"/>
      <c r="B362" s="127"/>
      <c r="C362" s="128" t="s">
        <v>590</v>
      </c>
      <c r="D362" s="128" t="s">
        <v>590</v>
      </c>
      <c r="E362" s="583" t="s">
        <v>267</v>
      </c>
      <c r="F362" s="127" t="s">
        <v>268</v>
      </c>
      <c r="G362" s="130"/>
      <c r="H362" s="131"/>
      <c r="I362" s="143"/>
      <c r="J362" s="131">
        <f>SUM(J363:J364)</f>
        <v>182920.82011862399</v>
      </c>
    </row>
    <row r="363" spans="1:10">
      <c r="A363" s="584"/>
      <c r="B363" s="585"/>
      <c r="C363" s="586" t="s">
        <v>590</v>
      </c>
      <c r="D363" s="133" t="s">
        <v>630</v>
      </c>
      <c r="E363" s="587" t="str">
        <f>" - "&amp;'Giá Máy'!E16</f>
        <v xml:space="preserve"> - Máy hàn điện 23kW</v>
      </c>
      <c r="F363" s="585" t="str">
        <f>'Giá Máy'!F16</f>
        <v>ca</v>
      </c>
      <c r="G363" s="588">
        <f>PTVT!G167</f>
        <v>0.42</v>
      </c>
      <c r="H363" s="589">
        <f>'Giá Máy'!O16</f>
        <v>426986.04135999997</v>
      </c>
      <c r="I363" s="603">
        <f>'5.Tiên lượng'!X56</f>
        <v>1</v>
      </c>
      <c r="J363" s="589">
        <f t="shared" ref="J363:J364" si="20">PRODUCT(G363,H363,I363)</f>
        <v>179334.13737119999</v>
      </c>
    </row>
    <row r="364" spans="1:10">
      <c r="A364" s="584"/>
      <c r="B364" s="585"/>
      <c r="C364" s="586" t="s">
        <v>590</v>
      </c>
      <c r="D364" s="133" t="s">
        <v>611</v>
      </c>
      <c r="E364" s="587" t="s">
        <v>612</v>
      </c>
      <c r="F364" s="585" t="s">
        <v>37</v>
      </c>
      <c r="G364" s="588">
        <f>PTVT!G168</f>
        <v>2</v>
      </c>
      <c r="H364" s="589">
        <f>IF('5.Tiên lượng'!X56&lt;&gt;0,SUM(J363:J363)/100/'5.Tiên lượng'!X56,0)</f>
        <v>1793.3413737119999</v>
      </c>
      <c r="I364" s="603">
        <f>'5.Tiên lượng'!X56</f>
        <v>1</v>
      </c>
      <c r="J364" s="589">
        <f t="shared" si="20"/>
        <v>3586.6827474239999</v>
      </c>
    </row>
    <row r="365" spans="1:10">
      <c r="A365" s="584"/>
      <c r="B365" s="585"/>
      <c r="C365" s="586" t="s">
        <v>590</v>
      </c>
      <c r="D365" s="133" t="s">
        <v>590</v>
      </c>
      <c r="E365" s="587" t="s">
        <v>269</v>
      </c>
      <c r="F365" s="585" t="s">
        <v>270</v>
      </c>
      <c r="G365" s="590"/>
      <c r="H365" s="589"/>
      <c r="I365" s="603"/>
      <c r="J365" s="589">
        <f>J356+J360+J362</f>
        <v>4171689.8117353758</v>
      </c>
    </row>
    <row r="366" spans="1:10">
      <c r="A366" s="584"/>
      <c r="B366" s="585"/>
      <c r="C366" s="586" t="s">
        <v>590</v>
      </c>
      <c r="D366" s="133" t="s">
        <v>590</v>
      </c>
      <c r="E366" s="587" t="s">
        <v>273</v>
      </c>
      <c r="F366" s="585" t="s">
        <v>274</v>
      </c>
      <c r="G366" s="591">
        <f>'Thông tin'!E67</f>
        <v>6.2E-2</v>
      </c>
      <c r="H366" s="589"/>
      <c r="I366" s="603"/>
      <c r="J366" s="589">
        <f>(J365)*G366</f>
        <v>258644.76832759331</v>
      </c>
    </row>
    <row r="367" spans="1:10">
      <c r="A367" s="584"/>
      <c r="B367" s="585"/>
      <c r="C367" s="586" t="s">
        <v>590</v>
      </c>
      <c r="D367" s="133" t="s">
        <v>590</v>
      </c>
      <c r="E367" s="587" t="s">
        <v>276</v>
      </c>
      <c r="F367" s="585" t="s">
        <v>277</v>
      </c>
      <c r="G367" s="591">
        <f>'Thông tin'!E60</f>
        <v>2.2000000000000002E-2</v>
      </c>
      <c r="H367" s="589"/>
      <c r="I367" s="603"/>
      <c r="J367" s="589">
        <f>(J365)*G367</f>
        <v>91777.175858178278</v>
      </c>
    </row>
    <row r="368" spans="1:10" ht="27.6">
      <c r="A368" s="584"/>
      <c r="B368" s="585"/>
      <c r="C368" s="586" t="s">
        <v>590</v>
      </c>
      <c r="D368" s="133" t="s">
        <v>590</v>
      </c>
      <c r="E368" s="587" t="s">
        <v>279</v>
      </c>
      <c r="F368" s="585" t="s">
        <v>142</v>
      </c>
      <c r="G368" s="591">
        <f>'Thông tin'!E65</f>
        <v>0.02</v>
      </c>
      <c r="H368" s="589"/>
      <c r="I368" s="603"/>
      <c r="J368" s="589">
        <f>(J365)*G368</f>
        <v>83433.796234707523</v>
      </c>
    </row>
    <row r="369" spans="1:10">
      <c r="A369" s="584"/>
      <c r="B369" s="585"/>
      <c r="C369" s="586" t="s">
        <v>590</v>
      </c>
      <c r="D369" s="133" t="s">
        <v>590</v>
      </c>
      <c r="E369" s="587" t="s">
        <v>281</v>
      </c>
      <c r="F369" s="585" t="s">
        <v>282</v>
      </c>
      <c r="G369" s="590"/>
      <c r="H369" s="589"/>
      <c r="I369" s="603"/>
      <c r="J369" s="589">
        <f>J366+J367+J368</f>
        <v>433855.74042047909</v>
      </c>
    </row>
    <row r="370" spans="1:10">
      <c r="A370" s="584"/>
      <c r="B370" s="585"/>
      <c r="C370" s="586" t="s">
        <v>590</v>
      </c>
      <c r="D370" s="133" t="s">
        <v>590</v>
      </c>
      <c r="E370" s="587" t="s">
        <v>284</v>
      </c>
      <c r="F370" s="585" t="s">
        <v>285</v>
      </c>
      <c r="G370" s="591">
        <f>'Thông tin'!E63</f>
        <v>0.06</v>
      </c>
      <c r="H370" s="589"/>
      <c r="I370" s="603"/>
      <c r="J370" s="589">
        <f>(J365+J369)*G370</f>
        <v>276332.73312935128</v>
      </c>
    </row>
    <row r="371" spans="1:10">
      <c r="A371" s="584"/>
      <c r="B371" s="585"/>
      <c r="C371" s="586" t="s">
        <v>590</v>
      </c>
      <c r="D371" s="133" t="s">
        <v>590</v>
      </c>
      <c r="E371" s="592" t="s">
        <v>287</v>
      </c>
      <c r="F371" s="593" t="s">
        <v>288</v>
      </c>
      <c r="G371" s="590"/>
      <c r="H371" s="589"/>
      <c r="I371" s="603"/>
      <c r="J371" s="604">
        <f>J365+J369+J370</f>
        <v>4881878.2852852065</v>
      </c>
    </row>
    <row r="372" spans="1:10">
      <c r="A372" s="584"/>
      <c r="B372" s="585"/>
      <c r="C372" s="586" t="s">
        <v>590</v>
      </c>
      <c r="D372" s="133" t="s">
        <v>590</v>
      </c>
      <c r="E372" s="587" t="s">
        <v>290</v>
      </c>
      <c r="F372" s="585" t="s">
        <v>291</v>
      </c>
      <c r="G372" s="591">
        <f>'Thông tin'!E61</f>
        <v>0.1</v>
      </c>
      <c r="H372" s="589"/>
      <c r="I372" s="603"/>
      <c r="J372" s="589">
        <f>(J371)*G372</f>
        <v>488187.82852852065</v>
      </c>
    </row>
    <row r="373" spans="1:10">
      <c r="A373" s="594"/>
      <c r="B373" s="595"/>
      <c r="C373" s="596" t="s">
        <v>590</v>
      </c>
      <c r="D373" s="137" t="s">
        <v>590</v>
      </c>
      <c r="E373" s="597" t="s">
        <v>293</v>
      </c>
      <c r="F373" s="598" t="s">
        <v>19</v>
      </c>
      <c r="G373" s="599"/>
      <c r="H373" s="600"/>
      <c r="I373" s="605"/>
      <c r="J373" s="606">
        <f>J371+J372</f>
        <v>5370066.1138137272</v>
      </c>
    </row>
    <row r="374" spans="1:10">
      <c r="A374" s="572"/>
      <c r="B374" s="573"/>
      <c r="C374" s="574" t="s">
        <v>339</v>
      </c>
      <c r="D374" s="117" t="s">
        <v>339</v>
      </c>
      <c r="E374" s="575" t="s">
        <v>406</v>
      </c>
      <c r="F374" s="573"/>
      <c r="G374" s="576"/>
      <c r="H374" s="577"/>
      <c r="I374" s="601"/>
      <c r="J374" s="577" t="s">
        <v>597</v>
      </c>
    </row>
    <row r="375" spans="1:10" ht="41.4">
      <c r="A375" s="578"/>
      <c r="B375" s="579">
        <v>22</v>
      </c>
      <c r="C375" s="578" t="str">
        <f>'5.Tiên lượng'!C59</f>
        <v>AF.15433</v>
      </c>
      <c r="D375" s="578" t="str">
        <f>'5.Tiên lượng'!C59</f>
        <v>AF.15433</v>
      </c>
      <c r="E375" s="580" t="str">
        <f>'5.Tiên lượng'!D59</f>
        <v>Bê tông sản xuất bằng máy trộn và đổ bằng thủ công, bê tông mặt đường dày mặt đường ≤25cm, bê tông M250, đá 2x4, PCB40</v>
      </c>
      <c r="F375" s="579" t="str">
        <f>'5.Tiên lượng'!E59</f>
        <v>m3</v>
      </c>
      <c r="G375" s="581"/>
      <c r="H375" s="582"/>
      <c r="I375" s="602"/>
      <c r="J375" s="582"/>
    </row>
    <row r="376" spans="1:10">
      <c r="A376" s="126"/>
      <c r="B376" s="127"/>
      <c r="C376" s="128" t="s">
        <v>590</v>
      </c>
      <c r="D376" s="128" t="s">
        <v>590</v>
      </c>
      <c r="E376" s="583" t="s">
        <v>262</v>
      </c>
      <c r="F376" s="127" t="s">
        <v>263</v>
      </c>
      <c r="G376" s="130"/>
      <c r="H376" s="131"/>
      <c r="I376" s="143"/>
      <c r="J376" s="131">
        <f>SUM(J377:J383)</f>
        <v>1155340.0035279584</v>
      </c>
    </row>
    <row r="377" spans="1:10">
      <c r="A377" s="584"/>
      <c r="B377" s="585"/>
      <c r="C377" s="586" t="s">
        <v>590</v>
      </c>
      <c r="D377" s="133" t="s">
        <v>614</v>
      </c>
      <c r="E377" s="587" t="str">
        <f>" - "&amp;'Giá VL'!E45</f>
        <v xml:space="preserve"> - Xi măng PCB40</v>
      </c>
      <c r="F377" s="585" t="str">
        <f>'Giá VL'!F45</f>
        <v>kg</v>
      </c>
      <c r="G377" s="588">
        <f>PTVT!G172</f>
        <v>291.10000000000002</v>
      </c>
      <c r="H377" s="589">
        <f>'Giá VL'!V45</f>
        <v>1730</v>
      </c>
      <c r="I377" s="603">
        <f>'5.Tiên lượng'!V59</f>
        <v>1</v>
      </c>
      <c r="J377" s="589">
        <f t="shared" ref="J377:J383" si="21">PRODUCT(G377,H377,I377)</f>
        <v>503603.00000000006</v>
      </c>
    </row>
    <row r="378" spans="1:10">
      <c r="A378" s="584"/>
      <c r="B378" s="585"/>
      <c r="C378" s="586" t="s">
        <v>590</v>
      </c>
      <c r="D378" s="133" t="s">
        <v>615</v>
      </c>
      <c r="E378" s="587" t="str">
        <f>" - "&amp;'Giá VL'!E17</f>
        <v xml:space="preserve"> - Cát vàng</v>
      </c>
      <c r="F378" s="585" t="str">
        <f>'Giá VL'!F17</f>
        <v>m3</v>
      </c>
      <c r="G378" s="588">
        <f>PTVT!G173</f>
        <v>0.54325000000000001</v>
      </c>
      <c r="H378" s="589">
        <f>'Giá VL'!V17</f>
        <v>659026.49526849983</v>
      </c>
      <c r="I378" s="603">
        <f>'5.Tiên lượng'!V59</f>
        <v>1</v>
      </c>
      <c r="J378" s="589">
        <f t="shared" si="21"/>
        <v>358016.14355461253</v>
      </c>
    </row>
    <row r="379" spans="1:10">
      <c r="A379" s="584"/>
      <c r="B379" s="585"/>
      <c r="C379" s="586" t="s">
        <v>590</v>
      </c>
      <c r="D379" s="133" t="s">
        <v>616</v>
      </c>
      <c r="E379" s="587" t="str">
        <f>" - "&amp;'Giá VL'!E19</f>
        <v xml:space="preserve"> - Đá 2x4</v>
      </c>
      <c r="F379" s="585" t="str">
        <f>'Giá VL'!F19</f>
        <v>m3</v>
      </c>
      <c r="G379" s="588">
        <f>PTVT!G174</f>
        <v>0.882525</v>
      </c>
      <c r="H379" s="589">
        <f>'Giá VL'!V19</f>
        <v>310458.0547558713</v>
      </c>
      <c r="I379" s="603">
        <f>'5.Tiên lượng'!V59</f>
        <v>1</v>
      </c>
      <c r="J379" s="589">
        <f t="shared" si="21"/>
        <v>273986.99477342534</v>
      </c>
    </row>
    <row r="380" spans="1:10">
      <c r="A380" s="584"/>
      <c r="B380" s="585"/>
      <c r="C380" s="586" t="s">
        <v>590</v>
      </c>
      <c r="D380" s="133" t="s">
        <v>617</v>
      </c>
      <c r="E380" s="587" t="str">
        <f>" - "&amp;'Giá VL'!E33</f>
        <v xml:space="preserve"> - Nước</v>
      </c>
      <c r="F380" s="585" t="str">
        <f>'Giá VL'!F33</f>
        <v>lít</v>
      </c>
      <c r="G380" s="588">
        <f>PTVT!G175</f>
        <v>177.32499999999999</v>
      </c>
      <c r="H380" s="589">
        <f>'Giá VL'!V33</f>
        <v>15</v>
      </c>
      <c r="I380" s="603">
        <f>'5.Tiên lượng'!V59</f>
        <v>1</v>
      </c>
      <c r="J380" s="589">
        <f t="shared" si="21"/>
        <v>2659.875</v>
      </c>
    </row>
    <row r="381" spans="1:10" hidden="1">
      <c r="A381" s="584"/>
      <c r="B381" s="585"/>
      <c r="C381" s="586" t="s">
        <v>590</v>
      </c>
      <c r="D381" s="133" t="s">
        <v>618</v>
      </c>
      <c r="E381" s="587"/>
      <c r="F381" s="585"/>
      <c r="G381" s="588"/>
      <c r="H381" s="589"/>
      <c r="I381" s="603"/>
      <c r="J381" s="589"/>
    </row>
    <row r="382" spans="1:10" hidden="1">
      <c r="A382" s="584"/>
      <c r="B382" s="585"/>
      <c r="C382" s="586" t="s">
        <v>590</v>
      </c>
      <c r="D382" s="133" t="s">
        <v>619</v>
      </c>
      <c r="E382" s="587"/>
      <c r="F382" s="585"/>
      <c r="G382" s="588"/>
      <c r="H382" s="589"/>
      <c r="I382" s="603"/>
      <c r="J382" s="589"/>
    </row>
    <row r="383" spans="1:10">
      <c r="A383" s="584"/>
      <c r="B383" s="585"/>
      <c r="C383" s="586" t="s">
        <v>590</v>
      </c>
      <c r="D383" s="133" t="s">
        <v>620</v>
      </c>
      <c r="E383" s="587" t="s">
        <v>621</v>
      </c>
      <c r="F383" s="585" t="s">
        <v>37</v>
      </c>
      <c r="G383" s="588">
        <f>PTVT!G178</f>
        <v>1.5</v>
      </c>
      <c r="H383" s="589">
        <f>IF('5.Tiên lượng'!V59&lt;&gt;0,SUM(J377:J382)/100/'5.Tiên lượng'!V59,0)</f>
        <v>11382.660133280378</v>
      </c>
      <c r="I383" s="603">
        <f>'5.Tiên lượng'!V59</f>
        <v>1</v>
      </c>
      <c r="J383" s="589">
        <f t="shared" si="21"/>
        <v>17073.990199920569</v>
      </c>
    </row>
    <row r="384" spans="1:10">
      <c r="A384" s="126"/>
      <c r="B384" s="127"/>
      <c r="C384" s="128" t="s">
        <v>590</v>
      </c>
      <c r="D384" s="128" t="s">
        <v>590</v>
      </c>
      <c r="E384" s="583" t="s">
        <v>265</v>
      </c>
      <c r="F384" s="127" t="s">
        <v>266</v>
      </c>
      <c r="G384" s="130"/>
      <c r="H384" s="131"/>
      <c r="I384" s="143"/>
      <c r="J384" s="131">
        <f>SUM(J385:J385)</f>
        <v>332910</v>
      </c>
    </row>
    <row r="385" spans="1:10">
      <c r="A385" s="584"/>
      <c r="B385" s="585"/>
      <c r="C385" s="586" t="s">
        <v>590</v>
      </c>
      <c r="D385" s="133" t="s">
        <v>622</v>
      </c>
      <c r="E385" s="587" t="str">
        <f>" - "&amp;'Giá NC'!E9</f>
        <v xml:space="preserve"> - Nhân công bậc 3,5/7 - Nhóm 2</v>
      </c>
      <c r="F385" s="585" t="str">
        <f>'Giá NC'!F9</f>
        <v>công</v>
      </c>
      <c r="G385" s="588">
        <f>PTVT!G180</f>
        <v>1.37</v>
      </c>
      <c r="H385" s="589">
        <f>'Giá NC'!K9</f>
        <v>270000</v>
      </c>
      <c r="I385" s="603">
        <f>'5.Tiên lượng'!W59</f>
        <v>0.9</v>
      </c>
      <c r="J385" s="589">
        <f>PRODUCT(G385,H385,I385)</f>
        <v>332910</v>
      </c>
    </row>
    <row r="386" spans="1:10">
      <c r="A386" s="126"/>
      <c r="B386" s="127"/>
      <c r="C386" s="128" t="s">
        <v>590</v>
      </c>
      <c r="D386" s="128" t="s">
        <v>590</v>
      </c>
      <c r="E386" s="583" t="s">
        <v>267</v>
      </c>
      <c r="F386" s="127" t="s">
        <v>268</v>
      </c>
      <c r="G386" s="130"/>
      <c r="H386" s="131"/>
      <c r="I386" s="143"/>
      <c r="J386" s="131">
        <f>SUM(J387:J390)</f>
        <v>82287.912777365709</v>
      </c>
    </row>
    <row r="387" spans="1:10">
      <c r="A387" s="584"/>
      <c r="B387" s="585"/>
      <c r="C387" s="586" t="s">
        <v>590</v>
      </c>
      <c r="D387" s="133" t="s">
        <v>623</v>
      </c>
      <c r="E387" s="587" t="str">
        <f>" - "&amp;'Giá Máy'!E27</f>
        <v xml:space="preserve"> - Máy trộn bê tông 250 lít</v>
      </c>
      <c r="F387" s="585" t="str">
        <f>'Giá Máy'!F27</f>
        <v>ca</v>
      </c>
      <c r="G387" s="588">
        <f>PTVT!G182</f>
        <v>9.5000000000000001E-2</v>
      </c>
      <c r="H387" s="589">
        <f>'Giá Máy'!O27</f>
        <v>326305.98864499998</v>
      </c>
      <c r="I387" s="603">
        <f>'5.Tiên lượng'!X59</f>
        <v>1</v>
      </c>
      <c r="J387" s="589">
        <f t="shared" ref="J387:J390" si="22">PRODUCT(G387,H387,I387)</f>
        <v>30999.068921274997</v>
      </c>
    </row>
    <row r="388" spans="1:10">
      <c r="A388" s="584"/>
      <c r="B388" s="585"/>
      <c r="C388" s="586" t="s">
        <v>590</v>
      </c>
      <c r="D388" s="133" t="s">
        <v>624</v>
      </c>
      <c r="E388" s="587" t="str">
        <f>" - "&amp;'Giá Máy'!E10</f>
        <v xml:space="preserve"> - Máy đầm bàn 1kW</v>
      </c>
      <c r="F388" s="585" t="str">
        <f>'Giá Máy'!F10</f>
        <v>ca</v>
      </c>
      <c r="G388" s="588">
        <f>PTVT!G183</f>
        <v>8.8999999999999996E-2</v>
      </c>
      <c r="H388" s="589">
        <f>'Giá Máy'!O10</f>
        <v>276870.75847500004</v>
      </c>
      <c r="I388" s="603">
        <f>'5.Tiên lượng'!X59</f>
        <v>1</v>
      </c>
      <c r="J388" s="589">
        <f t="shared" si="22"/>
        <v>24641.497504275001</v>
      </c>
    </row>
    <row r="389" spans="1:10">
      <c r="A389" s="584"/>
      <c r="B389" s="585"/>
      <c r="C389" s="586" t="s">
        <v>590</v>
      </c>
      <c r="D389" s="133" t="s">
        <v>625</v>
      </c>
      <c r="E389" s="587" t="str">
        <f>" - "&amp;'Giá Máy'!E12</f>
        <v xml:space="preserve"> - Máy đầm dùi 1,5kW</v>
      </c>
      <c r="F389" s="585" t="str">
        <f>'Giá Máy'!F12</f>
        <v>ca</v>
      </c>
      <c r="G389" s="588">
        <f>PTVT!G184</f>
        <v>8.8999999999999996E-2</v>
      </c>
      <c r="H389" s="589">
        <f>'Giá Máy'!O12</f>
        <v>281279.30186500004</v>
      </c>
      <c r="I389" s="603">
        <f>'5.Tiên lượng'!X59</f>
        <v>1</v>
      </c>
      <c r="J389" s="589">
        <f t="shared" si="22"/>
        <v>25033.857865985003</v>
      </c>
    </row>
    <row r="390" spans="1:10">
      <c r="A390" s="584"/>
      <c r="B390" s="585"/>
      <c r="C390" s="586" t="s">
        <v>590</v>
      </c>
      <c r="D390" s="133" t="s">
        <v>611</v>
      </c>
      <c r="E390" s="587" t="s">
        <v>612</v>
      </c>
      <c r="F390" s="585" t="s">
        <v>37</v>
      </c>
      <c r="G390" s="588">
        <f>PTVT!G185</f>
        <v>2</v>
      </c>
      <c r="H390" s="589">
        <f>IF('5.Tiên lượng'!X59&lt;&gt;0,SUM(J387:J389)/100/'5.Tiên lượng'!X59,0)</f>
        <v>806.74424291535001</v>
      </c>
      <c r="I390" s="603">
        <f>'5.Tiên lượng'!X59</f>
        <v>1</v>
      </c>
      <c r="J390" s="589">
        <f t="shared" si="22"/>
        <v>1613.4884858307</v>
      </c>
    </row>
    <row r="391" spans="1:10">
      <c r="A391" s="584"/>
      <c r="B391" s="585"/>
      <c r="C391" s="586" t="s">
        <v>590</v>
      </c>
      <c r="D391" s="133" t="s">
        <v>590</v>
      </c>
      <c r="E391" s="587" t="s">
        <v>269</v>
      </c>
      <c r="F391" s="585" t="s">
        <v>270</v>
      </c>
      <c r="G391" s="590"/>
      <c r="H391" s="589"/>
      <c r="I391" s="603"/>
      <c r="J391" s="589">
        <f>J376+J384+J386</f>
        <v>1570537.9163053241</v>
      </c>
    </row>
    <row r="392" spans="1:10">
      <c r="A392" s="584"/>
      <c r="B392" s="585"/>
      <c r="C392" s="586" t="s">
        <v>590</v>
      </c>
      <c r="D392" s="133" t="s">
        <v>590</v>
      </c>
      <c r="E392" s="587" t="s">
        <v>273</v>
      </c>
      <c r="F392" s="585" t="s">
        <v>274</v>
      </c>
      <c r="G392" s="591">
        <f>'Thông tin'!E67</f>
        <v>6.2E-2</v>
      </c>
      <c r="H392" s="589"/>
      <c r="I392" s="603"/>
      <c r="J392" s="589">
        <f>(J391)*G392</f>
        <v>97373.350810930089</v>
      </c>
    </row>
    <row r="393" spans="1:10">
      <c r="A393" s="584"/>
      <c r="B393" s="585"/>
      <c r="C393" s="586" t="s">
        <v>590</v>
      </c>
      <c r="D393" s="133" t="s">
        <v>590</v>
      </c>
      <c r="E393" s="587" t="s">
        <v>276</v>
      </c>
      <c r="F393" s="585" t="s">
        <v>277</v>
      </c>
      <c r="G393" s="591">
        <f>'Thông tin'!E60</f>
        <v>2.2000000000000002E-2</v>
      </c>
      <c r="H393" s="589"/>
      <c r="I393" s="603"/>
      <c r="J393" s="589">
        <f>(J391)*G393</f>
        <v>34551.834158717131</v>
      </c>
    </row>
    <row r="394" spans="1:10" ht="27.6">
      <c r="A394" s="584"/>
      <c r="B394" s="585"/>
      <c r="C394" s="586" t="s">
        <v>590</v>
      </c>
      <c r="D394" s="133" t="s">
        <v>590</v>
      </c>
      <c r="E394" s="587" t="s">
        <v>279</v>
      </c>
      <c r="F394" s="585" t="s">
        <v>142</v>
      </c>
      <c r="G394" s="591">
        <f>'Thông tin'!E65</f>
        <v>0.02</v>
      </c>
      <c r="H394" s="589"/>
      <c r="I394" s="603"/>
      <c r="J394" s="589">
        <f>(J391)*G394</f>
        <v>31410.758326106483</v>
      </c>
    </row>
    <row r="395" spans="1:10">
      <c r="A395" s="584"/>
      <c r="B395" s="585"/>
      <c r="C395" s="586" t="s">
        <v>590</v>
      </c>
      <c r="D395" s="133" t="s">
        <v>590</v>
      </c>
      <c r="E395" s="587" t="s">
        <v>281</v>
      </c>
      <c r="F395" s="585" t="s">
        <v>282</v>
      </c>
      <c r="G395" s="590"/>
      <c r="H395" s="589"/>
      <c r="I395" s="603"/>
      <c r="J395" s="589">
        <f>J392+J393+J394</f>
        <v>163335.94329575368</v>
      </c>
    </row>
    <row r="396" spans="1:10">
      <c r="A396" s="584"/>
      <c r="B396" s="585"/>
      <c r="C396" s="586" t="s">
        <v>590</v>
      </c>
      <c r="D396" s="133" t="s">
        <v>590</v>
      </c>
      <c r="E396" s="587" t="s">
        <v>284</v>
      </c>
      <c r="F396" s="585" t="s">
        <v>285</v>
      </c>
      <c r="G396" s="591">
        <f>'Thông tin'!E63</f>
        <v>0.06</v>
      </c>
      <c r="H396" s="589"/>
      <c r="I396" s="603"/>
      <c r="J396" s="589">
        <f>(J391+J395)*G396</f>
        <v>104032.43157606466</v>
      </c>
    </row>
    <row r="397" spans="1:10">
      <c r="A397" s="584"/>
      <c r="B397" s="585"/>
      <c r="C397" s="586" t="s">
        <v>590</v>
      </c>
      <c r="D397" s="133" t="s">
        <v>590</v>
      </c>
      <c r="E397" s="592" t="s">
        <v>287</v>
      </c>
      <c r="F397" s="593" t="s">
        <v>288</v>
      </c>
      <c r="G397" s="590"/>
      <c r="H397" s="589"/>
      <c r="I397" s="603"/>
      <c r="J397" s="604">
        <f>J391+J395+J396</f>
        <v>1837906.2911771422</v>
      </c>
    </row>
    <row r="398" spans="1:10">
      <c r="A398" s="584"/>
      <c r="B398" s="585"/>
      <c r="C398" s="586" t="s">
        <v>590</v>
      </c>
      <c r="D398" s="133" t="s">
        <v>590</v>
      </c>
      <c r="E398" s="587" t="s">
        <v>290</v>
      </c>
      <c r="F398" s="585" t="s">
        <v>291</v>
      </c>
      <c r="G398" s="591">
        <f>'Thông tin'!E61</f>
        <v>0.1</v>
      </c>
      <c r="H398" s="589"/>
      <c r="I398" s="603"/>
      <c r="J398" s="589">
        <f>(J397)*G398</f>
        <v>183790.62911771424</v>
      </c>
    </row>
    <row r="399" spans="1:10">
      <c r="A399" s="594"/>
      <c r="B399" s="595"/>
      <c r="C399" s="596" t="s">
        <v>590</v>
      </c>
      <c r="D399" s="137" t="s">
        <v>590</v>
      </c>
      <c r="E399" s="597" t="s">
        <v>293</v>
      </c>
      <c r="F399" s="598" t="s">
        <v>19</v>
      </c>
      <c r="G399" s="599"/>
      <c r="H399" s="600"/>
      <c r="I399" s="605"/>
      <c r="J399" s="606">
        <f>J397+J398</f>
        <v>2021696.9202948564</v>
      </c>
    </row>
    <row r="400" spans="1:10">
      <c r="A400" s="578"/>
      <c r="B400" s="579">
        <v>23</v>
      </c>
      <c r="C400" s="578" t="str">
        <f>'5.Tiên lượng'!C61</f>
        <v>AL.16201</v>
      </c>
      <c r="D400" s="578" t="str">
        <f>'5.Tiên lượng'!C61</f>
        <v>AL.16201</v>
      </c>
      <c r="E400" s="580" t="str">
        <f>'5.Tiên lượng'!D61</f>
        <v>Rải giấy dầu lớp cách ly</v>
      </c>
      <c r="F400" s="579" t="str">
        <f>'5.Tiên lượng'!E61</f>
        <v>100m2</v>
      </c>
      <c r="G400" s="581"/>
      <c r="H400" s="582"/>
      <c r="I400" s="602"/>
      <c r="J400" s="582"/>
    </row>
    <row r="401" spans="1:10">
      <c r="A401" s="126"/>
      <c r="B401" s="127"/>
      <c r="C401" s="128" t="s">
        <v>590</v>
      </c>
      <c r="D401" s="128" t="s">
        <v>590</v>
      </c>
      <c r="E401" s="583" t="s">
        <v>262</v>
      </c>
      <c r="F401" s="127" t="s">
        <v>263</v>
      </c>
      <c r="G401" s="130"/>
      <c r="H401" s="131"/>
      <c r="I401" s="143"/>
      <c r="J401" s="131">
        <f>SUM(J402:J403)</f>
        <v>220440</v>
      </c>
    </row>
    <row r="402" spans="1:10">
      <c r="A402" s="584"/>
      <c r="B402" s="585"/>
      <c r="C402" s="586" t="s">
        <v>590</v>
      </c>
      <c r="D402" s="133" t="s">
        <v>626</v>
      </c>
      <c r="E402" s="587" t="str">
        <f>" - "&amp;'Giá VL'!E24</f>
        <v xml:space="preserve"> - Ni Lông</v>
      </c>
      <c r="F402" s="585" t="str">
        <f>'Giá VL'!F24</f>
        <v>m2</v>
      </c>
      <c r="G402" s="588">
        <f>PTVT!G188</f>
        <v>110</v>
      </c>
      <c r="H402" s="589">
        <f>'Giá VL'!V24</f>
        <v>2000</v>
      </c>
      <c r="I402" s="603">
        <f>'5.Tiên lượng'!V61</f>
        <v>1</v>
      </c>
      <c r="J402" s="589">
        <f t="shared" ref="J402:J403" si="23">PRODUCT(G402,H402,I402)</f>
        <v>220000</v>
      </c>
    </row>
    <row r="403" spans="1:10">
      <c r="A403" s="584"/>
      <c r="B403" s="585"/>
      <c r="C403" s="586" t="s">
        <v>590</v>
      </c>
      <c r="D403" s="133" t="s">
        <v>620</v>
      </c>
      <c r="E403" s="587" t="s">
        <v>621</v>
      </c>
      <c r="F403" s="585" t="s">
        <v>37</v>
      </c>
      <c r="G403" s="588">
        <f>PTVT!G189</f>
        <v>0.2</v>
      </c>
      <c r="H403" s="589">
        <f>IF('5.Tiên lượng'!V61&lt;&gt;0,SUM(J402:J402)/100/'5.Tiên lượng'!V61,0)</f>
        <v>2200</v>
      </c>
      <c r="I403" s="603">
        <f>'5.Tiên lượng'!V61</f>
        <v>1</v>
      </c>
      <c r="J403" s="589">
        <f t="shared" si="23"/>
        <v>440</v>
      </c>
    </row>
    <row r="404" spans="1:10">
      <c r="A404" s="126"/>
      <c r="B404" s="127"/>
      <c r="C404" s="128" t="s">
        <v>590</v>
      </c>
      <c r="D404" s="128" t="s">
        <v>590</v>
      </c>
      <c r="E404" s="583" t="s">
        <v>265</v>
      </c>
      <c r="F404" s="127" t="s">
        <v>266</v>
      </c>
      <c r="G404" s="130"/>
      <c r="H404" s="131"/>
      <c r="I404" s="143"/>
      <c r="J404" s="131">
        <f>SUM(J405:J405)</f>
        <v>40500</v>
      </c>
    </row>
    <row r="405" spans="1:10">
      <c r="A405" s="584"/>
      <c r="B405" s="585"/>
      <c r="C405" s="586" t="s">
        <v>590</v>
      </c>
      <c r="D405" s="133" t="s">
        <v>622</v>
      </c>
      <c r="E405" s="587" t="str">
        <f>" - "&amp;'Giá NC'!E9</f>
        <v xml:space="preserve"> - Nhân công bậc 3,5/7 - Nhóm 2</v>
      </c>
      <c r="F405" s="585" t="str">
        <f>'Giá NC'!F9</f>
        <v>công</v>
      </c>
      <c r="G405" s="588">
        <f>PTVT!G191</f>
        <v>0.15</v>
      </c>
      <c r="H405" s="589">
        <f>'Giá NC'!K9</f>
        <v>270000</v>
      </c>
      <c r="I405" s="603">
        <f>'5.Tiên lượng'!W61</f>
        <v>1</v>
      </c>
      <c r="J405" s="589">
        <f>PRODUCT(G405,H405,I405)</f>
        <v>40500</v>
      </c>
    </row>
    <row r="406" spans="1:10">
      <c r="A406" s="126"/>
      <c r="B406" s="127"/>
      <c r="C406" s="128" t="s">
        <v>590</v>
      </c>
      <c r="D406" s="128" t="s">
        <v>590</v>
      </c>
      <c r="E406" s="583" t="s">
        <v>267</v>
      </c>
      <c r="F406" s="127" t="s">
        <v>268</v>
      </c>
      <c r="G406" s="130"/>
      <c r="H406" s="131"/>
      <c r="I406" s="143"/>
      <c r="J406" s="131">
        <v>0</v>
      </c>
    </row>
    <row r="407" spans="1:10">
      <c r="A407" s="584"/>
      <c r="B407" s="585"/>
      <c r="C407" s="586" t="s">
        <v>590</v>
      </c>
      <c r="D407" s="133" t="s">
        <v>590</v>
      </c>
      <c r="E407" s="587" t="s">
        <v>269</v>
      </c>
      <c r="F407" s="585" t="s">
        <v>270</v>
      </c>
      <c r="G407" s="590"/>
      <c r="H407" s="589"/>
      <c r="I407" s="603"/>
      <c r="J407" s="589">
        <f>J401+J404+J406</f>
        <v>260940</v>
      </c>
    </row>
    <row r="408" spans="1:10">
      <c r="A408" s="584"/>
      <c r="B408" s="585"/>
      <c r="C408" s="586" t="s">
        <v>590</v>
      </c>
      <c r="D408" s="133" t="s">
        <v>590</v>
      </c>
      <c r="E408" s="587" t="s">
        <v>273</v>
      </c>
      <c r="F408" s="585" t="s">
        <v>274</v>
      </c>
      <c r="G408" s="591">
        <f>'Thông tin'!E67</f>
        <v>6.2E-2</v>
      </c>
      <c r="H408" s="589"/>
      <c r="I408" s="603"/>
      <c r="J408" s="589">
        <f>(J407)*G408</f>
        <v>16178.28</v>
      </c>
    </row>
    <row r="409" spans="1:10">
      <c r="A409" s="584"/>
      <c r="B409" s="585"/>
      <c r="C409" s="586" t="s">
        <v>590</v>
      </c>
      <c r="D409" s="133" t="s">
        <v>590</v>
      </c>
      <c r="E409" s="587" t="s">
        <v>276</v>
      </c>
      <c r="F409" s="585" t="s">
        <v>277</v>
      </c>
      <c r="G409" s="591">
        <f>'Thông tin'!E60</f>
        <v>2.2000000000000002E-2</v>
      </c>
      <c r="H409" s="589"/>
      <c r="I409" s="603"/>
      <c r="J409" s="589">
        <f>(J407)*G409</f>
        <v>5740.68</v>
      </c>
    </row>
    <row r="410" spans="1:10" ht="27.6">
      <c r="A410" s="584"/>
      <c r="B410" s="585"/>
      <c r="C410" s="586" t="s">
        <v>590</v>
      </c>
      <c r="D410" s="133" t="s">
        <v>590</v>
      </c>
      <c r="E410" s="587" t="s">
        <v>279</v>
      </c>
      <c r="F410" s="585" t="s">
        <v>142</v>
      </c>
      <c r="G410" s="591">
        <f>'Thông tin'!E65</f>
        <v>0.02</v>
      </c>
      <c r="H410" s="589"/>
      <c r="I410" s="603"/>
      <c r="J410" s="589">
        <f>(J407)*G410</f>
        <v>5218.8</v>
      </c>
    </row>
    <row r="411" spans="1:10">
      <c r="A411" s="584"/>
      <c r="B411" s="585"/>
      <c r="C411" s="586" t="s">
        <v>590</v>
      </c>
      <c r="D411" s="133" t="s">
        <v>590</v>
      </c>
      <c r="E411" s="587" t="s">
        <v>281</v>
      </c>
      <c r="F411" s="585" t="s">
        <v>282</v>
      </c>
      <c r="G411" s="590"/>
      <c r="H411" s="589"/>
      <c r="I411" s="603"/>
      <c r="J411" s="589">
        <f>J408+J409+J410</f>
        <v>27137.759999999998</v>
      </c>
    </row>
    <row r="412" spans="1:10">
      <c r="A412" s="584"/>
      <c r="B412" s="585"/>
      <c r="C412" s="586" t="s">
        <v>590</v>
      </c>
      <c r="D412" s="133" t="s">
        <v>590</v>
      </c>
      <c r="E412" s="587" t="s">
        <v>284</v>
      </c>
      <c r="F412" s="585" t="s">
        <v>285</v>
      </c>
      <c r="G412" s="591">
        <f>'Thông tin'!E63</f>
        <v>0.06</v>
      </c>
      <c r="H412" s="589"/>
      <c r="I412" s="603"/>
      <c r="J412" s="589">
        <f>(J407+J411)*G412</f>
        <v>17284.6656</v>
      </c>
    </row>
    <row r="413" spans="1:10">
      <c r="A413" s="584"/>
      <c r="B413" s="585"/>
      <c r="C413" s="586" t="s">
        <v>590</v>
      </c>
      <c r="D413" s="133" t="s">
        <v>590</v>
      </c>
      <c r="E413" s="592" t="s">
        <v>287</v>
      </c>
      <c r="F413" s="593" t="s">
        <v>288</v>
      </c>
      <c r="G413" s="590"/>
      <c r="H413" s="589"/>
      <c r="I413" s="603"/>
      <c r="J413" s="604">
        <f>J407+J411+J412</f>
        <v>305362.42560000002</v>
      </c>
    </row>
    <row r="414" spans="1:10">
      <c r="A414" s="584"/>
      <c r="B414" s="585"/>
      <c r="C414" s="586" t="s">
        <v>590</v>
      </c>
      <c r="D414" s="133" t="s">
        <v>590</v>
      </c>
      <c r="E414" s="587" t="s">
        <v>290</v>
      </c>
      <c r="F414" s="585" t="s">
        <v>291</v>
      </c>
      <c r="G414" s="591">
        <f>'Thông tin'!E61</f>
        <v>0.1</v>
      </c>
      <c r="H414" s="589"/>
      <c r="I414" s="603"/>
      <c r="J414" s="589">
        <f>(J413)*G414</f>
        <v>30536.242560000002</v>
      </c>
    </row>
    <row r="415" spans="1:10">
      <c r="A415" s="594"/>
      <c r="B415" s="595"/>
      <c r="C415" s="596" t="s">
        <v>590</v>
      </c>
      <c r="D415" s="137" t="s">
        <v>590</v>
      </c>
      <c r="E415" s="597" t="s">
        <v>293</v>
      </c>
      <c r="F415" s="598" t="s">
        <v>19</v>
      </c>
      <c r="G415" s="599"/>
      <c r="H415" s="600"/>
      <c r="I415" s="605"/>
      <c r="J415" s="606">
        <f>J413+J414</f>
        <v>335898.66816</v>
      </c>
    </row>
    <row r="416" spans="1:10">
      <c r="A416" s="578"/>
      <c r="B416" s="579">
        <v>24</v>
      </c>
      <c r="C416" s="578" t="str">
        <f>'5.Tiên lượng'!C63</f>
        <v>AD.11212</v>
      </c>
      <c r="D416" s="578" t="str">
        <f>'5.Tiên lượng'!C63</f>
        <v>AD.11212</v>
      </c>
      <c r="E416" s="580" t="str">
        <f>'5.Tiên lượng'!D63</f>
        <v xml:space="preserve">Thi công móng cấp phối đá dăm lớp dưới </v>
      </c>
      <c r="F416" s="579" t="str">
        <f>'5.Tiên lượng'!E63</f>
        <v>100m3</v>
      </c>
      <c r="G416" s="581"/>
      <c r="H416" s="582"/>
      <c r="I416" s="602"/>
      <c r="J416" s="582"/>
    </row>
    <row r="417" spans="1:10">
      <c r="A417" s="126"/>
      <c r="B417" s="127"/>
      <c r="C417" s="128" t="s">
        <v>590</v>
      </c>
      <c r="D417" s="128" t="s">
        <v>590</v>
      </c>
      <c r="E417" s="583" t="s">
        <v>262</v>
      </c>
      <c r="F417" s="127" t="s">
        <v>263</v>
      </c>
      <c r="G417" s="130"/>
      <c r="H417" s="131"/>
      <c r="I417" s="143"/>
      <c r="J417" s="131">
        <f>SUM(J418:J418)</f>
        <v>32221379.337286752</v>
      </c>
    </row>
    <row r="418" spans="1:10">
      <c r="A418" s="584"/>
      <c r="B418" s="585"/>
      <c r="C418" s="586" t="s">
        <v>590</v>
      </c>
      <c r="D418" s="133" t="s">
        <v>604</v>
      </c>
      <c r="E418" s="587" t="str">
        <f>" - "&amp;'Giá VL'!E13</f>
        <v xml:space="preserve"> - Cấp phối đá dăm loại 2</v>
      </c>
      <c r="F418" s="585" t="str">
        <f>'Giá VL'!F13</f>
        <v>m3</v>
      </c>
      <c r="G418" s="588">
        <f>PTVT!G194</f>
        <v>134</v>
      </c>
      <c r="H418" s="589">
        <f>'Giá VL'!V13</f>
        <v>240458.05475587127</v>
      </c>
      <c r="I418" s="603">
        <f>'5.Tiên lượng'!V63</f>
        <v>1</v>
      </c>
      <c r="J418" s="589">
        <f>PRODUCT(G418,H418,I418)</f>
        <v>32221379.337286752</v>
      </c>
    </row>
    <row r="419" spans="1:10">
      <c r="A419" s="126"/>
      <c r="B419" s="127"/>
      <c r="C419" s="128" t="s">
        <v>590</v>
      </c>
      <c r="D419" s="128" t="s">
        <v>590</v>
      </c>
      <c r="E419" s="583" t="s">
        <v>265</v>
      </c>
      <c r="F419" s="127" t="s">
        <v>266</v>
      </c>
      <c r="G419" s="130"/>
      <c r="H419" s="131"/>
      <c r="I419" s="143"/>
      <c r="J419" s="131">
        <f>SUM(J420:J420)</f>
        <v>770352.96000000008</v>
      </c>
    </row>
    <row r="420" spans="1:10">
      <c r="A420" s="584"/>
      <c r="B420" s="585"/>
      <c r="C420" s="586" t="s">
        <v>590</v>
      </c>
      <c r="D420" s="133" t="s">
        <v>605</v>
      </c>
      <c r="E420" s="587" t="str">
        <f>" - "&amp;'Giá NC'!E8</f>
        <v xml:space="preserve"> - Nhân công bậc 3,0/7 - Nhóm 2</v>
      </c>
      <c r="F420" s="585" t="str">
        <f>'Giá NC'!F8</f>
        <v>công</v>
      </c>
      <c r="G420" s="588">
        <f>PTVT!G196</f>
        <v>3.12</v>
      </c>
      <c r="H420" s="589">
        <f>'Giá NC'!K8</f>
        <v>246908</v>
      </c>
      <c r="I420" s="603">
        <f>'5.Tiên lượng'!W63</f>
        <v>1</v>
      </c>
      <c r="J420" s="589">
        <f>PRODUCT(G420,H420,I420)</f>
        <v>770352.96000000008</v>
      </c>
    </row>
    <row r="421" spans="1:10">
      <c r="A421" s="126"/>
      <c r="B421" s="127"/>
      <c r="C421" s="128" t="s">
        <v>590</v>
      </c>
      <c r="D421" s="128" t="s">
        <v>590</v>
      </c>
      <c r="E421" s="583" t="s">
        <v>267</v>
      </c>
      <c r="F421" s="127" t="s">
        <v>268</v>
      </c>
      <c r="G421" s="130"/>
      <c r="H421" s="131"/>
      <c r="I421" s="143"/>
      <c r="J421" s="131">
        <f>SUM(J422:J427)</f>
        <v>2369565.459726376</v>
      </c>
    </row>
    <row r="422" spans="1:10">
      <c r="A422" s="584"/>
      <c r="B422" s="585"/>
      <c r="C422" s="586" t="s">
        <v>590</v>
      </c>
      <c r="D422" s="133" t="s">
        <v>606</v>
      </c>
      <c r="E422" s="587" t="str">
        <f>" - "&amp;'Giá Máy'!E24</f>
        <v xml:space="preserve"> - Máy rải cấp phối đá dăm 50 - 60m3/h</v>
      </c>
      <c r="F422" s="585" t="str">
        <f>'Giá Máy'!F24</f>
        <v>ca</v>
      </c>
      <c r="G422" s="588">
        <f>PTVT!G198</f>
        <v>0.21</v>
      </c>
      <c r="H422" s="589">
        <f>'Giá Máy'!O24</f>
        <v>3572483.6555555556</v>
      </c>
      <c r="I422" s="603">
        <f>'5.Tiên lượng'!X63</f>
        <v>1</v>
      </c>
      <c r="J422" s="589">
        <f t="shared" ref="J422:J427" si="24">PRODUCT(G422,H422,I422)</f>
        <v>750221.5676666667</v>
      </c>
    </row>
    <row r="423" spans="1:10">
      <c r="A423" s="584"/>
      <c r="B423" s="585"/>
      <c r="C423" s="586" t="s">
        <v>590</v>
      </c>
      <c r="D423" s="133" t="s">
        <v>607</v>
      </c>
      <c r="E423" s="587" t="str">
        <f>" - "&amp;'Giá Máy'!E19</f>
        <v xml:space="preserve"> - Máy lu rung tự hành 25T</v>
      </c>
      <c r="F423" s="585" t="str">
        <f>'Giá Máy'!F19</f>
        <v>ca</v>
      </c>
      <c r="G423" s="588">
        <f>PTVT!G199</f>
        <v>0.32</v>
      </c>
      <c r="H423" s="589">
        <f>'Giá Máy'!O19</f>
        <v>2794294.0688888887</v>
      </c>
      <c r="I423" s="603">
        <f>'5.Tiên lượng'!X63</f>
        <v>1</v>
      </c>
      <c r="J423" s="589">
        <f t="shared" si="24"/>
        <v>894174.10204444441</v>
      </c>
    </row>
    <row r="424" spans="1:10">
      <c r="A424" s="584"/>
      <c r="B424" s="585"/>
      <c r="C424" s="586" t="s">
        <v>590</v>
      </c>
      <c r="D424" s="133" t="s">
        <v>608</v>
      </c>
      <c r="E424" s="587" t="str">
        <f>" - "&amp;'Giá Máy'!E38</f>
        <v xml:space="preserve"> - Máy lu bánh hơi tự hành 16T</v>
      </c>
      <c r="F424" s="585" t="str">
        <f>'Giá Máy'!F38</f>
        <v>ca</v>
      </c>
      <c r="G424" s="588">
        <f>PTVT!G200</f>
        <v>0.12</v>
      </c>
      <c r="H424" s="589">
        <f>'Giá Máy'!O38</f>
        <v>1553246.5422222223</v>
      </c>
      <c r="I424" s="603">
        <f>'5.Tiên lượng'!X63</f>
        <v>1</v>
      </c>
      <c r="J424" s="589">
        <f t="shared" si="24"/>
        <v>186389.58506666668</v>
      </c>
    </row>
    <row r="425" spans="1:10">
      <c r="A425" s="584"/>
      <c r="B425" s="585"/>
      <c r="C425" s="586" t="s">
        <v>590</v>
      </c>
      <c r="D425" s="133" t="s">
        <v>609</v>
      </c>
      <c r="E425" s="587" t="str">
        <f>" - "&amp;'Giá Máy'!E17</f>
        <v xml:space="preserve"> - Máy lu bánh thép 10T</v>
      </c>
      <c r="F425" s="585" t="str">
        <f>'Giá Máy'!F17</f>
        <v>ca</v>
      </c>
      <c r="G425" s="588">
        <f>PTVT!G201</f>
        <v>0.26</v>
      </c>
      <c r="H425" s="589">
        <f>'Giá Máy'!O17</f>
        <v>1132157.2474074075</v>
      </c>
      <c r="I425" s="603">
        <f>'5.Tiên lượng'!X63</f>
        <v>1</v>
      </c>
      <c r="J425" s="589">
        <f t="shared" si="24"/>
        <v>294360.88432592596</v>
      </c>
    </row>
    <row r="426" spans="1:10">
      <c r="A426" s="584"/>
      <c r="B426" s="585"/>
      <c r="C426" s="586" t="s">
        <v>590</v>
      </c>
      <c r="D426" s="133" t="s">
        <v>610</v>
      </c>
      <c r="E426" s="587" t="str">
        <f>" - "&amp;'Giá Máy'!E33</f>
        <v xml:space="preserve"> - Ô tô tưới nước 5m3</v>
      </c>
      <c r="F426" s="585" t="str">
        <f>'Giá Máy'!F33</f>
        <v>ca</v>
      </c>
      <c r="G426" s="588">
        <f>PTVT!G202</f>
        <v>0.21</v>
      </c>
      <c r="H426" s="589">
        <f>'Giá Máy'!O33</f>
        <v>1107763.9892307692</v>
      </c>
      <c r="I426" s="603">
        <f>'5.Tiên lượng'!X63</f>
        <v>1</v>
      </c>
      <c r="J426" s="589">
        <f t="shared" si="24"/>
        <v>232630.43773846154</v>
      </c>
    </row>
    <row r="427" spans="1:10">
      <c r="A427" s="584"/>
      <c r="B427" s="585"/>
      <c r="C427" s="586" t="s">
        <v>590</v>
      </c>
      <c r="D427" s="133" t="s">
        <v>611</v>
      </c>
      <c r="E427" s="587" t="s">
        <v>612</v>
      </c>
      <c r="F427" s="585" t="s">
        <v>37</v>
      </c>
      <c r="G427" s="588">
        <f>PTVT!G203</f>
        <v>0.5</v>
      </c>
      <c r="H427" s="589">
        <f>IF('5.Tiên lượng'!X63&lt;&gt;0,SUM(J422:J426)/100/'5.Tiên lượng'!X63,0)</f>
        <v>23577.76576842165</v>
      </c>
      <c r="I427" s="603">
        <f>'5.Tiên lượng'!X63</f>
        <v>1</v>
      </c>
      <c r="J427" s="589">
        <f t="shared" si="24"/>
        <v>11788.882884210825</v>
      </c>
    </row>
    <row r="428" spans="1:10">
      <c r="A428" s="584"/>
      <c r="B428" s="585"/>
      <c r="C428" s="586" t="s">
        <v>590</v>
      </c>
      <c r="D428" s="133" t="s">
        <v>590</v>
      </c>
      <c r="E428" s="587" t="s">
        <v>269</v>
      </c>
      <c r="F428" s="585" t="s">
        <v>270</v>
      </c>
      <c r="G428" s="590"/>
      <c r="H428" s="589"/>
      <c r="I428" s="603"/>
      <c r="J428" s="589">
        <f>J417+J419+J421</f>
        <v>35361297.757013127</v>
      </c>
    </row>
    <row r="429" spans="1:10">
      <c r="A429" s="584"/>
      <c r="B429" s="585"/>
      <c r="C429" s="586" t="s">
        <v>590</v>
      </c>
      <c r="D429" s="133" t="s">
        <v>590</v>
      </c>
      <c r="E429" s="587" t="s">
        <v>273</v>
      </c>
      <c r="F429" s="585" t="s">
        <v>274</v>
      </c>
      <c r="G429" s="591">
        <f>'Thông tin'!E67</f>
        <v>6.2E-2</v>
      </c>
      <c r="H429" s="589"/>
      <c r="I429" s="603"/>
      <c r="J429" s="589">
        <f>(J428)*G429</f>
        <v>2192400.4609348141</v>
      </c>
    </row>
    <row r="430" spans="1:10">
      <c r="A430" s="584"/>
      <c r="B430" s="585"/>
      <c r="C430" s="586" t="s">
        <v>590</v>
      </c>
      <c r="D430" s="133" t="s">
        <v>590</v>
      </c>
      <c r="E430" s="587" t="s">
        <v>276</v>
      </c>
      <c r="F430" s="585" t="s">
        <v>277</v>
      </c>
      <c r="G430" s="591">
        <f>'Thông tin'!E60</f>
        <v>2.2000000000000002E-2</v>
      </c>
      <c r="H430" s="589"/>
      <c r="I430" s="603"/>
      <c r="J430" s="589">
        <f>(J428)*G430</f>
        <v>777948.55065428885</v>
      </c>
    </row>
    <row r="431" spans="1:10" ht="27.6">
      <c r="A431" s="584"/>
      <c r="B431" s="585"/>
      <c r="C431" s="586" t="s">
        <v>590</v>
      </c>
      <c r="D431" s="133" t="s">
        <v>590</v>
      </c>
      <c r="E431" s="587" t="s">
        <v>279</v>
      </c>
      <c r="F431" s="585" t="s">
        <v>142</v>
      </c>
      <c r="G431" s="591">
        <f>'Thông tin'!E65</f>
        <v>0.02</v>
      </c>
      <c r="H431" s="589"/>
      <c r="I431" s="603"/>
      <c r="J431" s="589">
        <f>(J428)*G431</f>
        <v>707225.95514026261</v>
      </c>
    </row>
    <row r="432" spans="1:10">
      <c r="A432" s="584"/>
      <c r="B432" s="585"/>
      <c r="C432" s="586" t="s">
        <v>590</v>
      </c>
      <c r="D432" s="133" t="s">
        <v>590</v>
      </c>
      <c r="E432" s="587" t="s">
        <v>281</v>
      </c>
      <c r="F432" s="585" t="s">
        <v>282</v>
      </c>
      <c r="G432" s="590"/>
      <c r="H432" s="589"/>
      <c r="I432" s="603"/>
      <c r="J432" s="589">
        <f>J429+J430+J431</f>
        <v>3677574.9667293653</v>
      </c>
    </row>
    <row r="433" spans="1:10">
      <c r="A433" s="584"/>
      <c r="B433" s="585"/>
      <c r="C433" s="586" t="s">
        <v>590</v>
      </c>
      <c r="D433" s="133" t="s">
        <v>590</v>
      </c>
      <c r="E433" s="587" t="s">
        <v>284</v>
      </c>
      <c r="F433" s="585" t="s">
        <v>285</v>
      </c>
      <c r="G433" s="591">
        <f>'Thông tin'!E63</f>
        <v>0.06</v>
      </c>
      <c r="H433" s="589"/>
      <c r="I433" s="603"/>
      <c r="J433" s="589">
        <f>(J428+J432)*G433</f>
        <v>2342332.3634245493</v>
      </c>
    </row>
    <row r="434" spans="1:10">
      <c r="A434" s="584"/>
      <c r="B434" s="585"/>
      <c r="C434" s="586" t="s">
        <v>590</v>
      </c>
      <c r="D434" s="133" t="s">
        <v>590</v>
      </c>
      <c r="E434" s="592" t="s">
        <v>287</v>
      </c>
      <c r="F434" s="593" t="s">
        <v>288</v>
      </c>
      <c r="G434" s="590"/>
      <c r="H434" s="589"/>
      <c r="I434" s="603"/>
      <c r="J434" s="604">
        <f>J428+J432+J433</f>
        <v>41381205.08716704</v>
      </c>
    </row>
    <row r="435" spans="1:10">
      <c r="A435" s="584"/>
      <c r="B435" s="585"/>
      <c r="C435" s="586" t="s">
        <v>590</v>
      </c>
      <c r="D435" s="133" t="s">
        <v>590</v>
      </c>
      <c r="E435" s="587" t="s">
        <v>290</v>
      </c>
      <c r="F435" s="585" t="s">
        <v>291</v>
      </c>
      <c r="G435" s="591">
        <f>'Thông tin'!E61</f>
        <v>0.1</v>
      </c>
      <c r="H435" s="589"/>
      <c r="I435" s="603"/>
      <c r="J435" s="589">
        <f>(J434)*G435</f>
        <v>4138120.5087167043</v>
      </c>
    </row>
    <row r="436" spans="1:10">
      <c r="A436" s="594"/>
      <c r="B436" s="595"/>
      <c r="C436" s="596" t="s">
        <v>590</v>
      </c>
      <c r="D436" s="137" t="s">
        <v>590</v>
      </c>
      <c r="E436" s="597" t="s">
        <v>293</v>
      </c>
      <c r="F436" s="598" t="s">
        <v>19</v>
      </c>
      <c r="G436" s="599"/>
      <c r="H436" s="600"/>
      <c r="I436" s="605"/>
      <c r="J436" s="606">
        <f>J434+J435</f>
        <v>45519325.595883742</v>
      </c>
    </row>
    <row r="437" spans="1:10">
      <c r="A437" s="578"/>
      <c r="B437" s="579">
        <v>25</v>
      </c>
      <c r="C437" s="578" t="str">
        <f>'5.Tiên lượng'!C65</f>
        <v>AF.82411</v>
      </c>
      <c r="D437" s="578" t="str">
        <f>'5.Tiên lượng'!C65</f>
        <v>AF.82411</v>
      </c>
      <c r="E437" s="580" t="str">
        <f>'5.Tiên lượng'!D65</f>
        <v>Ván khuôn thép mặt đường bê tông</v>
      </c>
      <c r="F437" s="579" t="str">
        <f>'5.Tiên lượng'!E65</f>
        <v>100m2</v>
      </c>
      <c r="G437" s="581"/>
      <c r="H437" s="582"/>
      <c r="I437" s="602"/>
      <c r="J437" s="582"/>
    </row>
    <row r="438" spans="1:10">
      <c r="A438" s="126"/>
      <c r="B438" s="127"/>
      <c r="C438" s="128" t="s">
        <v>590</v>
      </c>
      <c r="D438" s="128" t="s">
        <v>590</v>
      </c>
      <c r="E438" s="583" t="s">
        <v>262</v>
      </c>
      <c r="F438" s="127" t="s">
        <v>263</v>
      </c>
      <c r="G438" s="130"/>
      <c r="H438" s="131"/>
      <c r="I438" s="143"/>
      <c r="J438" s="131">
        <f>SUM(J439:J441)</f>
        <v>618210.99161675188</v>
      </c>
    </row>
    <row r="439" spans="1:10">
      <c r="A439" s="584"/>
      <c r="B439" s="585"/>
      <c r="C439" s="586" t="s">
        <v>590</v>
      </c>
      <c r="D439" s="133" t="s">
        <v>627</v>
      </c>
      <c r="E439" s="587" t="str">
        <f>" - "&amp;'Giá VL'!E40</f>
        <v xml:space="preserve"> - Thép hình, thép tấm</v>
      </c>
      <c r="F439" s="585" t="str">
        <f>'Giá VL'!F40</f>
        <v>kg</v>
      </c>
      <c r="G439" s="588">
        <f>PTVT!G206</f>
        <v>31.5</v>
      </c>
      <c r="H439" s="589">
        <f>'Giá VL'!V40</f>
        <v>17587.694379947148</v>
      </c>
      <c r="I439" s="603">
        <f>'5.Tiên lượng'!V65</f>
        <v>1</v>
      </c>
      <c r="J439" s="589">
        <f t="shared" ref="J439:J441" si="25">PRODUCT(G439,H439,I439)</f>
        <v>554012.37296833517</v>
      </c>
    </row>
    <row r="440" spans="1:10">
      <c r="A440" s="584"/>
      <c r="B440" s="585"/>
      <c r="C440" s="586" t="s">
        <v>590</v>
      </c>
      <c r="D440" s="133" t="s">
        <v>628</v>
      </c>
      <c r="E440" s="587" t="str">
        <f>" - "&amp;'Giá VL'!E37</f>
        <v xml:space="preserve"> - Que hàn</v>
      </c>
      <c r="F440" s="585" t="str">
        <f>'Giá VL'!F37</f>
        <v>kg</v>
      </c>
      <c r="G440" s="588">
        <f>PTVT!G207</f>
        <v>1.58</v>
      </c>
      <c r="H440" s="589">
        <f>'Giá VL'!V37</f>
        <v>22000</v>
      </c>
      <c r="I440" s="603">
        <f>'5.Tiên lượng'!V65</f>
        <v>1</v>
      </c>
      <c r="J440" s="589">
        <f t="shared" si="25"/>
        <v>34760</v>
      </c>
    </row>
    <row r="441" spans="1:10">
      <c r="A441" s="584"/>
      <c r="B441" s="585"/>
      <c r="C441" s="586" t="s">
        <v>590</v>
      </c>
      <c r="D441" s="133" t="s">
        <v>620</v>
      </c>
      <c r="E441" s="587" t="s">
        <v>621</v>
      </c>
      <c r="F441" s="585" t="s">
        <v>37</v>
      </c>
      <c r="G441" s="588">
        <f>PTVT!G208</f>
        <v>5</v>
      </c>
      <c r="H441" s="589">
        <f>IF('5.Tiên lượng'!V65&lt;&gt;0,SUM(J439:J440)/100/'5.Tiên lượng'!V65,0)</f>
        <v>5887.7237296833518</v>
      </c>
      <c r="I441" s="603">
        <f>'5.Tiên lượng'!V65</f>
        <v>1</v>
      </c>
      <c r="J441" s="589">
        <f t="shared" si="25"/>
        <v>29438.618648416759</v>
      </c>
    </row>
    <row r="442" spans="1:10">
      <c r="A442" s="126"/>
      <c r="B442" s="127"/>
      <c r="C442" s="128" t="s">
        <v>590</v>
      </c>
      <c r="D442" s="128" t="s">
        <v>590</v>
      </c>
      <c r="E442" s="583" t="s">
        <v>265</v>
      </c>
      <c r="F442" s="127" t="s">
        <v>266</v>
      </c>
      <c r="G442" s="130"/>
      <c r="H442" s="131"/>
      <c r="I442" s="143"/>
      <c r="J442" s="131">
        <f>SUM(J443:J443)</f>
        <v>3370558</v>
      </c>
    </row>
    <row r="443" spans="1:10">
      <c r="A443" s="584"/>
      <c r="B443" s="585"/>
      <c r="C443" s="586" t="s">
        <v>590</v>
      </c>
      <c r="D443" s="133" t="s">
        <v>629</v>
      </c>
      <c r="E443" s="587" t="str">
        <f>" - "&amp;'Giá NC'!E10</f>
        <v xml:space="preserve"> - Nhân công bậc 4,0/7 - Nhóm 2</v>
      </c>
      <c r="F443" s="585" t="str">
        <f>'Giá NC'!F10</f>
        <v>công</v>
      </c>
      <c r="G443" s="588">
        <f>PTVT!G210</f>
        <v>11.5</v>
      </c>
      <c r="H443" s="589">
        <f>'Giá NC'!K10</f>
        <v>293092</v>
      </c>
      <c r="I443" s="603">
        <f>'5.Tiên lượng'!W65</f>
        <v>1</v>
      </c>
      <c r="J443" s="589">
        <f>PRODUCT(G443,H443,I443)</f>
        <v>3370558</v>
      </c>
    </row>
    <row r="444" spans="1:10">
      <c r="A444" s="126"/>
      <c r="B444" s="127"/>
      <c r="C444" s="128" t="s">
        <v>590</v>
      </c>
      <c r="D444" s="128" t="s">
        <v>590</v>
      </c>
      <c r="E444" s="583" t="s">
        <v>267</v>
      </c>
      <c r="F444" s="127" t="s">
        <v>268</v>
      </c>
      <c r="G444" s="130"/>
      <c r="H444" s="131"/>
      <c r="I444" s="143"/>
      <c r="J444" s="131">
        <f>SUM(J445:J446)</f>
        <v>182920.82011862399</v>
      </c>
    </row>
    <row r="445" spans="1:10">
      <c r="A445" s="584"/>
      <c r="B445" s="585"/>
      <c r="C445" s="586" t="s">
        <v>590</v>
      </c>
      <c r="D445" s="133" t="s">
        <v>630</v>
      </c>
      <c r="E445" s="587" t="str">
        <f>" - "&amp;'Giá Máy'!E16</f>
        <v xml:space="preserve"> - Máy hàn điện 23kW</v>
      </c>
      <c r="F445" s="585" t="str">
        <f>'Giá Máy'!F16</f>
        <v>ca</v>
      </c>
      <c r="G445" s="588">
        <f>PTVT!G212</f>
        <v>0.42</v>
      </c>
      <c r="H445" s="589">
        <f>'Giá Máy'!O16</f>
        <v>426986.04135999997</v>
      </c>
      <c r="I445" s="603">
        <f>'5.Tiên lượng'!X65</f>
        <v>1</v>
      </c>
      <c r="J445" s="589">
        <f t="shared" ref="J445:J446" si="26">PRODUCT(G445,H445,I445)</f>
        <v>179334.13737119999</v>
      </c>
    </row>
    <row r="446" spans="1:10">
      <c r="A446" s="584"/>
      <c r="B446" s="585"/>
      <c r="C446" s="586" t="s">
        <v>590</v>
      </c>
      <c r="D446" s="133" t="s">
        <v>611</v>
      </c>
      <c r="E446" s="587" t="s">
        <v>612</v>
      </c>
      <c r="F446" s="585" t="s">
        <v>37</v>
      </c>
      <c r="G446" s="588">
        <f>PTVT!G213</f>
        <v>2</v>
      </c>
      <c r="H446" s="589">
        <f>IF('5.Tiên lượng'!X65&lt;&gt;0,SUM(J445:J445)/100/'5.Tiên lượng'!X65,0)</f>
        <v>1793.3413737119999</v>
      </c>
      <c r="I446" s="603">
        <f>'5.Tiên lượng'!X65</f>
        <v>1</v>
      </c>
      <c r="J446" s="589">
        <f t="shared" si="26"/>
        <v>3586.6827474239999</v>
      </c>
    </row>
    <row r="447" spans="1:10">
      <c r="A447" s="584"/>
      <c r="B447" s="585"/>
      <c r="C447" s="586" t="s">
        <v>590</v>
      </c>
      <c r="D447" s="133" t="s">
        <v>590</v>
      </c>
      <c r="E447" s="587" t="s">
        <v>269</v>
      </c>
      <c r="F447" s="585" t="s">
        <v>270</v>
      </c>
      <c r="G447" s="590"/>
      <c r="H447" s="589"/>
      <c r="I447" s="603"/>
      <c r="J447" s="589">
        <f>J438+J442+J444</f>
        <v>4171689.8117353758</v>
      </c>
    </row>
    <row r="448" spans="1:10">
      <c r="A448" s="584"/>
      <c r="B448" s="585"/>
      <c r="C448" s="586" t="s">
        <v>590</v>
      </c>
      <c r="D448" s="133" t="s">
        <v>590</v>
      </c>
      <c r="E448" s="587" t="s">
        <v>273</v>
      </c>
      <c r="F448" s="585" t="s">
        <v>274</v>
      </c>
      <c r="G448" s="591">
        <f>'Thông tin'!E67</f>
        <v>6.2E-2</v>
      </c>
      <c r="H448" s="589"/>
      <c r="I448" s="603"/>
      <c r="J448" s="589">
        <f>(J447)*G448</f>
        <v>258644.76832759331</v>
      </c>
    </row>
    <row r="449" spans="1:10">
      <c r="A449" s="584"/>
      <c r="B449" s="585"/>
      <c r="C449" s="586" t="s">
        <v>590</v>
      </c>
      <c r="D449" s="133" t="s">
        <v>590</v>
      </c>
      <c r="E449" s="587" t="s">
        <v>276</v>
      </c>
      <c r="F449" s="585" t="s">
        <v>277</v>
      </c>
      <c r="G449" s="591">
        <f>'Thông tin'!E60</f>
        <v>2.2000000000000002E-2</v>
      </c>
      <c r="H449" s="589"/>
      <c r="I449" s="603"/>
      <c r="J449" s="589">
        <f>(J447)*G449</f>
        <v>91777.175858178278</v>
      </c>
    </row>
    <row r="450" spans="1:10" ht="27.6">
      <c r="A450" s="584"/>
      <c r="B450" s="585"/>
      <c r="C450" s="586" t="s">
        <v>590</v>
      </c>
      <c r="D450" s="133" t="s">
        <v>590</v>
      </c>
      <c r="E450" s="587" t="s">
        <v>279</v>
      </c>
      <c r="F450" s="585" t="s">
        <v>142</v>
      </c>
      <c r="G450" s="591">
        <f>'Thông tin'!E65</f>
        <v>0.02</v>
      </c>
      <c r="H450" s="589"/>
      <c r="I450" s="603"/>
      <c r="J450" s="589">
        <f>(J447)*G450</f>
        <v>83433.796234707523</v>
      </c>
    </row>
    <row r="451" spans="1:10">
      <c r="A451" s="584"/>
      <c r="B451" s="585"/>
      <c r="C451" s="586" t="s">
        <v>590</v>
      </c>
      <c r="D451" s="133" t="s">
        <v>590</v>
      </c>
      <c r="E451" s="587" t="s">
        <v>281</v>
      </c>
      <c r="F451" s="585" t="s">
        <v>282</v>
      </c>
      <c r="G451" s="590"/>
      <c r="H451" s="589"/>
      <c r="I451" s="603"/>
      <c r="J451" s="589">
        <f>J448+J449+J450</f>
        <v>433855.74042047909</v>
      </c>
    </row>
    <row r="452" spans="1:10">
      <c r="A452" s="584"/>
      <c r="B452" s="585"/>
      <c r="C452" s="586" t="s">
        <v>590</v>
      </c>
      <c r="D452" s="133" t="s">
        <v>590</v>
      </c>
      <c r="E452" s="587" t="s">
        <v>284</v>
      </c>
      <c r="F452" s="585" t="s">
        <v>285</v>
      </c>
      <c r="G452" s="591">
        <f>'Thông tin'!E63</f>
        <v>0.06</v>
      </c>
      <c r="H452" s="589"/>
      <c r="I452" s="603"/>
      <c r="J452" s="589">
        <f>(J447+J451)*G452</f>
        <v>276332.73312935128</v>
      </c>
    </row>
    <row r="453" spans="1:10">
      <c r="A453" s="584"/>
      <c r="B453" s="585"/>
      <c r="C453" s="586" t="s">
        <v>590</v>
      </c>
      <c r="D453" s="133" t="s">
        <v>590</v>
      </c>
      <c r="E453" s="592" t="s">
        <v>287</v>
      </c>
      <c r="F453" s="593" t="s">
        <v>288</v>
      </c>
      <c r="G453" s="590"/>
      <c r="H453" s="589"/>
      <c r="I453" s="603"/>
      <c r="J453" s="604">
        <f>J447+J451+J452</f>
        <v>4881878.2852852065</v>
      </c>
    </row>
    <row r="454" spans="1:10">
      <c r="A454" s="584"/>
      <c r="B454" s="585"/>
      <c r="C454" s="586" t="s">
        <v>590</v>
      </c>
      <c r="D454" s="133" t="s">
        <v>590</v>
      </c>
      <c r="E454" s="587" t="s">
        <v>290</v>
      </c>
      <c r="F454" s="585" t="s">
        <v>291</v>
      </c>
      <c r="G454" s="591">
        <f>'Thông tin'!E61</f>
        <v>0.1</v>
      </c>
      <c r="H454" s="589"/>
      <c r="I454" s="603"/>
      <c r="J454" s="589">
        <f>(J453)*G454</f>
        <v>488187.82852852065</v>
      </c>
    </row>
    <row r="455" spans="1:10">
      <c r="A455" s="594"/>
      <c r="B455" s="595"/>
      <c r="C455" s="596" t="s">
        <v>590</v>
      </c>
      <c r="D455" s="137" t="s">
        <v>590</v>
      </c>
      <c r="E455" s="597" t="s">
        <v>293</v>
      </c>
      <c r="F455" s="598" t="s">
        <v>19</v>
      </c>
      <c r="G455" s="599"/>
      <c r="H455" s="600"/>
      <c r="I455" s="605"/>
      <c r="J455" s="606">
        <f>J453+J454</f>
        <v>5370066.1138137272</v>
      </c>
    </row>
    <row r="456" spans="1:10">
      <c r="A456" s="578"/>
      <c r="B456" s="579">
        <v>26</v>
      </c>
      <c r="C456" s="578" t="str">
        <f>'5.Tiên lượng'!C67</f>
        <v>AL.24111</v>
      </c>
      <c r="D456" s="578" t="str">
        <f>'5.Tiên lượng'!C67</f>
        <v>AL.24111</v>
      </c>
      <c r="E456" s="580" t="str">
        <f>'5.Tiên lượng'!D67</f>
        <v>Thi công khe co không có thanh TL</v>
      </c>
      <c r="F456" s="579" t="str">
        <f>'5.Tiên lượng'!E67</f>
        <v>m</v>
      </c>
      <c r="G456" s="581"/>
      <c r="H456" s="582"/>
      <c r="I456" s="602"/>
      <c r="J456" s="582"/>
    </row>
    <row r="457" spans="1:10">
      <c r="A457" s="126"/>
      <c r="B457" s="127"/>
      <c r="C457" s="128" t="s">
        <v>590</v>
      </c>
      <c r="D457" s="128" t="s">
        <v>590</v>
      </c>
      <c r="E457" s="583" t="s">
        <v>262</v>
      </c>
      <c r="F457" s="127" t="s">
        <v>263</v>
      </c>
      <c r="G457" s="130"/>
      <c r="H457" s="131"/>
      <c r="I457" s="143"/>
      <c r="J457" s="131">
        <f>SUM(J458:J461)</f>
        <v>2417.31</v>
      </c>
    </row>
    <row r="458" spans="1:10">
      <c r="A458" s="584"/>
      <c r="B458" s="585"/>
      <c r="C458" s="586" t="s">
        <v>590</v>
      </c>
      <c r="D458" s="133" t="s">
        <v>631</v>
      </c>
      <c r="E458" s="587" t="str">
        <f>" - "&amp;'Giá VL'!E28</f>
        <v xml:space="preserve"> - Ma tít chèn khe</v>
      </c>
      <c r="F458" s="585" t="str">
        <f>'Giá VL'!F28</f>
        <v>kg</v>
      </c>
      <c r="G458" s="588">
        <v>0.57555000000000001</v>
      </c>
      <c r="H458" s="589">
        <f>'Giá VL'!V28</f>
        <v>4000</v>
      </c>
      <c r="I458" s="603">
        <f>'5.Tiên lượng'!V67</f>
        <v>1</v>
      </c>
      <c r="J458" s="589">
        <f t="shared" ref="J458:J461" si="27">PRODUCT(G458,H458,I458)</f>
        <v>2302.1999999999998</v>
      </c>
    </row>
    <row r="459" spans="1:10" hidden="1">
      <c r="A459" s="584"/>
      <c r="B459" s="585"/>
      <c r="C459" s="586" t="s">
        <v>590</v>
      </c>
      <c r="D459" s="133" t="s">
        <v>619</v>
      </c>
      <c r="E459" s="587"/>
      <c r="F459" s="585"/>
      <c r="G459" s="588"/>
      <c r="H459" s="589"/>
      <c r="I459" s="603"/>
      <c r="J459" s="589"/>
    </row>
    <row r="460" spans="1:10" hidden="1">
      <c r="A460" s="584"/>
      <c r="B460" s="585"/>
      <c r="C460" s="586" t="s">
        <v>590</v>
      </c>
      <c r="D460" s="133" t="s">
        <v>632</v>
      </c>
      <c r="E460" s="587"/>
      <c r="F460" s="585"/>
      <c r="G460" s="588"/>
      <c r="H460" s="589"/>
      <c r="I460" s="603"/>
      <c r="J460" s="589"/>
    </row>
    <row r="461" spans="1:10">
      <c r="A461" s="584"/>
      <c r="B461" s="585"/>
      <c r="C461" s="586" t="s">
        <v>590</v>
      </c>
      <c r="D461" s="133" t="s">
        <v>620</v>
      </c>
      <c r="E461" s="587" t="s">
        <v>621</v>
      </c>
      <c r="F461" s="585" t="s">
        <v>37</v>
      </c>
      <c r="G461" s="588">
        <f>PTVT!G219</f>
        <v>5</v>
      </c>
      <c r="H461" s="589">
        <f>IF('5.Tiên lượng'!V67&lt;&gt;0,SUM(J458:J460)/100/'5.Tiên lượng'!V67,0)</f>
        <v>23.021999999999998</v>
      </c>
      <c r="I461" s="603">
        <f>'5.Tiên lượng'!V67</f>
        <v>1</v>
      </c>
      <c r="J461" s="589">
        <f t="shared" si="27"/>
        <v>115.10999999999999</v>
      </c>
    </row>
    <row r="462" spans="1:10">
      <c r="A462" s="126"/>
      <c r="B462" s="127"/>
      <c r="C462" s="128" t="s">
        <v>590</v>
      </c>
      <c r="D462" s="128" t="s">
        <v>590</v>
      </c>
      <c r="E462" s="583" t="s">
        <v>265</v>
      </c>
      <c r="F462" s="127" t="s">
        <v>266</v>
      </c>
      <c r="G462" s="130"/>
      <c r="H462" s="131"/>
      <c r="I462" s="143"/>
      <c r="J462" s="131">
        <f>SUM(J463:J463)</f>
        <v>24300</v>
      </c>
    </row>
    <row r="463" spans="1:10">
      <c r="A463" s="584"/>
      <c r="B463" s="585"/>
      <c r="C463" s="586" t="s">
        <v>590</v>
      </c>
      <c r="D463" s="133" t="s">
        <v>622</v>
      </c>
      <c r="E463" s="587" t="str">
        <f>" - "&amp;'Giá NC'!E9</f>
        <v xml:space="preserve"> - Nhân công bậc 3,5/7 - Nhóm 2</v>
      </c>
      <c r="F463" s="585" t="str">
        <f>'Giá NC'!F9</f>
        <v>công</v>
      </c>
      <c r="G463" s="588">
        <f>PTVT!G221</f>
        <v>0.09</v>
      </c>
      <c r="H463" s="589">
        <f>'Giá NC'!K9</f>
        <v>270000</v>
      </c>
      <c r="I463" s="603">
        <f>'5.Tiên lượng'!W67</f>
        <v>1</v>
      </c>
      <c r="J463" s="589">
        <f>PRODUCT(G463,H463,I463)</f>
        <v>24300</v>
      </c>
    </row>
    <row r="464" spans="1:10">
      <c r="A464" s="126"/>
      <c r="B464" s="127"/>
      <c r="C464" s="128" t="s">
        <v>590</v>
      </c>
      <c r="D464" s="128" t="s">
        <v>590</v>
      </c>
      <c r="E464" s="583" t="s">
        <v>267</v>
      </c>
      <c r="F464" s="127" t="s">
        <v>268</v>
      </c>
      <c r="G464" s="130"/>
      <c r="H464" s="131"/>
      <c r="I464" s="143"/>
      <c r="J464" s="131">
        <f>SUM(J465:J467)</f>
        <v>7949.0956880000003</v>
      </c>
    </row>
    <row r="465" spans="1:10" hidden="1">
      <c r="A465" s="584"/>
      <c r="B465" s="585"/>
      <c r="C465" s="586" t="s">
        <v>590</v>
      </c>
      <c r="D465" s="133" t="s">
        <v>633</v>
      </c>
      <c r="E465" s="587"/>
      <c r="F465" s="585"/>
      <c r="G465" s="588"/>
      <c r="H465" s="589"/>
      <c r="I465" s="603"/>
      <c r="J465" s="589"/>
    </row>
    <row r="466" spans="1:10">
      <c r="A466" s="584"/>
      <c r="B466" s="585"/>
      <c r="C466" s="586" t="s">
        <v>590</v>
      </c>
      <c r="D466" s="133" t="s">
        <v>634</v>
      </c>
      <c r="E466" s="587" t="str">
        <f>" - "&amp;'Giá Máy'!E22</f>
        <v xml:space="preserve"> - Máy nén khí diezel 600m3/h</v>
      </c>
      <c r="F466" s="585" t="str">
        <f>'Giá Máy'!F22</f>
        <v>ca</v>
      </c>
      <c r="G466" s="588">
        <f>PTVT!G224</f>
        <v>5.0000000000000001E-3</v>
      </c>
      <c r="H466" s="589">
        <f>'Giá Máy'!O22</f>
        <v>1558646.2133333334</v>
      </c>
      <c r="I466" s="603">
        <f>'5.Tiên lượng'!X67</f>
        <v>1</v>
      </c>
      <c r="J466" s="589">
        <f t="shared" ref="J466:J467" si="28">PRODUCT(G466,H466,I466)</f>
        <v>7793.2310666666672</v>
      </c>
    </row>
    <row r="467" spans="1:10">
      <c r="A467" s="584"/>
      <c r="B467" s="585"/>
      <c r="C467" s="586" t="s">
        <v>590</v>
      </c>
      <c r="D467" s="133" t="s">
        <v>611</v>
      </c>
      <c r="E467" s="587" t="s">
        <v>612</v>
      </c>
      <c r="F467" s="585" t="s">
        <v>37</v>
      </c>
      <c r="G467" s="588">
        <f>PTVT!G225</f>
        <v>2</v>
      </c>
      <c r="H467" s="589">
        <f>IF('5.Tiên lượng'!X67&lt;&gt;0,SUM(J465:J466)/100/'5.Tiên lượng'!X67,0)</f>
        <v>77.932310666666666</v>
      </c>
      <c r="I467" s="603">
        <f>'5.Tiên lượng'!X67</f>
        <v>1</v>
      </c>
      <c r="J467" s="589">
        <f t="shared" si="28"/>
        <v>155.86462133333333</v>
      </c>
    </row>
    <row r="468" spans="1:10">
      <c r="A468" s="584"/>
      <c r="B468" s="585"/>
      <c r="C468" s="586" t="s">
        <v>590</v>
      </c>
      <c r="D468" s="133" t="s">
        <v>590</v>
      </c>
      <c r="E468" s="587" t="s">
        <v>269</v>
      </c>
      <c r="F468" s="585" t="s">
        <v>270</v>
      </c>
      <c r="G468" s="590"/>
      <c r="H468" s="589"/>
      <c r="I468" s="603"/>
      <c r="J468" s="589">
        <f>J457+J462+J464</f>
        <v>34666.405687999999</v>
      </c>
    </row>
    <row r="469" spans="1:10">
      <c r="A469" s="584"/>
      <c r="B469" s="585"/>
      <c r="C469" s="586" t="s">
        <v>590</v>
      </c>
      <c r="D469" s="133" t="s">
        <v>590</v>
      </c>
      <c r="E469" s="587" t="s">
        <v>273</v>
      </c>
      <c r="F469" s="585" t="s">
        <v>274</v>
      </c>
      <c r="G469" s="591">
        <f>'Thông tin'!E67</f>
        <v>6.2E-2</v>
      </c>
      <c r="H469" s="589"/>
      <c r="I469" s="603"/>
      <c r="J469" s="589">
        <f>(J468)*G469</f>
        <v>2149.317152656</v>
      </c>
    </row>
    <row r="470" spans="1:10">
      <c r="A470" s="584"/>
      <c r="B470" s="585"/>
      <c r="C470" s="586" t="s">
        <v>590</v>
      </c>
      <c r="D470" s="133" t="s">
        <v>590</v>
      </c>
      <c r="E470" s="587" t="s">
        <v>276</v>
      </c>
      <c r="F470" s="585" t="s">
        <v>277</v>
      </c>
      <c r="G470" s="591">
        <f>'Thông tin'!E60</f>
        <v>2.2000000000000002E-2</v>
      </c>
      <c r="H470" s="589"/>
      <c r="I470" s="603"/>
      <c r="J470" s="589">
        <f>(J468)*G470</f>
        <v>762.66092513600006</v>
      </c>
    </row>
    <row r="471" spans="1:10" ht="27.6">
      <c r="A471" s="584"/>
      <c r="B471" s="585"/>
      <c r="C471" s="586" t="s">
        <v>590</v>
      </c>
      <c r="D471" s="133" t="s">
        <v>590</v>
      </c>
      <c r="E471" s="587" t="s">
        <v>279</v>
      </c>
      <c r="F471" s="585" t="s">
        <v>142</v>
      </c>
      <c r="G471" s="591">
        <f>'Thông tin'!E65</f>
        <v>0.02</v>
      </c>
      <c r="H471" s="589"/>
      <c r="I471" s="603"/>
      <c r="J471" s="589">
        <f>(J468)*G471</f>
        <v>693.32811375999995</v>
      </c>
    </row>
    <row r="472" spans="1:10">
      <c r="A472" s="584"/>
      <c r="B472" s="585"/>
      <c r="C472" s="586" t="s">
        <v>590</v>
      </c>
      <c r="D472" s="133" t="s">
        <v>590</v>
      </c>
      <c r="E472" s="587" t="s">
        <v>281</v>
      </c>
      <c r="F472" s="585" t="s">
        <v>282</v>
      </c>
      <c r="G472" s="590"/>
      <c r="H472" s="589"/>
      <c r="I472" s="603"/>
      <c r="J472" s="589">
        <f>J469+J470+J471</f>
        <v>3605.3061915520002</v>
      </c>
    </row>
    <row r="473" spans="1:10">
      <c r="A473" s="584"/>
      <c r="B473" s="585"/>
      <c r="C473" s="586" t="s">
        <v>590</v>
      </c>
      <c r="D473" s="133" t="s">
        <v>590</v>
      </c>
      <c r="E473" s="587" t="s">
        <v>284</v>
      </c>
      <c r="F473" s="585" t="s">
        <v>285</v>
      </c>
      <c r="G473" s="591">
        <f>'Thông tin'!E63</f>
        <v>0.06</v>
      </c>
      <c r="H473" s="589"/>
      <c r="I473" s="603"/>
      <c r="J473" s="589">
        <f>(J468+J472)*G473</f>
        <v>2296.3027127731198</v>
      </c>
    </row>
    <row r="474" spans="1:10">
      <c r="A474" s="584"/>
      <c r="B474" s="585"/>
      <c r="C474" s="586" t="s">
        <v>590</v>
      </c>
      <c r="D474" s="133" t="s">
        <v>590</v>
      </c>
      <c r="E474" s="592" t="s">
        <v>287</v>
      </c>
      <c r="F474" s="593" t="s">
        <v>288</v>
      </c>
      <c r="G474" s="590"/>
      <c r="H474" s="589"/>
      <c r="I474" s="603"/>
      <c r="J474" s="604">
        <f>J468+J472+J473</f>
        <v>40568.014592325118</v>
      </c>
    </row>
    <row r="475" spans="1:10">
      <c r="A475" s="584"/>
      <c r="B475" s="585"/>
      <c r="C475" s="586" t="s">
        <v>590</v>
      </c>
      <c r="D475" s="133" t="s">
        <v>590</v>
      </c>
      <c r="E475" s="587" t="s">
        <v>290</v>
      </c>
      <c r="F475" s="585" t="s">
        <v>291</v>
      </c>
      <c r="G475" s="591">
        <f>'Thông tin'!E61</f>
        <v>0.1</v>
      </c>
      <c r="H475" s="589"/>
      <c r="I475" s="603"/>
      <c r="J475" s="589">
        <f>(J474)*G475</f>
        <v>4056.8014592325121</v>
      </c>
    </row>
    <row r="476" spans="1:10">
      <c r="A476" s="594"/>
      <c r="B476" s="595"/>
      <c r="C476" s="596" t="s">
        <v>590</v>
      </c>
      <c r="D476" s="137" t="s">
        <v>590</v>
      </c>
      <c r="E476" s="597" t="s">
        <v>293</v>
      </c>
      <c r="F476" s="598" t="s">
        <v>19</v>
      </c>
      <c r="G476" s="599"/>
      <c r="H476" s="600"/>
      <c r="I476" s="605"/>
      <c r="J476" s="606">
        <f>J474+J475</f>
        <v>44624.816051557631</v>
      </c>
    </row>
    <row r="477" spans="1:10">
      <c r="A477" s="578"/>
      <c r="B477" s="579">
        <v>27</v>
      </c>
      <c r="C477" s="578" t="str">
        <f>'5.Tiên lượng'!C68</f>
        <v>AL.24112(VD)</v>
      </c>
      <c r="D477" s="578" t="str">
        <f>'5.Tiên lượng'!C68</f>
        <v>AL.24112(VD)</v>
      </c>
      <c r="E477" s="580" t="str">
        <f>'5.Tiên lượng'!D68</f>
        <v>Thi công khe giãn</v>
      </c>
      <c r="F477" s="579" t="str">
        <f>'5.Tiên lượng'!E68</f>
        <v>m</v>
      </c>
      <c r="G477" s="581"/>
      <c r="H477" s="582"/>
      <c r="I477" s="602"/>
      <c r="J477" s="582"/>
    </row>
    <row r="478" spans="1:10">
      <c r="A478" s="126"/>
      <c r="B478" s="127"/>
      <c r="C478" s="128" t="s">
        <v>590</v>
      </c>
      <c r="D478" s="128" t="s">
        <v>590</v>
      </c>
      <c r="E478" s="583" t="s">
        <v>262</v>
      </c>
      <c r="F478" s="127" t="s">
        <v>263</v>
      </c>
      <c r="G478" s="130"/>
      <c r="H478" s="131"/>
      <c r="I478" s="143"/>
      <c r="J478" s="131">
        <f>SUM(J479:J485)</f>
        <v>14775.189795528619</v>
      </c>
    </row>
    <row r="479" spans="1:10">
      <c r="A479" s="584"/>
      <c r="B479" s="585"/>
      <c r="C479" s="586" t="s">
        <v>590</v>
      </c>
      <c r="D479" s="133" t="s">
        <v>631</v>
      </c>
      <c r="E479" s="587" t="str">
        <f>" - "&amp;'Giá VL'!E28</f>
        <v xml:space="preserve"> - Ma tít chèn khe</v>
      </c>
      <c r="F479" s="585" t="str">
        <f>'Giá VL'!F28</f>
        <v>kg</v>
      </c>
      <c r="G479" s="588">
        <v>1.2749900000000001</v>
      </c>
      <c r="H479" s="589">
        <f>'Giá VL'!V28</f>
        <v>4000</v>
      </c>
      <c r="I479" s="603">
        <f>'5.Tiên lượng'!V68</f>
        <v>1</v>
      </c>
      <c r="J479" s="589">
        <f t="shared" ref="J479:J485" si="29">PRODUCT(G479,H479,I479)</f>
        <v>5099.96</v>
      </c>
    </row>
    <row r="480" spans="1:10" hidden="1">
      <c r="A480" s="584"/>
      <c r="B480" s="585"/>
      <c r="C480" s="586"/>
      <c r="D480" s="133"/>
      <c r="E480" s="587"/>
      <c r="F480" s="585"/>
      <c r="G480" s="588"/>
      <c r="H480" s="589"/>
      <c r="I480" s="603"/>
      <c r="J480" s="589"/>
    </row>
    <row r="481" spans="1:10" ht="15">
      <c r="A481" s="584"/>
      <c r="B481" s="585"/>
      <c r="C481" s="586"/>
      <c r="D481" s="133"/>
      <c r="E481" s="607" t="s">
        <v>635</v>
      </c>
      <c r="F481" s="608" t="s">
        <v>356</v>
      </c>
      <c r="G481" s="609">
        <v>3.7699999999999999E-3</v>
      </c>
      <c r="H481" s="610">
        <v>2544106.0619386099</v>
      </c>
      <c r="I481" s="611">
        <v>1</v>
      </c>
      <c r="J481" s="610">
        <v>9591.2798535085694</v>
      </c>
    </row>
    <row r="482" spans="1:10" hidden="1">
      <c r="A482" s="584"/>
      <c r="B482" s="585"/>
      <c r="C482" s="586"/>
      <c r="D482" s="133"/>
      <c r="E482" s="587"/>
      <c r="F482" s="585"/>
      <c r="G482" s="588"/>
      <c r="H482" s="589"/>
      <c r="I482" s="603"/>
      <c r="J482" s="589"/>
    </row>
    <row r="483" spans="1:10" hidden="1">
      <c r="A483" s="584"/>
      <c r="B483" s="585"/>
      <c r="C483" s="586"/>
      <c r="D483" s="133"/>
      <c r="E483" s="587"/>
      <c r="F483" s="585"/>
      <c r="G483" s="588"/>
      <c r="H483" s="589"/>
      <c r="I483" s="603"/>
      <c r="J483" s="589"/>
    </row>
    <row r="484" spans="1:10" hidden="1">
      <c r="A484" s="584"/>
      <c r="B484" s="585"/>
      <c r="C484" s="586"/>
      <c r="D484" s="133"/>
      <c r="E484" s="587"/>
      <c r="F484" s="585"/>
      <c r="G484" s="588"/>
      <c r="H484" s="589"/>
      <c r="I484" s="603"/>
      <c r="J484" s="589"/>
    </row>
    <row r="485" spans="1:10">
      <c r="A485" s="584"/>
      <c r="B485" s="585"/>
      <c r="C485" s="586" t="s">
        <v>590</v>
      </c>
      <c r="D485" s="133" t="s">
        <v>620</v>
      </c>
      <c r="E485" s="587" t="s">
        <v>621</v>
      </c>
      <c r="F485" s="585" t="s">
        <v>37</v>
      </c>
      <c r="G485" s="588">
        <v>0.57142857142857095</v>
      </c>
      <c r="H485" s="589">
        <f>IF('5.Tiên lượng'!V68&lt;&gt;0,SUM(J479:J484)/100/'5.Tiên lượng'!V68,0)</f>
        <v>146.91239853508571</v>
      </c>
      <c r="I485" s="603">
        <f>'5.Tiên lượng'!V68</f>
        <v>1</v>
      </c>
      <c r="J485" s="589">
        <f t="shared" si="29"/>
        <v>83.949942020048908</v>
      </c>
    </row>
    <row r="486" spans="1:10">
      <c r="A486" s="126"/>
      <c r="B486" s="127"/>
      <c r="C486" s="128" t="s">
        <v>590</v>
      </c>
      <c r="D486" s="128" t="s">
        <v>590</v>
      </c>
      <c r="E486" s="583" t="s">
        <v>265</v>
      </c>
      <c r="F486" s="127" t="s">
        <v>266</v>
      </c>
      <c r="G486" s="130"/>
      <c r="H486" s="131"/>
      <c r="I486" s="143"/>
      <c r="J486" s="131">
        <f>SUM(J487:J487)</f>
        <v>59400</v>
      </c>
    </row>
    <row r="487" spans="1:10">
      <c r="A487" s="584"/>
      <c r="B487" s="585"/>
      <c r="C487" s="586" t="s">
        <v>590</v>
      </c>
      <c r="D487" s="133" t="s">
        <v>622</v>
      </c>
      <c r="E487" s="587" t="str">
        <f>" - "&amp;'Giá NC'!E9</f>
        <v xml:space="preserve"> - Nhân công bậc 3,5/7 - Nhóm 2</v>
      </c>
      <c r="F487" s="585" t="str">
        <f>'Giá NC'!F9</f>
        <v>công</v>
      </c>
      <c r="G487" s="588">
        <f>PTVT!G236</f>
        <v>0.22</v>
      </c>
      <c r="H487" s="589">
        <f>'Giá NC'!K9</f>
        <v>270000</v>
      </c>
      <c r="I487" s="603">
        <f>'5.Tiên lượng'!W68</f>
        <v>1</v>
      </c>
      <c r="J487" s="589">
        <f>PRODUCT(G487,H487,I487)</f>
        <v>59400</v>
      </c>
    </row>
    <row r="488" spans="1:10">
      <c r="A488" s="126"/>
      <c r="B488" s="127"/>
      <c r="C488" s="128" t="s">
        <v>590</v>
      </c>
      <c r="D488" s="128" t="s">
        <v>590</v>
      </c>
      <c r="E488" s="583" t="s">
        <v>267</v>
      </c>
      <c r="F488" s="127" t="s">
        <v>268</v>
      </c>
      <c r="G488" s="130"/>
      <c r="H488" s="131"/>
      <c r="I488" s="143"/>
      <c r="J488" s="131">
        <f>SUM(J489:J491)</f>
        <v>15541.363596162601</v>
      </c>
    </row>
    <row r="489" spans="1:10">
      <c r="A489" s="584"/>
      <c r="B489" s="585"/>
      <c r="C489" s="586" t="s">
        <v>590</v>
      </c>
      <c r="D489" s="133" t="s">
        <v>633</v>
      </c>
      <c r="E489" s="587" t="str">
        <f>" - "&amp;'Giá Máy'!E9</f>
        <v xml:space="preserve"> - Máy cắt uốn cốt thép 5kW</v>
      </c>
      <c r="F489" s="585" t="str">
        <f>'Giá Máy'!F9</f>
        <v>ca</v>
      </c>
      <c r="G489" s="588">
        <f>PTVT!G238</f>
        <v>2.5999999999999999E-2</v>
      </c>
      <c r="H489" s="589">
        <f>'Giá Máy'!O9</f>
        <v>286284.61192166666</v>
      </c>
      <c r="I489" s="603">
        <f>'5.Tiên lượng'!X68</f>
        <v>1</v>
      </c>
      <c r="J489" s="589">
        <f t="shared" ref="J489:J491" si="30">PRODUCT(G489,H489,I489)</f>
        <v>7443.3999099633329</v>
      </c>
    </row>
    <row r="490" spans="1:10">
      <c r="A490" s="584"/>
      <c r="B490" s="585"/>
      <c r="C490" s="586" t="s">
        <v>590</v>
      </c>
      <c r="D490" s="133" t="s">
        <v>634</v>
      </c>
      <c r="E490" s="587" t="str">
        <f>" - "&amp;'Giá Máy'!E22</f>
        <v xml:space="preserve"> - Máy nén khí diezel 600m3/h</v>
      </c>
      <c r="F490" s="585" t="str">
        <f>'Giá Máy'!F22</f>
        <v>ca</v>
      </c>
      <c r="G490" s="588">
        <f>PTVT!G239</f>
        <v>5.0000000000000001E-3</v>
      </c>
      <c r="H490" s="589">
        <f>'Giá Máy'!O22</f>
        <v>1558646.2133333334</v>
      </c>
      <c r="I490" s="603">
        <f>'5.Tiên lượng'!X68</f>
        <v>1</v>
      </c>
      <c r="J490" s="589">
        <f t="shared" si="30"/>
        <v>7793.2310666666672</v>
      </c>
    </row>
    <row r="491" spans="1:10">
      <c r="A491" s="584"/>
      <c r="B491" s="585"/>
      <c r="C491" s="586" t="s">
        <v>590</v>
      </c>
      <c r="D491" s="133" t="s">
        <v>611</v>
      </c>
      <c r="E491" s="587" t="s">
        <v>612</v>
      </c>
      <c r="F491" s="585" t="s">
        <v>37</v>
      </c>
      <c r="G491" s="588">
        <f>PTVT!G240</f>
        <v>2</v>
      </c>
      <c r="H491" s="589">
        <f>IF('5.Tiên lượng'!X68&lt;&gt;0,SUM(J489:J490)/100/'5.Tiên lượng'!X68,0)</f>
        <v>152.36630976629999</v>
      </c>
      <c r="I491" s="603">
        <f>'5.Tiên lượng'!X68</f>
        <v>1</v>
      </c>
      <c r="J491" s="589">
        <f t="shared" si="30"/>
        <v>304.73261953259998</v>
      </c>
    </row>
    <row r="492" spans="1:10">
      <c r="A492" s="584"/>
      <c r="B492" s="585"/>
      <c r="C492" s="586" t="s">
        <v>590</v>
      </c>
      <c r="D492" s="133" t="s">
        <v>590</v>
      </c>
      <c r="E492" s="587" t="s">
        <v>269</v>
      </c>
      <c r="F492" s="585" t="s">
        <v>270</v>
      </c>
      <c r="G492" s="590"/>
      <c r="H492" s="589"/>
      <c r="I492" s="603"/>
      <c r="J492" s="589">
        <f>J478+J486+J488</f>
        <v>89716.553391691225</v>
      </c>
    </row>
    <row r="493" spans="1:10">
      <c r="A493" s="584"/>
      <c r="B493" s="585"/>
      <c r="C493" s="586" t="s">
        <v>590</v>
      </c>
      <c r="D493" s="133" t="s">
        <v>590</v>
      </c>
      <c r="E493" s="587" t="s">
        <v>273</v>
      </c>
      <c r="F493" s="585" t="s">
        <v>274</v>
      </c>
      <c r="G493" s="591">
        <f>'Thông tin'!E67</f>
        <v>6.2E-2</v>
      </c>
      <c r="H493" s="589"/>
      <c r="I493" s="603"/>
      <c r="J493" s="589">
        <f>(J492)*G493</f>
        <v>5562.4263102848563</v>
      </c>
    </row>
    <row r="494" spans="1:10">
      <c r="A494" s="584"/>
      <c r="B494" s="585"/>
      <c r="C494" s="586" t="s">
        <v>590</v>
      </c>
      <c r="D494" s="133" t="s">
        <v>590</v>
      </c>
      <c r="E494" s="587" t="s">
        <v>276</v>
      </c>
      <c r="F494" s="585" t="s">
        <v>277</v>
      </c>
      <c r="G494" s="591">
        <f>'Thông tin'!E60</f>
        <v>2.2000000000000002E-2</v>
      </c>
      <c r="H494" s="589"/>
      <c r="I494" s="603"/>
      <c r="J494" s="589">
        <f>(J492)*G494</f>
        <v>1973.7641746172071</v>
      </c>
    </row>
    <row r="495" spans="1:10" ht="27.6">
      <c r="A495" s="584"/>
      <c r="B495" s="585"/>
      <c r="C495" s="586" t="s">
        <v>590</v>
      </c>
      <c r="D495" s="133" t="s">
        <v>590</v>
      </c>
      <c r="E495" s="587" t="s">
        <v>279</v>
      </c>
      <c r="F495" s="585" t="s">
        <v>142</v>
      </c>
      <c r="G495" s="591">
        <f>'Thông tin'!E65</f>
        <v>0.02</v>
      </c>
      <c r="H495" s="589"/>
      <c r="I495" s="603"/>
      <c r="J495" s="589">
        <f>(J492)*G495</f>
        <v>1794.3310678338246</v>
      </c>
    </row>
    <row r="496" spans="1:10">
      <c r="A496" s="584"/>
      <c r="B496" s="585"/>
      <c r="C496" s="586" t="s">
        <v>590</v>
      </c>
      <c r="D496" s="133" t="s">
        <v>590</v>
      </c>
      <c r="E496" s="587" t="s">
        <v>281</v>
      </c>
      <c r="F496" s="585" t="s">
        <v>282</v>
      </c>
      <c r="G496" s="590"/>
      <c r="H496" s="589"/>
      <c r="I496" s="603"/>
      <c r="J496" s="589">
        <f>J493+J494+J495</f>
        <v>9330.5215527358869</v>
      </c>
    </row>
    <row r="497" spans="1:10">
      <c r="A497" s="584"/>
      <c r="B497" s="585"/>
      <c r="C497" s="586" t="s">
        <v>590</v>
      </c>
      <c r="D497" s="133" t="s">
        <v>590</v>
      </c>
      <c r="E497" s="587" t="s">
        <v>284</v>
      </c>
      <c r="F497" s="585" t="s">
        <v>285</v>
      </c>
      <c r="G497" s="591">
        <f>'Thông tin'!E63</f>
        <v>0.06</v>
      </c>
      <c r="H497" s="589"/>
      <c r="I497" s="603"/>
      <c r="J497" s="589">
        <f>(J492+J496)*G497</f>
        <v>5942.8244966656257</v>
      </c>
    </row>
    <row r="498" spans="1:10">
      <c r="A498" s="584"/>
      <c r="B498" s="585"/>
      <c r="C498" s="586" t="s">
        <v>590</v>
      </c>
      <c r="D498" s="133" t="s">
        <v>590</v>
      </c>
      <c r="E498" s="592" t="s">
        <v>287</v>
      </c>
      <c r="F498" s="593" t="s">
        <v>288</v>
      </c>
      <c r="G498" s="590"/>
      <c r="H498" s="589"/>
      <c r="I498" s="603"/>
      <c r="J498" s="604">
        <f>J492+J496+J497</f>
        <v>104989.89944109273</v>
      </c>
    </row>
    <row r="499" spans="1:10">
      <c r="A499" s="584"/>
      <c r="B499" s="585"/>
      <c r="C499" s="586" t="s">
        <v>590</v>
      </c>
      <c r="D499" s="133" t="s">
        <v>590</v>
      </c>
      <c r="E499" s="587" t="s">
        <v>290</v>
      </c>
      <c r="F499" s="585" t="s">
        <v>291</v>
      </c>
      <c r="G499" s="591">
        <f>'Thông tin'!E61</f>
        <v>0.1</v>
      </c>
      <c r="H499" s="589"/>
      <c r="I499" s="603"/>
      <c r="J499" s="589">
        <f>(J498)*G499</f>
        <v>10498.989944109273</v>
      </c>
    </row>
    <row r="500" spans="1:10">
      <c r="A500" s="594"/>
      <c r="B500" s="595"/>
      <c r="C500" s="596" t="s">
        <v>590</v>
      </c>
      <c r="D500" s="137" t="s">
        <v>590</v>
      </c>
      <c r="E500" s="597" t="s">
        <v>293</v>
      </c>
      <c r="F500" s="598" t="s">
        <v>19</v>
      </c>
      <c r="G500" s="599"/>
      <c r="H500" s="600"/>
      <c r="I500" s="605"/>
      <c r="J500" s="606">
        <f>J498+J499</f>
        <v>115488.889385202</v>
      </c>
    </row>
    <row r="501" spans="1:10">
      <c r="A501" s="578"/>
      <c r="B501" s="579">
        <v>28</v>
      </c>
      <c r="C501" s="578" t="str">
        <f>'5.Tiên lượng'!C69</f>
        <v>AL.24113(VD)</v>
      </c>
      <c r="D501" s="578" t="str">
        <f>'5.Tiên lượng'!C69</f>
        <v>AL.24113(VD)</v>
      </c>
      <c r="E501" s="580" t="str">
        <f>'5.Tiên lượng'!D69</f>
        <v>Thi công  khe dọc</v>
      </c>
      <c r="F501" s="579" t="str">
        <f>'5.Tiên lượng'!E69</f>
        <v>m</v>
      </c>
      <c r="G501" s="581"/>
      <c r="H501" s="582"/>
      <c r="I501" s="602"/>
      <c r="J501" s="582"/>
    </row>
    <row r="502" spans="1:10">
      <c r="A502" s="126"/>
      <c r="B502" s="127"/>
      <c r="C502" s="128" t="s">
        <v>590</v>
      </c>
      <c r="D502" s="128" t="s">
        <v>590</v>
      </c>
      <c r="E502" s="583" t="s">
        <v>262</v>
      </c>
      <c r="F502" s="127" t="s">
        <v>263</v>
      </c>
      <c r="G502" s="130"/>
      <c r="H502" s="131"/>
      <c r="I502" s="143"/>
      <c r="J502" s="131">
        <f>SUM(J503:J505)</f>
        <v>3213</v>
      </c>
    </row>
    <row r="503" spans="1:10">
      <c r="A503" s="584"/>
      <c r="B503" s="585"/>
      <c r="C503" s="586" t="s">
        <v>590</v>
      </c>
      <c r="D503" s="133" t="s">
        <v>631</v>
      </c>
      <c r="E503" s="587" t="str">
        <f>" - "&amp;'Giá VL'!E28</f>
        <v xml:space="preserve"> - Ma tít chèn khe</v>
      </c>
      <c r="F503" s="585" t="str">
        <f>'Giá VL'!F28</f>
        <v>kg</v>
      </c>
      <c r="G503" s="588">
        <v>0.76500000000000001</v>
      </c>
      <c r="H503" s="589">
        <f>'Giá VL'!V28</f>
        <v>4000</v>
      </c>
      <c r="I503" s="603">
        <f>'5.Tiên lượng'!V69</f>
        <v>1</v>
      </c>
      <c r="J503" s="589">
        <f t="shared" ref="J503:J505" si="31">PRODUCT(G503,H503,I503)</f>
        <v>3060</v>
      </c>
    </row>
    <row r="504" spans="1:10" hidden="1">
      <c r="A504" s="584"/>
      <c r="B504" s="585"/>
      <c r="C504" s="586" t="s">
        <v>590</v>
      </c>
      <c r="D504" s="133" t="s">
        <v>632</v>
      </c>
      <c r="E504" s="587"/>
      <c r="F504" s="585"/>
      <c r="G504" s="588"/>
      <c r="H504" s="589"/>
      <c r="I504" s="603"/>
      <c r="J504" s="589"/>
    </row>
    <row r="505" spans="1:10">
      <c r="A505" s="584"/>
      <c r="B505" s="585"/>
      <c r="C505" s="586" t="s">
        <v>590</v>
      </c>
      <c r="D505" s="133" t="s">
        <v>620</v>
      </c>
      <c r="E505" s="587" t="s">
        <v>621</v>
      </c>
      <c r="F505" s="585" t="s">
        <v>37</v>
      </c>
      <c r="G505" s="588">
        <f>PTVT!G245</f>
        <v>5</v>
      </c>
      <c r="H505" s="589">
        <f>IF('5.Tiên lượng'!V69&lt;&gt;0,SUM(J503:J504)/100/'5.Tiên lượng'!V69,0)</f>
        <v>30.6</v>
      </c>
      <c r="I505" s="603">
        <f>'5.Tiên lượng'!V69</f>
        <v>1</v>
      </c>
      <c r="J505" s="589">
        <f t="shared" si="31"/>
        <v>153</v>
      </c>
    </row>
    <row r="506" spans="1:10">
      <c r="A506" s="126"/>
      <c r="B506" s="127"/>
      <c r="C506" s="128" t="s">
        <v>590</v>
      </c>
      <c r="D506" s="128" t="s">
        <v>590</v>
      </c>
      <c r="E506" s="583" t="s">
        <v>265</v>
      </c>
      <c r="F506" s="127" t="s">
        <v>266</v>
      </c>
      <c r="G506" s="130"/>
      <c r="H506" s="131"/>
      <c r="I506" s="143"/>
      <c r="J506" s="131">
        <f>SUM(J507:J507)</f>
        <v>16200</v>
      </c>
    </row>
    <row r="507" spans="1:10">
      <c r="A507" s="584"/>
      <c r="B507" s="585"/>
      <c r="C507" s="586" t="s">
        <v>590</v>
      </c>
      <c r="D507" s="133" t="s">
        <v>622</v>
      </c>
      <c r="E507" s="587" t="str">
        <f>" - "&amp;'Giá NC'!E9</f>
        <v xml:space="preserve"> - Nhân công bậc 3,5/7 - Nhóm 2</v>
      </c>
      <c r="F507" s="585" t="str">
        <f>'Giá NC'!F9</f>
        <v>công</v>
      </c>
      <c r="G507" s="588">
        <f>PTVT!G247</f>
        <v>0.06</v>
      </c>
      <c r="H507" s="589">
        <f>'Giá NC'!K9</f>
        <v>270000</v>
      </c>
      <c r="I507" s="603">
        <f>'5.Tiên lượng'!W69</f>
        <v>1</v>
      </c>
      <c r="J507" s="589">
        <f>PRODUCT(G507,H507,I507)</f>
        <v>16200</v>
      </c>
    </row>
    <row r="508" spans="1:10">
      <c r="A508" s="126"/>
      <c r="B508" s="127"/>
      <c r="C508" s="128" t="s">
        <v>590</v>
      </c>
      <c r="D508" s="128" t="s">
        <v>590</v>
      </c>
      <c r="E508" s="583" t="s">
        <v>267</v>
      </c>
      <c r="F508" s="127" t="s">
        <v>268</v>
      </c>
      <c r="G508" s="130"/>
      <c r="H508" s="131"/>
      <c r="I508" s="143"/>
      <c r="J508" s="131">
        <f>SUM(J509:J511)</f>
        <v>7949.0956880000003</v>
      </c>
    </row>
    <row r="509" spans="1:10" hidden="1">
      <c r="A509" s="584"/>
      <c r="B509" s="585"/>
      <c r="C509" s="586" t="s">
        <v>590</v>
      </c>
      <c r="D509" s="133" t="s">
        <v>633</v>
      </c>
      <c r="E509" s="587"/>
      <c r="F509" s="585"/>
      <c r="G509" s="588"/>
      <c r="H509" s="589"/>
      <c r="I509" s="603"/>
      <c r="J509" s="589"/>
    </row>
    <row r="510" spans="1:10">
      <c r="A510" s="584"/>
      <c r="B510" s="585"/>
      <c r="C510" s="586" t="s">
        <v>590</v>
      </c>
      <c r="D510" s="133" t="s">
        <v>634</v>
      </c>
      <c r="E510" s="587" t="str">
        <f>" - "&amp;'Giá Máy'!E22</f>
        <v xml:space="preserve"> - Máy nén khí diezel 600m3/h</v>
      </c>
      <c r="F510" s="585" t="str">
        <f>'Giá Máy'!F22</f>
        <v>ca</v>
      </c>
      <c r="G510" s="588">
        <f>PTVT!G250</f>
        <v>5.0000000000000001E-3</v>
      </c>
      <c r="H510" s="589">
        <f>'Giá Máy'!O22</f>
        <v>1558646.2133333334</v>
      </c>
      <c r="I510" s="603">
        <f>'5.Tiên lượng'!X69</f>
        <v>1</v>
      </c>
      <c r="J510" s="589">
        <f t="shared" ref="J510:J511" si="32">PRODUCT(G510,H510,I510)</f>
        <v>7793.2310666666672</v>
      </c>
    </row>
    <row r="511" spans="1:10">
      <c r="A511" s="584"/>
      <c r="B511" s="585"/>
      <c r="C511" s="586" t="s">
        <v>590</v>
      </c>
      <c r="D511" s="133" t="s">
        <v>611</v>
      </c>
      <c r="E511" s="587" t="s">
        <v>612</v>
      </c>
      <c r="F511" s="585" t="s">
        <v>37</v>
      </c>
      <c r="G511" s="588">
        <f>PTVT!G251</f>
        <v>2</v>
      </c>
      <c r="H511" s="589">
        <f>IF('5.Tiên lượng'!X69&lt;&gt;0,SUM(J509:J510)/100/'5.Tiên lượng'!X69,0)</f>
        <v>77.932310666666666</v>
      </c>
      <c r="I511" s="603">
        <f>'5.Tiên lượng'!X69</f>
        <v>1</v>
      </c>
      <c r="J511" s="589">
        <f t="shared" si="32"/>
        <v>155.86462133333333</v>
      </c>
    </row>
    <row r="512" spans="1:10">
      <c r="A512" s="584"/>
      <c r="B512" s="585"/>
      <c r="C512" s="586" t="s">
        <v>590</v>
      </c>
      <c r="D512" s="133" t="s">
        <v>590</v>
      </c>
      <c r="E512" s="587" t="s">
        <v>269</v>
      </c>
      <c r="F512" s="585" t="s">
        <v>270</v>
      </c>
      <c r="G512" s="590"/>
      <c r="H512" s="589"/>
      <c r="I512" s="603"/>
      <c r="J512" s="589">
        <f>J502+J506+J508</f>
        <v>27362.095688000001</v>
      </c>
    </row>
    <row r="513" spans="1:10">
      <c r="A513" s="584"/>
      <c r="B513" s="585"/>
      <c r="C513" s="586" t="s">
        <v>590</v>
      </c>
      <c r="D513" s="133" t="s">
        <v>590</v>
      </c>
      <c r="E513" s="587" t="s">
        <v>273</v>
      </c>
      <c r="F513" s="585" t="s">
        <v>274</v>
      </c>
      <c r="G513" s="591">
        <f>'Thông tin'!E67</f>
        <v>6.2E-2</v>
      </c>
      <c r="H513" s="589"/>
      <c r="I513" s="603"/>
      <c r="J513" s="589">
        <f>(J512)*G513</f>
        <v>1696.4499326560001</v>
      </c>
    </row>
    <row r="514" spans="1:10">
      <c r="A514" s="584"/>
      <c r="B514" s="585"/>
      <c r="C514" s="586" t="s">
        <v>590</v>
      </c>
      <c r="D514" s="133" t="s">
        <v>590</v>
      </c>
      <c r="E514" s="587" t="s">
        <v>276</v>
      </c>
      <c r="F514" s="585" t="s">
        <v>277</v>
      </c>
      <c r="G514" s="591">
        <f>'Thông tin'!E60</f>
        <v>2.2000000000000002E-2</v>
      </c>
      <c r="H514" s="589"/>
      <c r="I514" s="603"/>
      <c r="J514" s="589">
        <f>(J512)*G514</f>
        <v>601.96610513600012</v>
      </c>
    </row>
    <row r="515" spans="1:10" ht="27.6">
      <c r="A515" s="584"/>
      <c r="B515" s="585"/>
      <c r="C515" s="586" t="s">
        <v>590</v>
      </c>
      <c r="D515" s="133" t="s">
        <v>590</v>
      </c>
      <c r="E515" s="587" t="s">
        <v>279</v>
      </c>
      <c r="F515" s="585" t="s">
        <v>142</v>
      </c>
      <c r="G515" s="591">
        <f>'Thông tin'!E65</f>
        <v>0.02</v>
      </c>
      <c r="H515" s="589"/>
      <c r="I515" s="603"/>
      <c r="J515" s="589">
        <f>(J512)*G515</f>
        <v>547.24191375999999</v>
      </c>
    </row>
    <row r="516" spans="1:10">
      <c r="A516" s="584"/>
      <c r="B516" s="585"/>
      <c r="C516" s="586" t="s">
        <v>590</v>
      </c>
      <c r="D516" s="133" t="s">
        <v>590</v>
      </c>
      <c r="E516" s="587" t="s">
        <v>281</v>
      </c>
      <c r="F516" s="585" t="s">
        <v>282</v>
      </c>
      <c r="G516" s="590"/>
      <c r="H516" s="589"/>
      <c r="I516" s="603"/>
      <c r="J516" s="589">
        <f>J513+J514+J515</f>
        <v>2845.6579515520002</v>
      </c>
    </row>
    <row r="517" spans="1:10">
      <c r="A517" s="584"/>
      <c r="B517" s="585"/>
      <c r="C517" s="586" t="s">
        <v>590</v>
      </c>
      <c r="D517" s="133" t="s">
        <v>590</v>
      </c>
      <c r="E517" s="587" t="s">
        <v>284</v>
      </c>
      <c r="F517" s="585" t="s">
        <v>285</v>
      </c>
      <c r="G517" s="591">
        <f>'Thông tin'!E63</f>
        <v>0.06</v>
      </c>
      <c r="H517" s="589"/>
      <c r="I517" s="603"/>
      <c r="J517" s="589">
        <f>(J512+J516)*G517</f>
        <v>1812.46521837312</v>
      </c>
    </row>
    <row r="518" spans="1:10">
      <c r="A518" s="584"/>
      <c r="B518" s="585"/>
      <c r="C518" s="586" t="s">
        <v>590</v>
      </c>
      <c r="D518" s="133" t="s">
        <v>590</v>
      </c>
      <c r="E518" s="592" t="s">
        <v>287</v>
      </c>
      <c r="F518" s="593" t="s">
        <v>288</v>
      </c>
      <c r="G518" s="590"/>
      <c r="H518" s="589"/>
      <c r="I518" s="603"/>
      <c r="J518" s="604">
        <f>J512+J516+J517</f>
        <v>32020.21885792512</v>
      </c>
    </row>
    <row r="519" spans="1:10">
      <c r="A519" s="584"/>
      <c r="B519" s="585"/>
      <c r="C519" s="586" t="s">
        <v>590</v>
      </c>
      <c r="D519" s="133" t="s">
        <v>590</v>
      </c>
      <c r="E519" s="587" t="s">
        <v>290</v>
      </c>
      <c r="F519" s="585" t="s">
        <v>291</v>
      </c>
      <c r="G519" s="591">
        <f>'Thông tin'!E61</f>
        <v>0.1</v>
      </c>
      <c r="H519" s="589"/>
      <c r="I519" s="603"/>
      <c r="J519" s="589">
        <f>(J518)*G519</f>
        <v>3202.021885792512</v>
      </c>
    </row>
    <row r="520" spans="1:10">
      <c r="A520" s="594"/>
      <c r="B520" s="595"/>
      <c r="C520" s="596" t="s">
        <v>590</v>
      </c>
      <c r="D520" s="137" t="s">
        <v>590</v>
      </c>
      <c r="E520" s="597" t="s">
        <v>293</v>
      </c>
      <c r="F520" s="598" t="s">
        <v>19</v>
      </c>
      <c r="G520" s="599"/>
      <c r="H520" s="600"/>
      <c r="I520" s="605"/>
      <c r="J520" s="606">
        <f>J518+J519</f>
        <v>35222.24074371763</v>
      </c>
    </row>
    <row r="521" spans="1:10">
      <c r="A521" s="578"/>
      <c r="B521" s="579">
        <v>29</v>
      </c>
      <c r="C521" s="578" t="str">
        <f>'5.Tiên lượng'!C70</f>
        <v>AL.24310</v>
      </c>
      <c r="D521" s="578" t="str">
        <f>'5.Tiên lượng'!C70</f>
        <v>AL.24310</v>
      </c>
      <c r="E521" s="580" t="str">
        <f>'5.Tiên lượng'!D70</f>
        <v>Cắt khe</v>
      </c>
      <c r="F521" s="579" t="str">
        <f>'5.Tiên lượng'!E70</f>
        <v>100m</v>
      </c>
      <c r="G521" s="581"/>
      <c r="H521" s="582"/>
      <c r="I521" s="602"/>
      <c r="J521" s="582"/>
    </row>
    <row r="522" spans="1:10">
      <c r="A522" s="126"/>
      <c r="B522" s="127"/>
      <c r="C522" s="128" t="s">
        <v>590</v>
      </c>
      <c r="D522" s="128" t="s">
        <v>590</v>
      </c>
      <c r="E522" s="583" t="s">
        <v>262</v>
      </c>
      <c r="F522" s="127" t="s">
        <v>263</v>
      </c>
      <c r="G522" s="130"/>
      <c r="H522" s="131"/>
      <c r="I522" s="143"/>
      <c r="J522" s="131">
        <f>SUM(J523:J524)</f>
        <v>2432.6999999999998</v>
      </c>
    </row>
    <row r="523" spans="1:10">
      <c r="A523" s="584"/>
      <c r="B523" s="585"/>
      <c r="C523" s="586" t="s">
        <v>590</v>
      </c>
      <c r="D523" s="133" t="s">
        <v>636</v>
      </c>
      <c r="E523" s="587" t="str">
        <f>" - "&amp;'Giá VL'!E27</f>
        <v xml:space="preserve"> - Lưỡi cắt D350mm</v>
      </c>
      <c r="F523" s="585" t="str">
        <f>'Giá VL'!F27</f>
        <v>cái</v>
      </c>
      <c r="G523" s="588">
        <f>PTVT!G254</f>
        <v>5.2999999999999999E-2</v>
      </c>
      <c r="H523" s="589">
        <f>'Giá VL'!V27</f>
        <v>45000</v>
      </c>
      <c r="I523" s="603">
        <f>'5.Tiên lượng'!V70</f>
        <v>1</v>
      </c>
      <c r="J523" s="589">
        <f t="shared" ref="J523:J524" si="33">PRODUCT(G523,H523,I523)</f>
        <v>2385</v>
      </c>
    </row>
    <row r="524" spans="1:10">
      <c r="A524" s="584"/>
      <c r="B524" s="585"/>
      <c r="C524" s="586" t="s">
        <v>590</v>
      </c>
      <c r="D524" s="133" t="s">
        <v>620</v>
      </c>
      <c r="E524" s="587" t="s">
        <v>621</v>
      </c>
      <c r="F524" s="585" t="s">
        <v>37</v>
      </c>
      <c r="G524" s="588">
        <f>PTVT!G255</f>
        <v>2</v>
      </c>
      <c r="H524" s="589">
        <f>IF('5.Tiên lượng'!V70&lt;&gt;0,SUM(J523:J523)/100/'5.Tiên lượng'!V70,0)</f>
        <v>23.85</v>
      </c>
      <c r="I524" s="603">
        <f>'5.Tiên lượng'!V70</f>
        <v>1</v>
      </c>
      <c r="J524" s="589">
        <f t="shared" si="33"/>
        <v>47.7</v>
      </c>
    </row>
    <row r="525" spans="1:10">
      <c r="A525" s="126"/>
      <c r="B525" s="127"/>
      <c r="C525" s="128" t="s">
        <v>590</v>
      </c>
      <c r="D525" s="128" t="s">
        <v>590</v>
      </c>
      <c r="E525" s="583" t="s">
        <v>265</v>
      </c>
      <c r="F525" s="127" t="s">
        <v>266</v>
      </c>
      <c r="G525" s="130"/>
      <c r="H525" s="131"/>
      <c r="I525" s="143"/>
      <c r="J525" s="131">
        <f>SUM(J526:J526)</f>
        <v>288900</v>
      </c>
    </row>
    <row r="526" spans="1:10">
      <c r="A526" s="584"/>
      <c r="B526" s="585"/>
      <c r="C526" s="586" t="s">
        <v>590</v>
      </c>
      <c r="D526" s="133" t="s">
        <v>622</v>
      </c>
      <c r="E526" s="587" t="str">
        <f>" - "&amp;'Giá NC'!E9</f>
        <v xml:space="preserve"> - Nhân công bậc 3,5/7 - Nhóm 2</v>
      </c>
      <c r="F526" s="585" t="str">
        <f>'Giá NC'!F9</f>
        <v>công</v>
      </c>
      <c r="G526" s="588">
        <f>PTVT!G257</f>
        <v>1.07</v>
      </c>
      <c r="H526" s="589">
        <f>'Giá NC'!K9</f>
        <v>270000</v>
      </c>
      <c r="I526" s="603">
        <f>'5.Tiên lượng'!W70</f>
        <v>1</v>
      </c>
      <c r="J526" s="589">
        <f>PRODUCT(G526,H526,I526)</f>
        <v>288900</v>
      </c>
    </row>
    <row r="527" spans="1:10">
      <c r="A527" s="126"/>
      <c r="B527" s="127"/>
      <c r="C527" s="128" t="s">
        <v>590</v>
      </c>
      <c r="D527" s="128" t="s">
        <v>590</v>
      </c>
      <c r="E527" s="583" t="s">
        <v>267</v>
      </c>
      <c r="F527" s="127" t="s">
        <v>268</v>
      </c>
      <c r="G527" s="130"/>
      <c r="H527" s="131"/>
      <c r="I527" s="143"/>
      <c r="J527" s="131">
        <f>SUM(J528:J529)</f>
        <v>126452.70096479999</v>
      </c>
    </row>
    <row r="528" spans="1:10">
      <c r="A528" s="584"/>
      <c r="B528" s="585"/>
      <c r="C528" s="586" t="s">
        <v>590</v>
      </c>
      <c r="D528" s="133" t="s">
        <v>637</v>
      </c>
      <c r="E528" s="587" t="str">
        <f>" - "&amp;'Giá Máy'!E8</f>
        <v xml:space="preserve"> - Máy cắt bê tông 12CV (MCD 218)</v>
      </c>
      <c r="F528" s="585" t="str">
        <f>'Giá Máy'!F8</f>
        <v>ca</v>
      </c>
      <c r="G528" s="588">
        <f>PTVT!G259</f>
        <v>0.252</v>
      </c>
      <c r="H528" s="589">
        <f>'Giá Máy'!O8</f>
        <v>491957.28666666668</v>
      </c>
      <c r="I528" s="603">
        <f>'5.Tiên lượng'!X70</f>
        <v>1</v>
      </c>
      <c r="J528" s="589">
        <f t="shared" ref="J528:J529" si="34">PRODUCT(G528,H528,I528)</f>
        <v>123973.23624</v>
      </c>
    </row>
    <row r="529" spans="1:10">
      <c r="A529" s="584"/>
      <c r="B529" s="585"/>
      <c r="C529" s="586" t="s">
        <v>590</v>
      </c>
      <c r="D529" s="133" t="s">
        <v>611</v>
      </c>
      <c r="E529" s="587" t="s">
        <v>612</v>
      </c>
      <c r="F529" s="585" t="s">
        <v>37</v>
      </c>
      <c r="G529" s="588">
        <f>PTVT!G260</f>
        <v>2</v>
      </c>
      <c r="H529" s="589">
        <f>IF('5.Tiên lượng'!X70&lt;&gt;0,SUM(J528:J528)/100/'5.Tiên lượng'!X70,0)</f>
        <v>1239.7323624000001</v>
      </c>
      <c r="I529" s="603">
        <f>'5.Tiên lượng'!X70</f>
        <v>1</v>
      </c>
      <c r="J529" s="589">
        <f t="shared" si="34"/>
        <v>2479.4647248000001</v>
      </c>
    </row>
    <row r="530" spans="1:10">
      <c r="A530" s="584"/>
      <c r="B530" s="585"/>
      <c r="C530" s="586" t="s">
        <v>590</v>
      </c>
      <c r="D530" s="133" t="s">
        <v>590</v>
      </c>
      <c r="E530" s="587" t="s">
        <v>269</v>
      </c>
      <c r="F530" s="585" t="s">
        <v>270</v>
      </c>
      <c r="G530" s="590"/>
      <c r="H530" s="589"/>
      <c r="I530" s="603"/>
      <c r="J530" s="589">
        <f>J522+J525+J527</f>
        <v>417785.40096480004</v>
      </c>
    </row>
    <row r="531" spans="1:10">
      <c r="A531" s="584"/>
      <c r="B531" s="585"/>
      <c r="C531" s="586" t="s">
        <v>590</v>
      </c>
      <c r="D531" s="133" t="s">
        <v>590</v>
      </c>
      <c r="E531" s="587" t="s">
        <v>273</v>
      </c>
      <c r="F531" s="585" t="s">
        <v>274</v>
      </c>
      <c r="G531" s="591">
        <f>'Thông tin'!E67</f>
        <v>6.2E-2</v>
      </c>
      <c r="H531" s="589"/>
      <c r="I531" s="603"/>
      <c r="J531" s="589">
        <f>(J530)*G531</f>
        <v>25902.694859817602</v>
      </c>
    </row>
    <row r="532" spans="1:10">
      <c r="A532" s="584"/>
      <c r="B532" s="585"/>
      <c r="C532" s="586" t="s">
        <v>590</v>
      </c>
      <c r="D532" s="133" t="s">
        <v>590</v>
      </c>
      <c r="E532" s="587" t="s">
        <v>276</v>
      </c>
      <c r="F532" s="585" t="s">
        <v>277</v>
      </c>
      <c r="G532" s="591">
        <f>'Thông tin'!E60</f>
        <v>2.2000000000000002E-2</v>
      </c>
      <c r="H532" s="589"/>
      <c r="I532" s="603"/>
      <c r="J532" s="589">
        <f>(J530)*G532</f>
        <v>9191.2788212256019</v>
      </c>
    </row>
    <row r="533" spans="1:10" ht="27.6">
      <c r="A533" s="584"/>
      <c r="B533" s="585"/>
      <c r="C533" s="586" t="s">
        <v>590</v>
      </c>
      <c r="D533" s="133" t="s">
        <v>590</v>
      </c>
      <c r="E533" s="587" t="s">
        <v>279</v>
      </c>
      <c r="F533" s="585" t="s">
        <v>142</v>
      </c>
      <c r="G533" s="591">
        <f>'Thông tin'!E65</f>
        <v>0.02</v>
      </c>
      <c r="H533" s="589"/>
      <c r="I533" s="603"/>
      <c r="J533" s="589">
        <f>(J530)*G533</f>
        <v>8355.7080192960002</v>
      </c>
    </row>
    <row r="534" spans="1:10">
      <c r="A534" s="584"/>
      <c r="B534" s="585"/>
      <c r="C534" s="586" t="s">
        <v>590</v>
      </c>
      <c r="D534" s="133" t="s">
        <v>590</v>
      </c>
      <c r="E534" s="587" t="s">
        <v>281</v>
      </c>
      <c r="F534" s="585" t="s">
        <v>282</v>
      </c>
      <c r="G534" s="590"/>
      <c r="H534" s="589"/>
      <c r="I534" s="603"/>
      <c r="J534" s="589">
        <f>J531+J532+J533</f>
        <v>43449.681700339206</v>
      </c>
    </row>
    <row r="535" spans="1:10">
      <c r="A535" s="584"/>
      <c r="B535" s="585"/>
      <c r="C535" s="586" t="s">
        <v>590</v>
      </c>
      <c r="D535" s="133" t="s">
        <v>590</v>
      </c>
      <c r="E535" s="587" t="s">
        <v>284</v>
      </c>
      <c r="F535" s="585" t="s">
        <v>285</v>
      </c>
      <c r="G535" s="591">
        <f>'Thông tin'!E63</f>
        <v>0.06</v>
      </c>
      <c r="H535" s="589"/>
      <c r="I535" s="603"/>
      <c r="J535" s="589">
        <f>(J530+J534)*G535</f>
        <v>27674.104959908353</v>
      </c>
    </row>
    <row r="536" spans="1:10">
      <c r="A536" s="584"/>
      <c r="B536" s="585"/>
      <c r="C536" s="586" t="s">
        <v>590</v>
      </c>
      <c r="D536" s="133" t="s">
        <v>590</v>
      </c>
      <c r="E536" s="592" t="s">
        <v>287</v>
      </c>
      <c r="F536" s="593" t="s">
        <v>288</v>
      </c>
      <c r="G536" s="590"/>
      <c r="H536" s="589"/>
      <c r="I536" s="603"/>
      <c r="J536" s="604">
        <f>J530+J534+J535</f>
        <v>488909.18762504758</v>
      </c>
    </row>
    <row r="537" spans="1:10">
      <c r="A537" s="584"/>
      <c r="B537" s="585"/>
      <c r="C537" s="586" t="s">
        <v>590</v>
      </c>
      <c r="D537" s="133" t="s">
        <v>590</v>
      </c>
      <c r="E537" s="587" t="s">
        <v>290</v>
      </c>
      <c r="F537" s="585" t="s">
        <v>291</v>
      </c>
      <c r="G537" s="591">
        <f>'Thông tin'!E61</f>
        <v>0.1</v>
      </c>
      <c r="H537" s="589"/>
      <c r="I537" s="603"/>
      <c r="J537" s="589">
        <f>(J536)*G537</f>
        <v>48890.918762504763</v>
      </c>
    </row>
    <row r="538" spans="1:10">
      <c r="A538" s="594"/>
      <c r="B538" s="595"/>
      <c r="C538" s="596" t="s">
        <v>590</v>
      </c>
      <c r="D538" s="137" t="s">
        <v>590</v>
      </c>
      <c r="E538" s="597" t="s">
        <v>293</v>
      </c>
      <c r="F538" s="598" t="s">
        <v>19</v>
      </c>
      <c r="G538" s="599"/>
      <c r="H538" s="600"/>
      <c r="I538" s="605"/>
      <c r="J538" s="606">
        <f>J536+J537</f>
        <v>537800.10638755234</v>
      </c>
    </row>
    <row r="539" spans="1:10">
      <c r="A539" s="572"/>
      <c r="B539" s="573"/>
      <c r="C539" s="574" t="s">
        <v>339</v>
      </c>
      <c r="D539" s="117" t="s">
        <v>339</v>
      </c>
      <c r="E539" s="575" t="s">
        <v>340</v>
      </c>
      <c r="F539" s="573"/>
      <c r="G539" s="576"/>
      <c r="H539" s="577"/>
      <c r="I539" s="601"/>
      <c r="J539" s="577" t="s">
        <v>597</v>
      </c>
    </row>
    <row r="540" spans="1:10">
      <c r="A540" s="572"/>
      <c r="B540" s="573"/>
      <c r="C540" s="574" t="s">
        <v>339</v>
      </c>
      <c r="D540" s="117" t="s">
        <v>339</v>
      </c>
      <c r="E540" s="575" t="s">
        <v>341</v>
      </c>
      <c r="F540" s="573"/>
      <c r="G540" s="576"/>
      <c r="H540" s="577"/>
      <c r="I540" s="601"/>
      <c r="J540" s="577" t="s">
        <v>597</v>
      </c>
    </row>
    <row r="541" spans="1:10" ht="27.6">
      <c r="A541" s="578"/>
      <c r="B541" s="579">
        <v>30</v>
      </c>
      <c r="C541" s="578" t="str">
        <f>'5.Tiên lượng'!C76</f>
        <v>AB.31132</v>
      </c>
      <c r="D541" s="578" t="str">
        <f>'5.Tiên lượng'!C76</f>
        <v>AB.31132</v>
      </c>
      <c r="E541" s="580" t="str">
        <f>'5.Tiên lượng'!D76</f>
        <v>Đào nền đường bằng máy đào 1,25m3 - Cấp đất II</v>
      </c>
      <c r="F541" s="579" t="str">
        <f>'5.Tiên lượng'!E76</f>
        <v>100m3</v>
      </c>
      <c r="G541" s="581"/>
      <c r="H541" s="582"/>
      <c r="I541" s="602"/>
      <c r="J541" s="582"/>
    </row>
    <row r="542" spans="1:10">
      <c r="A542" s="126"/>
      <c r="B542" s="127"/>
      <c r="C542" s="128" t="s">
        <v>590</v>
      </c>
      <c r="D542" s="128" t="s">
        <v>590</v>
      </c>
      <c r="E542" s="583" t="s">
        <v>262</v>
      </c>
      <c r="F542" s="127" t="s">
        <v>263</v>
      </c>
      <c r="G542" s="130"/>
      <c r="H542" s="131"/>
      <c r="I542" s="143"/>
      <c r="J542" s="131">
        <v>0</v>
      </c>
    </row>
    <row r="543" spans="1:10">
      <c r="A543" s="126"/>
      <c r="B543" s="127"/>
      <c r="C543" s="128" t="s">
        <v>590</v>
      </c>
      <c r="D543" s="128" t="s">
        <v>590</v>
      </c>
      <c r="E543" s="583" t="s">
        <v>265</v>
      </c>
      <c r="F543" s="127" t="s">
        <v>266</v>
      </c>
      <c r="G543" s="130"/>
      <c r="H543" s="131"/>
      <c r="I543" s="143"/>
      <c r="J543" s="131">
        <f>SUM(J544:J544)</f>
        <v>775015.02</v>
      </c>
    </row>
    <row r="544" spans="1:10">
      <c r="A544" s="584"/>
      <c r="B544" s="585"/>
      <c r="C544" s="586" t="s">
        <v>590</v>
      </c>
      <c r="D544" s="133" t="s">
        <v>598</v>
      </c>
      <c r="E544" s="587" t="str">
        <f>" - "&amp;'Giá NC'!E5</f>
        <v xml:space="preserve"> - Nhân công bậc 3,0/7 - Nhóm 1</v>
      </c>
      <c r="F544" s="585" t="str">
        <f>'Giá NC'!F5</f>
        <v>công</v>
      </c>
      <c r="G544" s="588">
        <f>PTVT!G265</f>
        <v>3.39</v>
      </c>
      <c r="H544" s="589">
        <f>'Giá NC'!K5</f>
        <v>228618</v>
      </c>
      <c r="I544" s="603">
        <f>'5.Tiên lượng'!W76</f>
        <v>1</v>
      </c>
      <c r="J544" s="589">
        <f>PRODUCT(G544,H544,I544)</f>
        <v>775015.02</v>
      </c>
    </row>
    <row r="545" spans="1:10">
      <c r="A545" s="126"/>
      <c r="B545" s="127"/>
      <c r="C545" s="128" t="s">
        <v>590</v>
      </c>
      <c r="D545" s="128" t="s">
        <v>590</v>
      </c>
      <c r="E545" s="583" t="s">
        <v>267</v>
      </c>
      <c r="F545" s="127" t="s">
        <v>268</v>
      </c>
      <c r="G545" s="130"/>
      <c r="H545" s="131"/>
      <c r="I545" s="143"/>
      <c r="J545" s="131">
        <f>SUM(J546:J547)</f>
        <v>986868.38985857158</v>
      </c>
    </row>
    <row r="546" spans="1:10">
      <c r="A546" s="584"/>
      <c r="B546" s="585"/>
      <c r="C546" s="586" t="s">
        <v>590</v>
      </c>
      <c r="D546" s="133" t="s">
        <v>599</v>
      </c>
      <c r="E546" s="587" t="str">
        <f>" - "&amp;'Giá Máy'!E14</f>
        <v xml:space="preserve"> - Máy đào 1,25m3</v>
      </c>
      <c r="F546" s="585" t="str">
        <f>'Giá Máy'!F14</f>
        <v>ca</v>
      </c>
      <c r="G546" s="588">
        <f>PTVT!G267</f>
        <v>0.26400000000000001</v>
      </c>
      <c r="H546" s="589">
        <f>'Giá Máy'!O14</f>
        <v>3496941.8057142859</v>
      </c>
      <c r="I546" s="603">
        <f>'5.Tiên lượng'!X76</f>
        <v>1</v>
      </c>
      <c r="J546" s="589">
        <f t="shared" ref="J546:J547" si="35">PRODUCT(G546,H546,I546)</f>
        <v>923192.63670857158</v>
      </c>
    </row>
    <row r="547" spans="1:10">
      <c r="A547" s="584"/>
      <c r="B547" s="585"/>
      <c r="C547" s="586" t="s">
        <v>590</v>
      </c>
      <c r="D547" s="133" t="s">
        <v>600</v>
      </c>
      <c r="E547" s="587" t="str">
        <f>" - "&amp;'Giá Máy'!E29</f>
        <v xml:space="preserve"> - Máy ủi 110CV</v>
      </c>
      <c r="F547" s="585" t="str">
        <f>'Giá Máy'!F29</f>
        <v>ca</v>
      </c>
      <c r="G547" s="588">
        <f>PTVT!G268</f>
        <v>3.5000000000000003E-2</v>
      </c>
      <c r="H547" s="589">
        <f>'Giá Máy'!O29</f>
        <v>1819307.232857143</v>
      </c>
      <c r="I547" s="603">
        <f>'5.Tiên lượng'!X76</f>
        <v>1</v>
      </c>
      <c r="J547" s="589">
        <f t="shared" si="35"/>
        <v>63675.753150000011</v>
      </c>
    </row>
    <row r="548" spans="1:10">
      <c r="A548" s="584"/>
      <c r="B548" s="585"/>
      <c r="C548" s="586" t="s">
        <v>590</v>
      </c>
      <c r="D548" s="133" t="s">
        <v>590</v>
      </c>
      <c r="E548" s="587" t="s">
        <v>269</v>
      </c>
      <c r="F548" s="585" t="s">
        <v>270</v>
      </c>
      <c r="G548" s="590"/>
      <c r="H548" s="589"/>
      <c r="I548" s="603"/>
      <c r="J548" s="589">
        <f>J542+J543+J545</f>
        <v>1761883.4098585716</v>
      </c>
    </row>
    <row r="549" spans="1:10">
      <c r="A549" s="584"/>
      <c r="B549" s="585"/>
      <c r="C549" s="586" t="s">
        <v>590</v>
      </c>
      <c r="D549" s="133" t="s">
        <v>590</v>
      </c>
      <c r="E549" s="587" t="s">
        <v>273</v>
      </c>
      <c r="F549" s="585" t="s">
        <v>274</v>
      </c>
      <c r="G549" s="591">
        <f>'Thông tin'!E67</f>
        <v>6.2E-2</v>
      </c>
      <c r="H549" s="589"/>
      <c r="I549" s="603"/>
      <c r="J549" s="589">
        <f>(J548)*G549</f>
        <v>109236.77141123144</v>
      </c>
    </row>
    <row r="550" spans="1:10">
      <c r="A550" s="584"/>
      <c r="B550" s="585"/>
      <c r="C550" s="586" t="s">
        <v>590</v>
      </c>
      <c r="D550" s="133" t="s">
        <v>590</v>
      </c>
      <c r="E550" s="587" t="s">
        <v>276</v>
      </c>
      <c r="F550" s="585" t="s">
        <v>277</v>
      </c>
      <c r="G550" s="591">
        <f>'Thông tin'!E60</f>
        <v>2.2000000000000002E-2</v>
      </c>
      <c r="H550" s="589"/>
      <c r="I550" s="603"/>
      <c r="J550" s="589">
        <f>(J548)*G550</f>
        <v>38761.435016888579</v>
      </c>
    </row>
    <row r="551" spans="1:10" ht="27.6">
      <c r="A551" s="584"/>
      <c r="B551" s="585"/>
      <c r="C551" s="586" t="s">
        <v>590</v>
      </c>
      <c r="D551" s="133" t="s">
        <v>590</v>
      </c>
      <c r="E551" s="587" t="s">
        <v>279</v>
      </c>
      <c r="F551" s="585" t="s">
        <v>142</v>
      </c>
      <c r="G551" s="591">
        <f>'Thông tin'!E65</f>
        <v>0.02</v>
      </c>
      <c r="H551" s="589"/>
      <c r="I551" s="603"/>
      <c r="J551" s="589">
        <f>(J548)*G551</f>
        <v>35237.668197171435</v>
      </c>
    </row>
    <row r="552" spans="1:10">
      <c r="A552" s="584"/>
      <c r="B552" s="585"/>
      <c r="C552" s="586" t="s">
        <v>590</v>
      </c>
      <c r="D552" s="133" t="s">
        <v>590</v>
      </c>
      <c r="E552" s="587" t="s">
        <v>281</v>
      </c>
      <c r="F552" s="585" t="s">
        <v>282</v>
      </c>
      <c r="G552" s="590"/>
      <c r="H552" s="589"/>
      <c r="I552" s="603"/>
      <c r="J552" s="589">
        <f>J549+J550+J551</f>
        <v>183235.87462529147</v>
      </c>
    </row>
    <row r="553" spans="1:10">
      <c r="A553" s="584"/>
      <c r="B553" s="585"/>
      <c r="C553" s="586" t="s">
        <v>590</v>
      </c>
      <c r="D553" s="133" t="s">
        <v>590</v>
      </c>
      <c r="E553" s="587" t="s">
        <v>284</v>
      </c>
      <c r="F553" s="585" t="s">
        <v>285</v>
      </c>
      <c r="G553" s="591">
        <f>'Thông tin'!E63</f>
        <v>0.06</v>
      </c>
      <c r="H553" s="589"/>
      <c r="I553" s="603"/>
      <c r="J553" s="589">
        <f>(J548+J552)*G553</f>
        <v>116707.15706903177</v>
      </c>
    </row>
    <row r="554" spans="1:10">
      <c r="A554" s="584"/>
      <c r="B554" s="585"/>
      <c r="C554" s="586" t="s">
        <v>590</v>
      </c>
      <c r="D554" s="133" t="s">
        <v>590</v>
      </c>
      <c r="E554" s="592" t="s">
        <v>287</v>
      </c>
      <c r="F554" s="593" t="s">
        <v>288</v>
      </c>
      <c r="G554" s="590"/>
      <c r="H554" s="589"/>
      <c r="I554" s="603"/>
      <c r="J554" s="604">
        <f>J548+J552+J553</f>
        <v>2061826.4415528949</v>
      </c>
    </row>
    <row r="555" spans="1:10">
      <c r="A555" s="584"/>
      <c r="B555" s="585"/>
      <c r="C555" s="586" t="s">
        <v>590</v>
      </c>
      <c r="D555" s="133" t="s">
        <v>590</v>
      </c>
      <c r="E555" s="587" t="s">
        <v>290</v>
      </c>
      <c r="F555" s="585" t="s">
        <v>291</v>
      </c>
      <c r="G555" s="591">
        <f>'Thông tin'!E61</f>
        <v>0.1</v>
      </c>
      <c r="H555" s="589"/>
      <c r="I555" s="603"/>
      <c r="J555" s="589">
        <f>(J554)*G555</f>
        <v>206182.64415528951</v>
      </c>
    </row>
    <row r="556" spans="1:10">
      <c r="A556" s="594"/>
      <c r="B556" s="595"/>
      <c r="C556" s="596" t="s">
        <v>590</v>
      </c>
      <c r="D556" s="137" t="s">
        <v>590</v>
      </c>
      <c r="E556" s="597" t="s">
        <v>293</v>
      </c>
      <c r="F556" s="598" t="s">
        <v>19</v>
      </c>
      <c r="G556" s="599"/>
      <c r="H556" s="600"/>
      <c r="I556" s="605"/>
      <c r="J556" s="606">
        <f>J554+J555</f>
        <v>2268009.0857081842</v>
      </c>
    </row>
    <row r="557" spans="1:10" ht="27.6">
      <c r="A557" s="578"/>
      <c r="B557" s="579">
        <v>31</v>
      </c>
      <c r="C557" s="578" t="str">
        <f>'5.Tiên lượng'!C78</f>
        <v>AB.31133</v>
      </c>
      <c r="D557" s="578" t="str">
        <f>'5.Tiên lượng'!C78</f>
        <v>AB.31133</v>
      </c>
      <c r="E557" s="580" t="str">
        <f>'5.Tiên lượng'!D78</f>
        <v>Đào nền đường bằng máy đào 1,25m3 - Cấp đất III</v>
      </c>
      <c r="F557" s="579" t="str">
        <f>'5.Tiên lượng'!E78</f>
        <v>100m3</v>
      </c>
      <c r="G557" s="581"/>
      <c r="H557" s="582"/>
      <c r="I557" s="602"/>
      <c r="J557" s="582"/>
    </row>
    <row r="558" spans="1:10">
      <c r="A558" s="126"/>
      <c r="B558" s="127"/>
      <c r="C558" s="128" t="s">
        <v>590</v>
      </c>
      <c r="D558" s="128" t="s">
        <v>590</v>
      </c>
      <c r="E558" s="583" t="s">
        <v>262</v>
      </c>
      <c r="F558" s="127" t="s">
        <v>263</v>
      </c>
      <c r="G558" s="130"/>
      <c r="H558" s="131"/>
      <c r="I558" s="143"/>
      <c r="J558" s="131">
        <v>0</v>
      </c>
    </row>
    <row r="559" spans="1:10">
      <c r="A559" s="126"/>
      <c r="B559" s="127"/>
      <c r="C559" s="128" t="s">
        <v>590</v>
      </c>
      <c r="D559" s="128" t="s">
        <v>590</v>
      </c>
      <c r="E559" s="583" t="s">
        <v>265</v>
      </c>
      <c r="F559" s="127" t="s">
        <v>266</v>
      </c>
      <c r="G559" s="130"/>
      <c r="H559" s="131"/>
      <c r="I559" s="143"/>
      <c r="J559" s="131">
        <f>SUM(J560:J560)</f>
        <v>928189.08</v>
      </c>
    </row>
    <row r="560" spans="1:10">
      <c r="A560" s="584"/>
      <c r="B560" s="585"/>
      <c r="C560" s="586" t="s">
        <v>590</v>
      </c>
      <c r="D560" s="133" t="s">
        <v>598</v>
      </c>
      <c r="E560" s="587" t="str">
        <f>" - "&amp;'Giá NC'!E5</f>
        <v xml:space="preserve"> - Nhân công bậc 3,0/7 - Nhóm 1</v>
      </c>
      <c r="F560" s="585" t="str">
        <f>'Giá NC'!F5</f>
        <v>công</v>
      </c>
      <c r="G560" s="588">
        <f>PTVT!G271</f>
        <v>4.0599999999999996</v>
      </c>
      <c r="H560" s="589">
        <f>'Giá NC'!K5</f>
        <v>228618</v>
      </c>
      <c r="I560" s="603">
        <f>'5.Tiên lượng'!W78</f>
        <v>1</v>
      </c>
      <c r="J560" s="589">
        <f>PRODUCT(G560,H560,I560)</f>
        <v>928189.08</v>
      </c>
    </row>
    <row r="561" spans="1:10">
      <c r="A561" s="126"/>
      <c r="B561" s="127"/>
      <c r="C561" s="128" t="s">
        <v>590</v>
      </c>
      <c r="D561" s="128" t="s">
        <v>590</v>
      </c>
      <c r="E561" s="583" t="s">
        <v>267</v>
      </c>
      <c r="F561" s="127" t="s">
        <v>268</v>
      </c>
      <c r="G561" s="130"/>
      <c r="H561" s="131"/>
      <c r="I561" s="143"/>
      <c r="J561" s="131">
        <f>SUM(J562:J563)</f>
        <v>1160321.1908914286</v>
      </c>
    </row>
    <row r="562" spans="1:10">
      <c r="A562" s="584"/>
      <c r="B562" s="585"/>
      <c r="C562" s="586" t="s">
        <v>590</v>
      </c>
      <c r="D562" s="133" t="s">
        <v>599</v>
      </c>
      <c r="E562" s="587" t="str">
        <f>" - "&amp;'Giá Máy'!E14</f>
        <v xml:space="preserve"> - Máy đào 1,25m3</v>
      </c>
      <c r="F562" s="585" t="str">
        <f>'Giá Máy'!F14</f>
        <v>ca</v>
      </c>
      <c r="G562" s="588">
        <f>PTVT!G273</f>
        <v>0.311</v>
      </c>
      <c r="H562" s="589">
        <f>'Giá Máy'!O14</f>
        <v>3496941.8057142859</v>
      </c>
      <c r="I562" s="603">
        <f>'5.Tiên lượng'!X78</f>
        <v>1</v>
      </c>
      <c r="J562" s="589">
        <f t="shared" ref="J562:J563" si="36">PRODUCT(G562,H562,I562)</f>
        <v>1087548.901577143</v>
      </c>
    </row>
    <row r="563" spans="1:10">
      <c r="A563" s="584"/>
      <c r="B563" s="585"/>
      <c r="C563" s="586" t="s">
        <v>590</v>
      </c>
      <c r="D563" s="133" t="s">
        <v>600</v>
      </c>
      <c r="E563" s="587" t="str">
        <f>" - "&amp;'Giá Máy'!E29</f>
        <v xml:space="preserve"> - Máy ủi 110CV</v>
      </c>
      <c r="F563" s="585" t="str">
        <f>'Giá Máy'!F29</f>
        <v>ca</v>
      </c>
      <c r="G563" s="588">
        <f>PTVT!G274</f>
        <v>0.04</v>
      </c>
      <c r="H563" s="589">
        <f>'Giá Máy'!O29</f>
        <v>1819307.232857143</v>
      </c>
      <c r="I563" s="603">
        <f>'5.Tiên lượng'!X78</f>
        <v>1</v>
      </c>
      <c r="J563" s="589">
        <f t="shared" si="36"/>
        <v>72772.289314285721</v>
      </c>
    </row>
    <row r="564" spans="1:10">
      <c r="A564" s="584"/>
      <c r="B564" s="585"/>
      <c r="C564" s="586" t="s">
        <v>590</v>
      </c>
      <c r="D564" s="133" t="s">
        <v>590</v>
      </c>
      <c r="E564" s="587" t="s">
        <v>269</v>
      </c>
      <c r="F564" s="585" t="s">
        <v>270</v>
      </c>
      <c r="G564" s="590"/>
      <c r="H564" s="589"/>
      <c r="I564" s="603"/>
      <c r="J564" s="589">
        <f>J558+J559+J561</f>
        <v>2088510.2708914285</v>
      </c>
    </row>
    <row r="565" spans="1:10">
      <c r="A565" s="584"/>
      <c r="B565" s="585"/>
      <c r="C565" s="586" t="s">
        <v>590</v>
      </c>
      <c r="D565" s="133" t="s">
        <v>590</v>
      </c>
      <c r="E565" s="587" t="s">
        <v>273</v>
      </c>
      <c r="F565" s="585" t="s">
        <v>274</v>
      </c>
      <c r="G565" s="591">
        <f>'Thông tin'!E67</f>
        <v>6.2E-2</v>
      </c>
      <c r="H565" s="589"/>
      <c r="I565" s="603"/>
      <c r="J565" s="589">
        <f>(J564)*G565</f>
        <v>129487.63679526857</v>
      </c>
    </row>
    <row r="566" spans="1:10">
      <c r="A566" s="584"/>
      <c r="B566" s="585"/>
      <c r="C566" s="586" t="s">
        <v>590</v>
      </c>
      <c r="D566" s="133" t="s">
        <v>590</v>
      </c>
      <c r="E566" s="587" t="s">
        <v>276</v>
      </c>
      <c r="F566" s="585" t="s">
        <v>277</v>
      </c>
      <c r="G566" s="591">
        <f>'Thông tin'!E60</f>
        <v>2.2000000000000002E-2</v>
      </c>
      <c r="H566" s="589"/>
      <c r="I566" s="603"/>
      <c r="J566" s="589">
        <f>(J564)*G566</f>
        <v>45947.225959611431</v>
      </c>
    </row>
    <row r="567" spans="1:10" ht="27.6">
      <c r="A567" s="584"/>
      <c r="B567" s="585"/>
      <c r="C567" s="586" t="s">
        <v>590</v>
      </c>
      <c r="D567" s="133" t="s">
        <v>590</v>
      </c>
      <c r="E567" s="587" t="s">
        <v>279</v>
      </c>
      <c r="F567" s="585" t="s">
        <v>142</v>
      </c>
      <c r="G567" s="591">
        <f>'Thông tin'!E65</f>
        <v>0.02</v>
      </c>
      <c r="H567" s="589"/>
      <c r="I567" s="603"/>
      <c r="J567" s="589">
        <f>(J564)*G567</f>
        <v>41770.205417828569</v>
      </c>
    </row>
    <row r="568" spans="1:10">
      <c r="A568" s="584"/>
      <c r="B568" s="585"/>
      <c r="C568" s="586" t="s">
        <v>590</v>
      </c>
      <c r="D568" s="133" t="s">
        <v>590</v>
      </c>
      <c r="E568" s="587" t="s">
        <v>281</v>
      </c>
      <c r="F568" s="585" t="s">
        <v>282</v>
      </c>
      <c r="G568" s="590"/>
      <c r="H568" s="589"/>
      <c r="I568" s="603"/>
      <c r="J568" s="589">
        <f>J565+J566+J567</f>
        <v>217205.06817270856</v>
      </c>
    </row>
    <row r="569" spans="1:10">
      <c r="A569" s="584"/>
      <c r="B569" s="585"/>
      <c r="C569" s="586" t="s">
        <v>590</v>
      </c>
      <c r="D569" s="133" t="s">
        <v>590</v>
      </c>
      <c r="E569" s="587" t="s">
        <v>284</v>
      </c>
      <c r="F569" s="585" t="s">
        <v>285</v>
      </c>
      <c r="G569" s="591">
        <f>'Thông tin'!E63</f>
        <v>0.06</v>
      </c>
      <c r="H569" s="589"/>
      <c r="I569" s="603"/>
      <c r="J569" s="589">
        <f>(J564+J568)*G569</f>
        <v>138342.92034384821</v>
      </c>
    </row>
    <row r="570" spans="1:10">
      <c r="A570" s="584"/>
      <c r="B570" s="585"/>
      <c r="C570" s="586" t="s">
        <v>590</v>
      </c>
      <c r="D570" s="133" t="s">
        <v>590</v>
      </c>
      <c r="E570" s="592" t="s">
        <v>287</v>
      </c>
      <c r="F570" s="593" t="s">
        <v>288</v>
      </c>
      <c r="G570" s="590"/>
      <c r="H570" s="589"/>
      <c r="I570" s="603"/>
      <c r="J570" s="604">
        <f>J564+J568+J569</f>
        <v>2444058.2594079855</v>
      </c>
    </row>
    <row r="571" spans="1:10">
      <c r="A571" s="584"/>
      <c r="B571" s="585"/>
      <c r="C571" s="586" t="s">
        <v>590</v>
      </c>
      <c r="D571" s="133" t="s">
        <v>590</v>
      </c>
      <c r="E571" s="587" t="s">
        <v>290</v>
      </c>
      <c r="F571" s="585" t="s">
        <v>291</v>
      </c>
      <c r="G571" s="591">
        <f>'Thông tin'!E61</f>
        <v>0.1</v>
      </c>
      <c r="H571" s="589"/>
      <c r="I571" s="603"/>
      <c r="J571" s="589">
        <f>(J570)*G571</f>
        <v>244405.82594079856</v>
      </c>
    </row>
    <row r="572" spans="1:10">
      <c r="A572" s="594"/>
      <c r="B572" s="595"/>
      <c r="C572" s="596" t="s">
        <v>590</v>
      </c>
      <c r="D572" s="137" t="s">
        <v>590</v>
      </c>
      <c r="E572" s="597" t="s">
        <v>293</v>
      </c>
      <c r="F572" s="598" t="s">
        <v>19</v>
      </c>
      <c r="G572" s="599"/>
      <c r="H572" s="600"/>
      <c r="I572" s="605"/>
      <c r="J572" s="606">
        <f>J570+J571</f>
        <v>2688464.085348784</v>
      </c>
    </row>
    <row r="573" spans="1:10" ht="27.6">
      <c r="A573" s="578"/>
      <c r="B573" s="579">
        <v>32</v>
      </c>
      <c r="C573" s="578" t="str">
        <f>'5.Tiên lượng'!C80</f>
        <v>AB.31134</v>
      </c>
      <c r="D573" s="578" t="str">
        <f>'5.Tiên lượng'!C80</f>
        <v>AB.31134</v>
      </c>
      <c r="E573" s="580" t="str">
        <f>'5.Tiên lượng'!D80</f>
        <v>Đào nền đường bằng máy đào 1,25m3 - Cấp đất IV</v>
      </c>
      <c r="F573" s="579" t="str">
        <f>'5.Tiên lượng'!E80</f>
        <v>100m3</v>
      </c>
      <c r="G573" s="581"/>
      <c r="H573" s="582"/>
      <c r="I573" s="602"/>
      <c r="J573" s="582"/>
    </row>
    <row r="574" spans="1:10">
      <c r="A574" s="126"/>
      <c r="B574" s="127"/>
      <c r="C574" s="128" t="s">
        <v>590</v>
      </c>
      <c r="D574" s="128" t="s">
        <v>590</v>
      </c>
      <c r="E574" s="583" t="s">
        <v>262</v>
      </c>
      <c r="F574" s="127" t="s">
        <v>263</v>
      </c>
      <c r="G574" s="130"/>
      <c r="H574" s="131"/>
      <c r="I574" s="143"/>
      <c r="J574" s="131">
        <v>0</v>
      </c>
    </row>
    <row r="575" spans="1:10">
      <c r="A575" s="126"/>
      <c r="B575" s="127"/>
      <c r="C575" s="128" t="s">
        <v>590</v>
      </c>
      <c r="D575" s="128" t="s">
        <v>590</v>
      </c>
      <c r="E575" s="583" t="s">
        <v>265</v>
      </c>
      <c r="F575" s="127" t="s">
        <v>266</v>
      </c>
      <c r="G575" s="130"/>
      <c r="H575" s="131"/>
      <c r="I575" s="143"/>
      <c r="J575" s="131">
        <f>SUM(J576:J576)</f>
        <v>1099652.5799999998</v>
      </c>
    </row>
    <row r="576" spans="1:10">
      <c r="A576" s="584"/>
      <c r="B576" s="585"/>
      <c r="C576" s="586" t="s">
        <v>590</v>
      </c>
      <c r="D576" s="133" t="s">
        <v>598</v>
      </c>
      <c r="E576" s="587" t="str">
        <f>" - "&amp;'Giá NC'!E5</f>
        <v xml:space="preserve"> - Nhân công bậc 3,0/7 - Nhóm 1</v>
      </c>
      <c r="F576" s="585" t="str">
        <f>'Giá NC'!F5</f>
        <v>công</v>
      </c>
      <c r="G576" s="588">
        <f>PTVT!G277</f>
        <v>4.8099999999999996</v>
      </c>
      <c r="H576" s="589">
        <f>'Giá NC'!K5</f>
        <v>228618</v>
      </c>
      <c r="I576" s="603">
        <f>'5.Tiên lượng'!W80</f>
        <v>1</v>
      </c>
      <c r="J576" s="589">
        <f>PRODUCT(G576,H576,I576)</f>
        <v>1099652.5799999998</v>
      </c>
    </row>
    <row r="577" spans="1:10">
      <c r="A577" s="126"/>
      <c r="B577" s="127"/>
      <c r="C577" s="128" t="s">
        <v>590</v>
      </c>
      <c r="D577" s="128" t="s">
        <v>590</v>
      </c>
      <c r="E577" s="583" t="s">
        <v>267</v>
      </c>
      <c r="F577" s="127" t="s">
        <v>268</v>
      </c>
      <c r="G577" s="130"/>
      <c r="H577" s="131"/>
      <c r="I577" s="143"/>
      <c r="J577" s="131">
        <f>SUM(J578:J579)</f>
        <v>1588223.1451285714</v>
      </c>
    </row>
    <row r="578" spans="1:10">
      <c r="A578" s="584"/>
      <c r="B578" s="585"/>
      <c r="C578" s="586" t="s">
        <v>590</v>
      </c>
      <c r="D578" s="133" t="s">
        <v>599</v>
      </c>
      <c r="E578" s="587" t="str">
        <f>" - "&amp;'Giá Máy'!E14</f>
        <v xml:space="preserve"> - Máy đào 1,25m3</v>
      </c>
      <c r="F578" s="585" t="str">
        <f>'Giá Máy'!F14</f>
        <v>ca</v>
      </c>
      <c r="G578" s="588">
        <f>PTVT!G279</f>
        <v>0.42399999999999999</v>
      </c>
      <c r="H578" s="589">
        <f>'Giá Máy'!O14</f>
        <v>3496941.8057142859</v>
      </c>
      <c r="I578" s="603">
        <f>'5.Tiên lượng'!X80</f>
        <v>1</v>
      </c>
      <c r="J578" s="589">
        <f t="shared" ref="J578:J579" si="37">PRODUCT(G578,H578,I578)</f>
        <v>1482703.3256228571</v>
      </c>
    </row>
    <row r="579" spans="1:10">
      <c r="A579" s="584"/>
      <c r="B579" s="585"/>
      <c r="C579" s="586" t="s">
        <v>590</v>
      </c>
      <c r="D579" s="133" t="s">
        <v>600</v>
      </c>
      <c r="E579" s="587" t="str">
        <f>" - "&amp;'Giá Máy'!E29</f>
        <v xml:space="preserve"> - Máy ủi 110CV</v>
      </c>
      <c r="F579" s="585" t="str">
        <f>'Giá Máy'!F29</f>
        <v>ca</v>
      </c>
      <c r="G579" s="588">
        <f>PTVT!G280</f>
        <v>5.8000000000000003E-2</v>
      </c>
      <c r="H579" s="589">
        <f>'Giá Máy'!O29</f>
        <v>1819307.232857143</v>
      </c>
      <c r="I579" s="603">
        <f>'5.Tiên lượng'!X80</f>
        <v>1</v>
      </c>
      <c r="J579" s="589">
        <f t="shared" si="37"/>
        <v>105519.8195057143</v>
      </c>
    </row>
    <row r="580" spans="1:10">
      <c r="A580" s="584"/>
      <c r="B580" s="585"/>
      <c r="C580" s="586" t="s">
        <v>590</v>
      </c>
      <c r="D580" s="133" t="s">
        <v>590</v>
      </c>
      <c r="E580" s="587" t="s">
        <v>269</v>
      </c>
      <c r="F580" s="585" t="s">
        <v>270</v>
      </c>
      <c r="G580" s="590"/>
      <c r="H580" s="589"/>
      <c r="I580" s="603"/>
      <c r="J580" s="589">
        <f>J574+J575+J577</f>
        <v>2687875.7251285715</v>
      </c>
    </row>
    <row r="581" spans="1:10">
      <c r="A581" s="584"/>
      <c r="B581" s="585"/>
      <c r="C581" s="586" t="s">
        <v>590</v>
      </c>
      <c r="D581" s="133" t="s">
        <v>590</v>
      </c>
      <c r="E581" s="587" t="s">
        <v>273</v>
      </c>
      <c r="F581" s="585" t="s">
        <v>274</v>
      </c>
      <c r="G581" s="591">
        <f>'Thông tin'!E67</f>
        <v>6.2E-2</v>
      </c>
      <c r="H581" s="589"/>
      <c r="I581" s="603"/>
      <c r="J581" s="589">
        <f>(J580)*G581</f>
        <v>166648.29495797143</v>
      </c>
    </row>
    <row r="582" spans="1:10">
      <c r="A582" s="584"/>
      <c r="B582" s="585"/>
      <c r="C582" s="586" t="s">
        <v>590</v>
      </c>
      <c r="D582" s="133" t="s">
        <v>590</v>
      </c>
      <c r="E582" s="587" t="s">
        <v>276</v>
      </c>
      <c r="F582" s="585" t="s">
        <v>277</v>
      </c>
      <c r="G582" s="591">
        <f>'Thông tin'!E60</f>
        <v>2.2000000000000002E-2</v>
      </c>
      <c r="H582" s="589"/>
      <c r="I582" s="603"/>
      <c r="J582" s="589">
        <f>(J580)*G582</f>
        <v>59133.26595282858</v>
      </c>
    </row>
    <row r="583" spans="1:10" ht="27.6">
      <c r="A583" s="584"/>
      <c r="B583" s="585"/>
      <c r="C583" s="586" t="s">
        <v>590</v>
      </c>
      <c r="D583" s="133" t="s">
        <v>590</v>
      </c>
      <c r="E583" s="587" t="s">
        <v>279</v>
      </c>
      <c r="F583" s="585" t="s">
        <v>142</v>
      </c>
      <c r="G583" s="591">
        <f>'Thông tin'!E65</f>
        <v>0.02</v>
      </c>
      <c r="H583" s="589"/>
      <c r="I583" s="603"/>
      <c r="J583" s="589">
        <f>(J580)*G583</f>
        <v>53757.51450257143</v>
      </c>
    </row>
    <row r="584" spans="1:10">
      <c r="A584" s="584"/>
      <c r="B584" s="585"/>
      <c r="C584" s="586" t="s">
        <v>590</v>
      </c>
      <c r="D584" s="133" t="s">
        <v>590</v>
      </c>
      <c r="E584" s="587" t="s">
        <v>281</v>
      </c>
      <c r="F584" s="585" t="s">
        <v>282</v>
      </c>
      <c r="G584" s="590"/>
      <c r="H584" s="589"/>
      <c r="I584" s="603"/>
      <c r="J584" s="589">
        <f>J581+J582+J583</f>
        <v>279539.07541337144</v>
      </c>
    </row>
    <row r="585" spans="1:10">
      <c r="A585" s="584"/>
      <c r="B585" s="585"/>
      <c r="C585" s="586" t="s">
        <v>590</v>
      </c>
      <c r="D585" s="133" t="s">
        <v>590</v>
      </c>
      <c r="E585" s="587" t="s">
        <v>284</v>
      </c>
      <c r="F585" s="585" t="s">
        <v>285</v>
      </c>
      <c r="G585" s="591">
        <f>'Thông tin'!E63</f>
        <v>0.06</v>
      </c>
      <c r="H585" s="589"/>
      <c r="I585" s="603"/>
      <c r="J585" s="589">
        <f>(J580+J584)*G585</f>
        <v>178044.88803251658</v>
      </c>
    </row>
    <row r="586" spans="1:10">
      <c r="A586" s="584"/>
      <c r="B586" s="585"/>
      <c r="C586" s="586" t="s">
        <v>590</v>
      </c>
      <c r="D586" s="133" t="s">
        <v>590</v>
      </c>
      <c r="E586" s="592" t="s">
        <v>287</v>
      </c>
      <c r="F586" s="593" t="s">
        <v>288</v>
      </c>
      <c r="G586" s="590"/>
      <c r="H586" s="589"/>
      <c r="I586" s="603"/>
      <c r="J586" s="604">
        <f>J580+J584+J585</f>
        <v>3145459.6885744594</v>
      </c>
    </row>
    <row r="587" spans="1:10">
      <c r="A587" s="584"/>
      <c r="B587" s="585"/>
      <c r="C587" s="586" t="s">
        <v>590</v>
      </c>
      <c r="D587" s="133" t="s">
        <v>590</v>
      </c>
      <c r="E587" s="587" t="s">
        <v>290</v>
      </c>
      <c r="F587" s="585" t="s">
        <v>291</v>
      </c>
      <c r="G587" s="591">
        <f>'Thông tin'!E61</f>
        <v>0.1</v>
      </c>
      <c r="H587" s="589"/>
      <c r="I587" s="603"/>
      <c r="J587" s="589">
        <f>(J586)*G587</f>
        <v>314545.96885744599</v>
      </c>
    </row>
    <row r="588" spans="1:10">
      <c r="A588" s="594"/>
      <c r="B588" s="595"/>
      <c r="C588" s="596" t="s">
        <v>590</v>
      </c>
      <c r="D588" s="137" t="s">
        <v>590</v>
      </c>
      <c r="E588" s="597" t="s">
        <v>293</v>
      </c>
      <c r="F588" s="598" t="s">
        <v>19</v>
      </c>
      <c r="G588" s="599"/>
      <c r="H588" s="600"/>
      <c r="I588" s="605"/>
      <c r="J588" s="606">
        <f>J586+J587</f>
        <v>3460005.6574319052</v>
      </c>
    </row>
    <row r="589" spans="1:10" ht="27.6">
      <c r="A589" s="578"/>
      <c r="B589" s="579">
        <v>33</v>
      </c>
      <c r="C589" s="578" t="str">
        <f>'5.Tiên lượng'!C82</f>
        <v>AB.31134VD</v>
      </c>
      <c r="D589" s="578" t="str">
        <f>'5.Tiên lượng'!C82</f>
        <v>AB.31134VD</v>
      </c>
      <c r="E589" s="580" t="str">
        <f>'5.Tiên lượng'!D82</f>
        <v>Đào đường cũ cấp phối bằng máy đào 1,25m3</v>
      </c>
      <c r="F589" s="579" t="str">
        <f>'5.Tiên lượng'!E82</f>
        <v>m3</v>
      </c>
      <c r="G589" s="581"/>
      <c r="H589" s="582"/>
      <c r="I589" s="602"/>
      <c r="J589" s="582"/>
    </row>
    <row r="590" spans="1:10">
      <c r="A590" s="126"/>
      <c r="B590" s="127"/>
      <c r="C590" s="128" t="s">
        <v>590</v>
      </c>
      <c r="D590" s="128" t="s">
        <v>590</v>
      </c>
      <c r="E590" s="583" t="s">
        <v>262</v>
      </c>
      <c r="F590" s="127" t="s">
        <v>263</v>
      </c>
      <c r="G590" s="130"/>
      <c r="H590" s="131"/>
      <c r="I590" s="143"/>
      <c r="J590" s="131">
        <v>0</v>
      </c>
    </row>
    <row r="591" spans="1:10">
      <c r="A591" s="126"/>
      <c r="B591" s="127"/>
      <c r="C591" s="128" t="s">
        <v>590</v>
      </c>
      <c r="D591" s="128" t="s">
        <v>590</v>
      </c>
      <c r="E591" s="583" t="s">
        <v>265</v>
      </c>
      <c r="F591" s="127" t="s">
        <v>266</v>
      </c>
      <c r="G591" s="130"/>
      <c r="H591" s="131"/>
      <c r="I591" s="143"/>
      <c r="J591" s="131">
        <f>SUM(J592:J592)</f>
        <v>10996.525799999999</v>
      </c>
    </row>
    <row r="592" spans="1:10">
      <c r="A592" s="584"/>
      <c r="B592" s="585"/>
      <c r="C592" s="586" t="s">
        <v>590</v>
      </c>
      <c r="D592" s="133" t="s">
        <v>598</v>
      </c>
      <c r="E592" s="587" t="str">
        <f>" - "&amp;'Giá NC'!E5</f>
        <v xml:space="preserve"> - Nhân công bậc 3,0/7 - Nhóm 1</v>
      </c>
      <c r="F592" s="585" t="str">
        <f>'Giá NC'!F5</f>
        <v>công</v>
      </c>
      <c r="G592" s="588">
        <f>PTVT!G283</f>
        <v>4.8099999999999997E-2</v>
      </c>
      <c r="H592" s="589">
        <f>'Giá NC'!K5</f>
        <v>228618</v>
      </c>
      <c r="I592" s="603">
        <f>'5.Tiên lượng'!W82</f>
        <v>1</v>
      </c>
      <c r="J592" s="589">
        <f>PRODUCT(G592,H592,I592)</f>
        <v>10996.525799999999</v>
      </c>
    </row>
    <row r="593" spans="1:10">
      <c r="A593" s="126"/>
      <c r="B593" s="127"/>
      <c r="C593" s="128" t="s">
        <v>590</v>
      </c>
      <c r="D593" s="128" t="s">
        <v>590</v>
      </c>
      <c r="E593" s="583" t="s">
        <v>267</v>
      </c>
      <c r="F593" s="127" t="s">
        <v>268</v>
      </c>
      <c r="G593" s="130"/>
      <c r="H593" s="131"/>
      <c r="I593" s="143"/>
      <c r="J593" s="131">
        <f>SUM(J594:J595)</f>
        <v>15882.231451285714</v>
      </c>
    </row>
    <row r="594" spans="1:10">
      <c r="A594" s="584"/>
      <c r="B594" s="585"/>
      <c r="C594" s="586" t="s">
        <v>590</v>
      </c>
      <c r="D594" s="133" t="s">
        <v>599</v>
      </c>
      <c r="E594" s="587" t="str">
        <f>" - "&amp;'Giá Máy'!E14</f>
        <v xml:space="preserve"> - Máy đào 1,25m3</v>
      </c>
      <c r="F594" s="585" t="str">
        <f>'Giá Máy'!F14</f>
        <v>ca</v>
      </c>
      <c r="G594" s="588">
        <f>PTVT!G285</f>
        <v>4.2399999999999998E-3</v>
      </c>
      <c r="H594" s="589">
        <f>'Giá Máy'!O14</f>
        <v>3496941.8057142859</v>
      </c>
      <c r="I594" s="603">
        <f>'5.Tiên lượng'!X82</f>
        <v>1</v>
      </c>
      <c r="J594" s="589">
        <f t="shared" ref="J594:J595" si="38">PRODUCT(G594,H594,I594)</f>
        <v>14827.033256228571</v>
      </c>
    </row>
    <row r="595" spans="1:10">
      <c r="A595" s="584"/>
      <c r="B595" s="585"/>
      <c r="C595" s="586" t="s">
        <v>590</v>
      </c>
      <c r="D595" s="133" t="s">
        <v>600</v>
      </c>
      <c r="E595" s="587" t="str">
        <f>" - "&amp;'Giá Máy'!E29</f>
        <v xml:space="preserve"> - Máy ủi 110CV</v>
      </c>
      <c r="F595" s="585" t="str">
        <f>'Giá Máy'!F29</f>
        <v>ca</v>
      </c>
      <c r="G595" s="588">
        <f>PTVT!G286</f>
        <v>5.8E-4</v>
      </c>
      <c r="H595" s="589">
        <f>'Giá Máy'!O29</f>
        <v>1819307.232857143</v>
      </c>
      <c r="I595" s="603">
        <f>'5.Tiên lượng'!X82</f>
        <v>1</v>
      </c>
      <c r="J595" s="589">
        <f t="shared" si="38"/>
        <v>1055.198195057143</v>
      </c>
    </row>
    <row r="596" spans="1:10">
      <c r="A596" s="584"/>
      <c r="B596" s="585"/>
      <c r="C596" s="586" t="s">
        <v>590</v>
      </c>
      <c r="D596" s="133" t="s">
        <v>590</v>
      </c>
      <c r="E596" s="587" t="s">
        <v>269</v>
      </c>
      <c r="F596" s="585" t="s">
        <v>270</v>
      </c>
      <c r="G596" s="590"/>
      <c r="H596" s="589"/>
      <c r="I596" s="603"/>
      <c r="J596" s="589">
        <f>J590+J591+J593</f>
        <v>26878.757251285715</v>
      </c>
    </row>
    <row r="597" spans="1:10">
      <c r="A597" s="584"/>
      <c r="B597" s="585"/>
      <c r="C597" s="586" t="s">
        <v>590</v>
      </c>
      <c r="D597" s="133" t="s">
        <v>590</v>
      </c>
      <c r="E597" s="587" t="s">
        <v>273</v>
      </c>
      <c r="F597" s="585" t="s">
        <v>274</v>
      </c>
      <c r="G597" s="591">
        <f>'Thông tin'!E67</f>
        <v>6.2E-2</v>
      </c>
      <c r="H597" s="589"/>
      <c r="I597" s="603"/>
      <c r="J597" s="589">
        <f>(J596)*G597</f>
        <v>1666.4829495797144</v>
      </c>
    </row>
    <row r="598" spans="1:10">
      <c r="A598" s="584"/>
      <c r="B598" s="585"/>
      <c r="C598" s="586" t="s">
        <v>590</v>
      </c>
      <c r="D598" s="133" t="s">
        <v>590</v>
      </c>
      <c r="E598" s="587" t="s">
        <v>276</v>
      </c>
      <c r="F598" s="585" t="s">
        <v>277</v>
      </c>
      <c r="G598" s="591">
        <f>'Thông tin'!E60</f>
        <v>2.2000000000000002E-2</v>
      </c>
      <c r="H598" s="589"/>
      <c r="I598" s="603"/>
      <c r="J598" s="589">
        <f>(J596)*G598</f>
        <v>591.33265952828583</v>
      </c>
    </row>
    <row r="599" spans="1:10" ht="27.6">
      <c r="A599" s="584"/>
      <c r="B599" s="585"/>
      <c r="C599" s="586" t="s">
        <v>590</v>
      </c>
      <c r="D599" s="133" t="s">
        <v>590</v>
      </c>
      <c r="E599" s="587" t="s">
        <v>279</v>
      </c>
      <c r="F599" s="585" t="s">
        <v>142</v>
      </c>
      <c r="G599" s="591">
        <f>'Thông tin'!E65</f>
        <v>0.02</v>
      </c>
      <c r="H599" s="589"/>
      <c r="I599" s="603"/>
      <c r="J599" s="589">
        <f>(J596)*G599</f>
        <v>537.57514502571428</v>
      </c>
    </row>
    <row r="600" spans="1:10">
      <c r="A600" s="584"/>
      <c r="B600" s="585"/>
      <c r="C600" s="586" t="s">
        <v>590</v>
      </c>
      <c r="D600" s="133" t="s">
        <v>590</v>
      </c>
      <c r="E600" s="587" t="s">
        <v>281</v>
      </c>
      <c r="F600" s="585" t="s">
        <v>282</v>
      </c>
      <c r="G600" s="590"/>
      <c r="H600" s="589"/>
      <c r="I600" s="603"/>
      <c r="J600" s="589">
        <f>J597+J598+J599</f>
        <v>2795.3907541337144</v>
      </c>
    </row>
    <row r="601" spans="1:10">
      <c r="A601" s="584"/>
      <c r="B601" s="585"/>
      <c r="C601" s="586" t="s">
        <v>590</v>
      </c>
      <c r="D601" s="133" t="s">
        <v>590</v>
      </c>
      <c r="E601" s="587" t="s">
        <v>284</v>
      </c>
      <c r="F601" s="585" t="s">
        <v>285</v>
      </c>
      <c r="G601" s="591">
        <f>'Thông tin'!E63</f>
        <v>0.06</v>
      </c>
      <c r="H601" s="589"/>
      <c r="I601" s="603"/>
      <c r="J601" s="589">
        <f>(J596+J600)*G601</f>
        <v>1780.4488803251656</v>
      </c>
    </row>
    <row r="602" spans="1:10">
      <c r="A602" s="584"/>
      <c r="B602" s="585"/>
      <c r="C602" s="586" t="s">
        <v>590</v>
      </c>
      <c r="D602" s="133" t="s">
        <v>590</v>
      </c>
      <c r="E602" s="592" t="s">
        <v>287</v>
      </c>
      <c r="F602" s="593" t="s">
        <v>288</v>
      </c>
      <c r="G602" s="590"/>
      <c r="H602" s="589"/>
      <c r="I602" s="603"/>
      <c r="J602" s="604">
        <f>J596+J600+J601</f>
        <v>31454.596885744595</v>
      </c>
    </row>
    <row r="603" spans="1:10">
      <c r="A603" s="584"/>
      <c r="B603" s="585"/>
      <c r="C603" s="586" t="s">
        <v>590</v>
      </c>
      <c r="D603" s="133" t="s">
        <v>590</v>
      </c>
      <c r="E603" s="587" t="s">
        <v>290</v>
      </c>
      <c r="F603" s="585" t="s">
        <v>291</v>
      </c>
      <c r="G603" s="591">
        <f>'Thông tin'!E61</f>
        <v>0.1</v>
      </c>
      <c r="H603" s="589"/>
      <c r="I603" s="603"/>
      <c r="J603" s="589">
        <f>(J602)*G603</f>
        <v>3145.4596885744595</v>
      </c>
    </row>
    <row r="604" spans="1:10">
      <c r="A604" s="594"/>
      <c r="B604" s="595"/>
      <c r="C604" s="596" t="s">
        <v>590</v>
      </c>
      <c r="D604" s="137" t="s">
        <v>590</v>
      </c>
      <c r="E604" s="597" t="s">
        <v>293</v>
      </c>
      <c r="F604" s="598" t="s">
        <v>19</v>
      </c>
      <c r="G604" s="599"/>
      <c r="H604" s="600"/>
      <c r="I604" s="605"/>
      <c r="J604" s="606">
        <f>J602+J603</f>
        <v>34600.056574319053</v>
      </c>
    </row>
    <row r="605" spans="1:10">
      <c r="A605" s="578"/>
      <c r="B605" s="579">
        <v>34</v>
      </c>
      <c r="C605" s="578" t="str">
        <f>'5.Tiên lượng'!C85</f>
        <v>AB.31132(VD)</v>
      </c>
      <c r="D605" s="578" t="str">
        <f>'5.Tiên lượng'!C85</f>
        <v>AB.31132(VD)</v>
      </c>
      <c r="E605" s="580" t="str">
        <f>'5.Tiên lượng'!D85</f>
        <v>Đào rãnh bằng máy đào 1,25m3 - Cấp đất II</v>
      </c>
      <c r="F605" s="579" t="str">
        <f>'5.Tiên lượng'!E85</f>
        <v>100m3</v>
      </c>
      <c r="G605" s="581"/>
      <c r="H605" s="582"/>
      <c r="I605" s="602"/>
      <c r="J605" s="582"/>
    </row>
    <row r="606" spans="1:10">
      <c r="A606" s="126"/>
      <c r="B606" s="127"/>
      <c r="C606" s="128" t="s">
        <v>590</v>
      </c>
      <c r="D606" s="128" t="s">
        <v>590</v>
      </c>
      <c r="E606" s="583" t="s">
        <v>262</v>
      </c>
      <c r="F606" s="127" t="s">
        <v>263</v>
      </c>
      <c r="G606" s="130"/>
      <c r="H606" s="131"/>
      <c r="I606" s="143"/>
      <c r="J606" s="131">
        <v>0</v>
      </c>
    </row>
    <row r="607" spans="1:10">
      <c r="A607" s="126"/>
      <c r="B607" s="127"/>
      <c r="C607" s="128" t="s">
        <v>590</v>
      </c>
      <c r="D607" s="128" t="s">
        <v>590</v>
      </c>
      <c r="E607" s="583" t="s">
        <v>265</v>
      </c>
      <c r="F607" s="127" t="s">
        <v>266</v>
      </c>
      <c r="G607" s="130"/>
      <c r="H607" s="131"/>
      <c r="I607" s="143"/>
      <c r="J607" s="131">
        <f>SUM(J608:J608)</f>
        <v>775015.02</v>
      </c>
    </row>
    <row r="608" spans="1:10">
      <c r="A608" s="584"/>
      <c r="B608" s="585"/>
      <c r="C608" s="586" t="s">
        <v>590</v>
      </c>
      <c r="D608" s="133" t="s">
        <v>598</v>
      </c>
      <c r="E608" s="587" t="str">
        <f>" - "&amp;'Giá NC'!E5</f>
        <v xml:space="preserve"> - Nhân công bậc 3,0/7 - Nhóm 1</v>
      </c>
      <c r="F608" s="585" t="str">
        <f>'Giá NC'!F5</f>
        <v>công</v>
      </c>
      <c r="G608" s="588">
        <f>PTVT!G289</f>
        <v>3.39</v>
      </c>
      <c r="H608" s="589">
        <f>'Giá NC'!K5</f>
        <v>228618</v>
      </c>
      <c r="I608" s="603">
        <f>'5.Tiên lượng'!W85</f>
        <v>1</v>
      </c>
      <c r="J608" s="589">
        <f>PRODUCT(G608,H608,I608)</f>
        <v>775015.02</v>
      </c>
    </row>
    <row r="609" spans="1:10">
      <c r="A609" s="126"/>
      <c r="B609" s="127"/>
      <c r="C609" s="128" t="s">
        <v>590</v>
      </c>
      <c r="D609" s="128" t="s">
        <v>590</v>
      </c>
      <c r="E609" s="583" t="s">
        <v>267</v>
      </c>
      <c r="F609" s="127" t="s">
        <v>268</v>
      </c>
      <c r="G609" s="130"/>
      <c r="H609" s="131"/>
      <c r="I609" s="143"/>
      <c r="J609" s="131">
        <f>SUM(J610:J611)</f>
        <v>923192.63670857158</v>
      </c>
    </row>
    <row r="610" spans="1:10">
      <c r="A610" s="584"/>
      <c r="B610" s="585"/>
      <c r="C610" s="586" t="s">
        <v>590</v>
      </c>
      <c r="D610" s="133" t="s">
        <v>599</v>
      </c>
      <c r="E610" s="587" t="str">
        <f>" - "&amp;'Giá Máy'!E14</f>
        <v xml:space="preserve"> - Máy đào 1,25m3</v>
      </c>
      <c r="F610" s="585" t="str">
        <f>'Giá Máy'!F14</f>
        <v>ca</v>
      </c>
      <c r="G610" s="588">
        <f>PTVT!G291</f>
        <v>0.26400000000000001</v>
      </c>
      <c r="H610" s="589">
        <f>'Giá Máy'!O14</f>
        <v>3496941.8057142859</v>
      </c>
      <c r="I610" s="603">
        <f>'5.Tiên lượng'!X85</f>
        <v>1</v>
      </c>
      <c r="J610" s="589">
        <f t="shared" ref="J610" si="39">PRODUCT(G610,H610,I610)</f>
        <v>923192.63670857158</v>
      </c>
    </row>
    <row r="611" spans="1:10" hidden="1">
      <c r="A611" s="584"/>
      <c r="B611" s="585"/>
      <c r="C611" s="586" t="s">
        <v>590</v>
      </c>
      <c r="D611" s="133" t="s">
        <v>600</v>
      </c>
      <c r="E611" s="587"/>
      <c r="F611" s="585"/>
      <c r="G611" s="588"/>
      <c r="H611" s="589"/>
      <c r="I611" s="603"/>
      <c r="J611" s="589"/>
    </row>
    <row r="612" spans="1:10">
      <c r="A612" s="584"/>
      <c r="B612" s="585"/>
      <c r="C612" s="586" t="s">
        <v>590</v>
      </c>
      <c r="D612" s="133" t="s">
        <v>590</v>
      </c>
      <c r="E612" s="587" t="s">
        <v>269</v>
      </c>
      <c r="F612" s="585" t="s">
        <v>270</v>
      </c>
      <c r="G612" s="590"/>
      <c r="H612" s="589"/>
      <c r="I612" s="603"/>
      <c r="J612" s="589">
        <f>J606+J607+J609</f>
        <v>1698207.6567085716</v>
      </c>
    </row>
    <row r="613" spans="1:10">
      <c r="A613" s="584"/>
      <c r="B613" s="585"/>
      <c r="C613" s="586" t="s">
        <v>590</v>
      </c>
      <c r="D613" s="133" t="s">
        <v>590</v>
      </c>
      <c r="E613" s="587" t="s">
        <v>273</v>
      </c>
      <c r="F613" s="585" t="s">
        <v>274</v>
      </c>
      <c r="G613" s="591">
        <f>'Thông tin'!E67</f>
        <v>6.2E-2</v>
      </c>
      <c r="H613" s="589"/>
      <c r="I613" s="603"/>
      <c r="J613" s="589">
        <f>(J612)*G613</f>
        <v>105288.87471593144</v>
      </c>
    </row>
    <row r="614" spans="1:10">
      <c r="A614" s="584"/>
      <c r="B614" s="585"/>
      <c r="C614" s="586" t="s">
        <v>590</v>
      </c>
      <c r="D614" s="133" t="s">
        <v>590</v>
      </c>
      <c r="E614" s="587" t="s">
        <v>276</v>
      </c>
      <c r="F614" s="585" t="s">
        <v>277</v>
      </c>
      <c r="G614" s="591">
        <f>'Thông tin'!E60</f>
        <v>2.2000000000000002E-2</v>
      </c>
      <c r="H614" s="589"/>
      <c r="I614" s="603"/>
      <c r="J614" s="589">
        <f>(J612)*G614</f>
        <v>37360.568447588579</v>
      </c>
    </row>
    <row r="615" spans="1:10" ht="27.6">
      <c r="A615" s="584"/>
      <c r="B615" s="585"/>
      <c r="C615" s="586" t="s">
        <v>590</v>
      </c>
      <c r="D615" s="133" t="s">
        <v>590</v>
      </c>
      <c r="E615" s="587" t="s">
        <v>279</v>
      </c>
      <c r="F615" s="585" t="s">
        <v>142</v>
      </c>
      <c r="G615" s="591">
        <f>'Thông tin'!E65</f>
        <v>0.02</v>
      </c>
      <c r="H615" s="589"/>
      <c r="I615" s="603"/>
      <c r="J615" s="589">
        <f>(J612)*G615</f>
        <v>33964.153134171429</v>
      </c>
    </row>
    <row r="616" spans="1:10">
      <c r="A616" s="584"/>
      <c r="B616" s="585"/>
      <c r="C616" s="586" t="s">
        <v>590</v>
      </c>
      <c r="D616" s="133" t="s">
        <v>590</v>
      </c>
      <c r="E616" s="587" t="s">
        <v>281</v>
      </c>
      <c r="F616" s="585" t="s">
        <v>282</v>
      </c>
      <c r="G616" s="590"/>
      <c r="H616" s="589"/>
      <c r="I616" s="603"/>
      <c r="J616" s="589">
        <f>J613+J614+J615</f>
        <v>176613.59629769146</v>
      </c>
    </row>
    <row r="617" spans="1:10">
      <c r="A617" s="584"/>
      <c r="B617" s="585"/>
      <c r="C617" s="586" t="s">
        <v>590</v>
      </c>
      <c r="D617" s="133" t="s">
        <v>590</v>
      </c>
      <c r="E617" s="587" t="s">
        <v>284</v>
      </c>
      <c r="F617" s="585" t="s">
        <v>285</v>
      </c>
      <c r="G617" s="591">
        <f>'Thông tin'!E63</f>
        <v>0.06</v>
      </c>
      <c r="H617" s="589"/>
      <c r="I617" s="603"/>
      <c r="J617" s="589">
        <f>(J612+J616)*G617</f>
        <v>112489.27518037579</v>
      </c>
    </row>
    <row r="618" spans="1:10">
      <c r="A618" s="584"/>
      <c r="B618" s="585"/>
      <c r="C618" s="586" t="s">
        <v>590</v>
      </c>
      <c r="D618" s="133" t="s">
        <v>590</v>
      </c>
      <c r="E618" s="592" t="s">
        <v>287</v>
      </c>
      <c r="F618" s="593" t="s">
        <v>288</v>
      </c>
      <c r="G618" s="590"/>
      <c r="H618" s="589"/>
      <c r="I618" s="603"/>
      <c r="J618" s="604">
        <f>J612+J616+J617</f>
        <v>1987310.5281866388</v>
      </c>
    </row>
    <row r="619" spans="1:10">
      <c r="A619" s="584"/>
      <c r="B619" s="585"/>
      <c r="C619" s="586" t="s">
        <v>590</v>
      </c>
      <c r="D619" s="133" t="s">
        <v>590</v>
      </c>
      <c r="E619" s="587" t="s">
        <v>290</v>
      </c>
      <c r="F619" s="585" t="s">
        <v>291</v>
      </c>
      <c r="G619" s="591">
        <f>'Thông tin'!E61</f>
        <v>0.1</v>
      </c>
      <c r="H619" s="589"/>
      <c r="I619" s="603"/>
      <c r="J619" s="589">
        <f>(J618)*G619</f>
        <v>198731.05281866388</v>
      </c>
    </row>
    <row r="620" spans="1:10">
      <c r="A620" s="594"/>
      <c r="B620" s="595"/>
      <c r="C620" s="596" t="s">
        <v>590</v>
      </c>
      <c r="D620" s="137" t="s">
        <v>590</v>
      </c>
      <c r="E620" s="597" t="s">
        <v>293</v>
      </c>
      <c r="F620" s="598" t="s">
        <v>19</v>
      </c>
      <c r="G620" s="599"/>
      <c r="H620" s="600"/>
      <c r="I620" s="605"/>
      <c r="J620" s="606">
        <f>J618+J619</f>
        <v>2186041.5810053027</v>
      </c>
    </row>
    <row r="621" spans="1:10">
      <c r="A621" s="578"/>
      <c r="B621" s="579">
        <v>35</v>
      </c>
      <c r="C621" s="578" t="str">
        <f>'5.Tiên lượng'!C87</f>
        <v>AB.31133(VD)</v>
      </c>
      <c r="D621" s="578" t="str">
        <f>'5.Tiên lượng'!C87</f>
        <v>AB.31133(VD)</v>
      </c>
      <c r="E621" s="580" t="str">
        <f>'5.Tiên lượng'!D87</f>
        <v>Đào rãnh bằng máy đào 1,25m3 - Cấp đất III</v>
      </c>
      <c r="F621" s="579" t="str">
        <f>'5.Tiên lượng'!E87</f>
        <v>100m3</v>
      </c>
      <c r="G621" s="581"/>
      <c r="H621" s="582"/>
      <c r="I621" s="602"/>
      <c r="J621" s="582"/>
    </row>
    <row r="622" spans="1:10">
      <c r="A622" s="126"/>
      <c r="B622" s="127"/>
      <c r="C622" s="128" t="s">
        <v>590</v>
      </c>
      <c r="D622" s="128" t="s">
        <v>590</v>
      </c>
      <c r="E622" s="583" t="s">
        <v>262</v>
      </c>
      <c r="F622" s="127" t="s">
        <v>263</v>
      </c>
      <c r="G622" s="130"/>
      <c r="H622" s="131"/>
      <c r="I622" s="143"/>
      <c r="J622" s="131">
        <v>0</v>
      </c>
    </row>
    <row r="623" spans="1:10">
      <c r="A623" s="126"/>
      <c r="B623" s="127"/>
      <c r="C623" s="128" t="s">
        <v>590</v>
      </c>
      <c r="D623" s="128" t="s">
        <v>590</v>
      </c>
      <c r="E623" s="583" t="s">
        <v>265</v>
      </c>
      <c r="F623" s="127" t="s">
        <v>266</v>
      </c>
      <c r="G623" s="130"/>
      <c r="H623" s="131"/>
      <c r="I623" s="143"/>
      <c r="J623" s="131">
        <f>SUM(J624:J624)</f>
        <v>928189.08</v>
      </c>
    </row>
    <row r="624" spans="1:10">
      <c r="A624" s="584"/>
      <c r="B624" s="585"/>
      <c r="C624" s="586" t="s">
        <v>590</v>
      </c>
      <c r="D624" s="133" t="s">
        <v>598</v>
      </c>
      <c r="E624" s="587" t="str">
        <f>" - "&amp;'Giá NC'!E5</f>
        <v xml:space="preserve"> - Nhân công bậc 3,0/7 - Nhóm 1</v>
      </c>
      <c r="F624" s="585" t="str">
        <f>'Giá NC'!F5</f>
        <v>công</v>
      </c>
      <c r="G624" s="588">
        <f>PTVT!G295</f>
        <v>4.0599999999999996</v>
      </c>
      <c r="H624" s="589">
        <f>'Giá NC'!K5</f>
        <v>228618</v>
      </c>
      <c r="I624" s="603">
        <f>'5.Tiên lượng'!W87</f>
        <v>1</v>
      </c>
      <c r="J624" s="589">
        <f>PRODUCT(G624,H624,I624)</f>
        <v>928189.08</v>
      </c>
    </row>
    <row r="625" spans="1:10">
      <c r="A625" s="126"/>
      <c r="B625" s="127"/>
      <c r="C625" s="128" t="s">
        <v>590</v>
      </c>
      <c r="D625" s="128" t="s">
        <v>590</v>
      </c>
      <c r="E625" s="583" t="s">
        <v>267</v>
      </c>
      <c r="F625" s="127" t="s">
        <v>268</v>
      </c>
      <c r="G625" s="130"/>
      <c r="H625" s="131"/>
      <c r="I625" s="143"/>
      <c r="J625" s="131">
        <f>SUM(J626:J627)</f>
        <v>1087548.901577143</v>
      </c>
    </row>
    <row r="626" spans="1:10">
      <c r="A626" s="584"/>
      <c r="B626" s="585"/>
      <c r="C626" s="586" t="s">
        <v>590</v>
      </c>
      <c r="D626" s="133" t="s">
        <v>599</v>
      </c>
      <c r="E626" s="587" t="str">
        <f>" - "&amp;'Giá Máy'!E14</f>
        <v xml:space="preserve"> - Máy đào 1,25m3</v>
      </c>
      <c r="F626" s="585" t="str">
        <f>'Giá Máy'!F14</f>
        <v>ca</v>
      </c>
      <c r="G626" s="588">
        <f>PTVT!G297</f>
        <v>0.311</v>
      </c>
      <c r="H626" s="589">
        <f>'Giá Máy'!O14</f>
        <v>3496941.8057142859</v>
      </c>
      <c r="I626" s="603">
        <f>'5.Tiên lượng'!X87</f>
        <v>1</v>
      </c>
      <c r="J626" s="589">
        <f t="shared" ref="J626" si="40">PRODUCT(G626,H626,I626)</f>
        <v>1087548.901577143</v>
      </c>
    </row>
    <row r="627" spans="1:10" hidden="1">
      <c r="A627" s="584"/>
      <c r="B627" s="585"/>
      <c r="C627" s="586"/>
      <c r="D627" s="133"/>
      <c r="E627" s="587"/>
      <c r="F627" s="585"/>
      <c r="G627" s="588"/>
      <c r="H627" s="589"/>
      <c r="I627" s="603"/>
      <c r="J627" s="589"/>
    </row>
    <row r="628" spans="1:10">
      <c r="A628" s="584"/>
      <c r="B628" s="585"/>
      <c r="C628" s="586" t="s">
        <v>590</v>
      </c>
      <c r="D628" s="133" t="s">
        <v>590</v>
      </c>
      <c r="E628" s="587" t="s">
        <v>269</v>
      </c>
      <c r="F628" s="585" t="s">
        <v>270</v>
      </c>
      <c r="G628" s="590"/>
      <c r="H628" s="589"/>
      <c r="I628" s="603"/>
      <c r="J628" s="589">
        <f>J622+J623+J625</f>
        <v>2015737.9815771431</v>
      </c>
    </row>
    <row r="629" spans="1:10">
      <c r="A629" s="584"/>
      <c r="B629" s="585"/>
      <c r="C629" s="586" t="s">
        <v>590</v>
      </c>
      <c r="D629" s="133" t="s">
        <v>590</v>
      </c>
      <c r="E629" s="587" t="s">
        <v>273</v>
      </c>
      <c r="F629" s="585" t="s">
        <v>274</v>
      </c>
      <c r="G629" s="591">
        <f>'Thông tin'!E67</f>
        <v>6.2E-2</v>
      </c>
      <c r="H629" s="589"/>
      <c r="I629" s="603"/>
      <c r="J629" s="589">
        <f>(J628)*G629</f>
        <v>124975.75485778287</v>
      </c>
    </row>
    <row r="630" spans="1:10">
      <c r="A630" s="584"/>
      <c r="B630" s="585"/>
      <c r="C630" s="586" t="s">
        <v>590</v>
      </c>
      <c r="D630" s="133" t="s">
        <v>590</v>
      </c>
      <c r="E630" s="587" t="s">
        <v>276</v>
      </c>
      <c r="F630" s="585" t="s">
        <v>277</v>
      </c>
      <c r="G630" s="591">
        <f>'Thông tin'!E60</f>
        <v>2.2000000000000002E-2</v>
      </c>
      <c r="H630" s="589"/>
      <c r="I630" s="603"/>
      <c r="J630" s="589">
        <f>(J628)*G630</f>
        <v>44346.235594697151</v>
      </c>
    </row>
    <row r="631" spans="1:10" ht="27.6">
      <c r="A631" s="584"/>
      <c r="B631" s="585"/>
      <c r="C631" s="586" t="s">
        <v>590</v>
      </c>
      <c r="D631" s="133" t="s">
        <v>590</v>
      </c>
      <c r="E631" s="587" t="s">
        <v>279</v>
      </c>
      <c r="F631" s="585" t="s">
        <v>142</v>
      </c>
      <c r="G631" s="591">
        <f>'Thông tin'!E65</f>
        <v>0.02</v>
      </c>
      <c r="H631" s="589"/>
      <c r="I631" s="603"/>
      <c r="J631" s="589">
        <f>(J628)*G631</f>
        <v>40314.75963154286</v>
      </c>
    </row>
    <row r="632" spans="1:10">
      <c r="A632" s="584"/>
      <c r="B632" s="585"/>
      <c r="C632" s="586" t="s">
        <v>590</v>
      </c>
      <c r="D632" s="133" t="s">
        <v>590</v>
      </c>
      <c r="E632" s="587" t="s">
        <v>281</v>
      </c>
      <c r="F632" s="585" t="s">
        <v>282</v>
      </c>
      <c r="G632" s="590"/>
      <c r="H632" s="589"/>
      <c r="I632" s="603"/>
      <c r="J632" s="589">
        <f>J629+J630+J631</f>
        <v>209636.7500840229</v>
      </c>
    </row>
    <row r="633" spans="1:10">
      <c r="A633" s="584"/>
      <c r="B633" s="585"/>
      <c r="C633" s="586" t="s">
        <v>590</v>
      </c>
      <c r="D633" s="133" t="s">
        <v>590</v>
      </c>
      <c r="E633" s="587" t="s">
        <v>284</v>
      </c>
      <c r="F633" s="585" t="s">
        <v>285</v>
      </c>
      <c r="G633" s="591">
        <f>'Thông tin'!E63</f>
        <v>0.06</v>
      </c>
      <c r="H633" s="589"/>
      <c r="I633" s="603"/>
      <c r="J633" s="589">
        <f>(J628+J632)*G633</f>
        <v>133522.48389966995</v>
      </c>
    </row>
    <row r="634" spans="1:10">
      <c r="A634" s="584"/>
      <c r="B634" s="585"/>
      <c r="C634" s="586" t="s">
        <v>590</v>
      </c>
      <c r="D634" s="133" t="s">
        <v>590</v>
      </c>
      <c r="E634" s="592" t="s">
        <v>287</v>
      </c>
      <c r="F634" s="593" t="s">
        <v>288</v>
      </c>
      <c r="G634" s="590"/>
      <c r="H634" s="589"/>
      <c r="I634" s="603"/>
      <c r="J634" s="604">
        <f>J628+J632+J633</f>
        <v>2358897.2155608358</v>
      </c>
    </row>
    <row r="635" spans="1:10">
      <c r="A635" s="584"/>
      <c r="B635" s="585"/>
      <c r="C635" s="586" t="s">
        <v>590</v>
      </c>
      <c r="D635" s="133" t="s">
        <v>590</v>
      </c>
      <c r="E635" s="587" t="s">
        <v>290</v>
      </c>
      <c r="F635" s="585" t="s">
        <v>291</v>
      </c>
      <c r="G635" s="591">
        <f>'Thông tin'!E61</f>
        <v>0.1</v>
      </c>
      <c r="H635" s="589"/>
      <c r="I635" s="603"/>
      <c r="J635" s="589">
        <f>(J634)*G635</f>
        <v>235889.72155608359</v>
      </c>
    </row>
    <row r="636" spans="1:10">
      <c r="A636" s="594"/>
      <c r="B636" s="595"/>
      <c r="C636" s="596" t="s">
        <v>590</v>
      </c>
      <c r="D636" s="137" t="s">
        <v>590</v>
      </c>
      <c r="E636" s="597" t="s">
        <v>293</v>
      </c>
      <c r="F636" s="598" t="s">
        <v>19</v>
      </c>
      <c r="G636" s="599"/>
      <c r="H636" s="600"/>
      <c r="I636" s="605"/>
      <c r="J636" s="606">
        <f>J634+J635</f>
        <v>2594786.9371169196</v>
      </c>
    </row>
    <row r="637" spans="1:10">
      <c r="A637" s="578"/>
      <c r="B637" s="579">
        <v>36</v>
      </c>
      <c r="C637" s="578" t="str">
        <f>'5.Tiên lượng'!C89</f>
        <v>AB.31134(VD)</v>
      </c>
      <c r="D637" s="578" t="str">
        <f>'5.Tiên lượng'!C89</f>
        <v>AB.31134(VD)</v>
      </c>
      <c r="E637" s="580" t="str">
        <f>'5.Tiên lượng'!D89</f>
        <v>Đào rãnh bằng máy đào 1,25m3 - Cấp đất IV</v>
      </c>
      <c r="F637" s="579" t="str">
        <f>'5.Tiên lượng'!E89</f>
        <v>100m3</v>
      </c>
      <c r="G637" s="581"/>
      <c r="H637" s="582"/>
      <c r="I637" s="602"/>
      <c r="J637" s="582"/>
    </row>
    <row r="638" spans="1:10">
      <c r="A638" s="126"/>
      <c r="B638" s="127"/>
      <c r="C638" s="128" t="s">
        <v>590</v>
      </c>
      <c r="D638" s="128" t="s">
        <v>590</v>
      </c>
      <c r="E638" s="583" t="s">
        <v>262</v>
      </c>
      <c r="F638" s="127" t="s">
        <v>263</v>
      </c>
      <c r="G638" s="130"/>
      <c r="H638" s="131"/>
      <c r="I638" s="143"/>
      <c r="J638" s="131">
        <v>0</v>
      </c>
    </row>
    <row r="639" spans="1:10">
      <c r="A639" s="126"/>
      <c r="B639" s="127"/>
      <c r="C639" s="128" t="s">
        <v>590</v>
      </c>
      <c r="D639" s="128" t="s">
        <v>590</v>
      </c>
      <c r="E639" s="583" t="s">
        <v>265</v>
      </c>
      <c r="F639" s="127" t="s">
        <v>266</v>
      </c>
      <c r="G639" s="130"/>
      <c r="H639" s="131"/>
      <c r="I639" s="143"/>
      <c r="J639" s="131">
        <f>SUM(J640:J640)</f>
        <v>1099652.5799999998</v>
      </c>
    </row>
    <row r="640" spans="1:10">
      <c r="A640" s="584"/>
      <c r="B640" s="585"/>
      <c r="C640" s="586" t="s">
        <v>590</v>
      </c>
      <c r="D640" s="133" t="s">
        <v>598</v>
      </c>
      <c r="E640" s="587" t="str">
        <f>" - "&amp;'Giá NC'!E5</f>
        <v xml:space="preserve"> - Nhân công bậc 3,0/7 - Nhóm 1</v>
      </c>
      <c r="F640" s="585" t="str">
        <f>'Giá NC'!F5</f>
        <v>công</v>
      </c>
      <c r="G640" s="588">
        <f>PTVT!G301</f>
        <v>4.8099999999999996</v>
      </c>
      <c r="H640" s="589">
        <f>'Giá NC'!K5</f>
        <v>228618</v>
      </c>
      <c r="I640" s="603">
        <f>'5.Tiên lượng'!W89</f>
        <v>1</v>
      </c>
      <c r="J640" s="589">
        <f>PRODUCT(G640,H640,I640)</f>
        <v>1099652.5799999998</v>
      </c>
    </row>
    <row r="641" spans="1:10">
      <c r="A641" s="126"/>
      <c r="B641" s="127"/>
      <c r="C641" s="128" t="s">
        <v>590</v>
      </c>
      <c r="D641" s="128" t="s">
        <v>590</v>
      </c>
      <c r="E641" s="583" t="s">
        <v>267</v>
      </c>
      <c r="F641" s="127" t="s">
        <v>268</v>
      </c>
      <c r="G641" s="130"/>
      <c r="H641" s="131"/>
      <c r="I641" s="143"/>
      <c r="J641" s="131">
        <f>SUM(J642:J643)</f>
        <v>1482703.3256228571</v>
      </c>
    </row>
    <row r="642" spans="1:10">
      <c r="A642" s="584"/>
      <c r="B642" s="585"/>
      <c r="C642" s="586" t="s">
        <v>590</v>
      </c>
      <c r="D642" s="133" t="s">
        <v>599</v>
      </c>
      <c r="E642" s="587" t="str">
        <f>" - "&amp;'Giá Máy'!E14</f>
        <v xml:space="preserve"> - Máy đào 1,25m3</v>
      </c>
      <c r="F642" s="585" t="str">
        <f>'Giá Máy'!F14</f>
        <v>ca</v>
      </c>
      <c r="G642" s="588">
        <f>PTVT!G303</f>
        <v>0.42399999999999999</v>
      </c>
      <c r="H642" s="589">
        <f>'Giá Máy'!O14</f>
        <v>3496941.8057142859</v>
      </c>
      <c r="I642" s="603">
        <f>'5.Tiên lượng'!X89</f>
        <v>1</v>
      </c>
      <c r="J642" s="589">
        <f t="shared" ref="J642" si="41">PRODUCT(G642,H642,I642)</f>
        <v>1482703.3256228571</v>
      </c>
    </row>
    <row r="643" spans="1:10" hidden="1">
      <c r="A643" s="584"/>
      <c r="B643" s="585"/>
      <c r="C643" s="586" t="s">
        <v>590</v>
      </c>
      <c r="D643" s="133" t="s">
        <v>600</v>
      </c>
      <c r="E643" s="587"/>
      <c r="F643" s="585"/>
      <c r="G643" s="588"/>
      <c r="H643" s="589"/>
      <c r="I643" s="603"/>
      <c r="J643" s="589"/>
    </row>
    <row r="644" spans="1:10">
      <c r="A644" s="584"/>
      <c r="B644" s="585"/>
      <c r="C644" s="586" t="s">
        <v>590</v>
      </c>
      <c r="D644" s="133" t="s">
        <v>590</v>
      </c>
      <c r="E644" s="587" t="s">
        <v>269</v>
      </c>
      <c r="F644" s="585" t="s">
        <v>270</v>
      </c>
      <c r="G644" s="590"/>
      <c r="H644" s="589"/>
      <c r="I644" s="603"/>
      <c r="J644" s="589">
        <f>J638+J639+J641</f>
        <v>2582355.9056228567</v>
      </c>
    </row>
    <row r="645" spans="1:10">
      <c r="A645" s="584"/>
      <c r="B645" s="585"/>
      <c r="C645" s="586" t="s">
        <v>590</v>
      </c>
      <c r="D645" s="133" t="s">
        <v>590</v>
      </c>
      <c r="E645" s="587" t="s">
        <v>273</v>
      </c>
      <c r="F645" s="585" t="s">
        <v>274</v>
      </c>
      <c r="G645" s="591">
        <f>'Thông tin'!E67</f>
        <v>6.2E-2</v>
      </c>
      <c r="H645" s="589"/>
      <c r="I645" s="603"/>
      <c r="J645" s="589">
        <f>(J644)*G645</f>
        <v>160106.0661486171</v>
      </c>
    </row>
    <row r="646" spans="1:10">
      <c r="A646" s="584"/>
      <c r="B646" s="585"/>
      <c r="C646" s="586" t="s">
        <v>590</v>
      </c>
      <c r="D646" s="133" t="s">
        <v>590</v>
      </c>
      <c r="E646" s="587" t="s">
        <v>276</v>
      </c>
      <c r="F646" s="585" t="s">
        <v>277</v>
      </c>
      <c r="G646" s="591">
        <f>'Thông tin'!E60</f>
        <v>2.2000000000000002E-2</v>
      </c>
      <c r="H646" s="589"/>
      <c r="I646" s="603"/>
      <c r="J646" s="589">
        <f>(J644)*G646</f>
        <v>56811.829923702855</v>
      </c>
    </row>
    <row r="647" spans="1:10" ht="27.6">
      <c r="A647" s="584"/>
      <c r="B647" s="585"/>
      <c r="C647" s="586" t="s">
        <v>590</v>
      </c>
      <c r="D647" s="133" t="s">
        <v>590</v>
      </c>
      <c r="E647" s="587" t="s">
        <v>279</v>
      </c>
      <c r="F647" s="585" t="s">
        <v>142</v>
      </c>
      <c r="G647" s="591">
        <f>'Thông tin'!E65</f>
        <v>0.02</v>
      </c>
      <c r="H647" s="589"/>
      <c r="I647" s="603"/>
      <c r="J647" s="589">
        <f>(J644)*G647</f>
        <v>51647.118112457138</v>
      </c>
    </row>
    <row r="648" spans="1:10">
      <c r="A648" s="584"/>
      <c r="B648" s="585"/>
      <c r="C648" s="586" t="s">
        <v>590</v>
      </c>
      <c r="D648" s="133" t="s">
        <v>590</v>
      </c>
      <c r="E648" s="587" t="s">
        <v>281</v>
      </c>
      <c r="F648" s="585" t="s">
        <v>282</v>
      </c>
      <c r="G648" s="590"/>
      <c r="H648" s="589"/>
      <c r="I648" s="603"/>
      <c r="J648" s="589">
        <f>J645+J646+J647</f>
        <v>268565.0141847771</v>
      </c>
    </row>
    <row r="649" spans="1:10">
      <c r="A649" s="584"/>
      <c r="B649" s="585"/>
      <c r="C649" s="586" t="s">
        <v>590</v>
      </c>
      <c r="D649" s="133" t="s">
        <v>590</v>
      </c>
      <c r="E649" s="587" t="s">
        <v>284</v>
      </c>
      <c r="F649" s="585" t="s">
        <v>285</v>
      </c>
      <c r="G649" s="591">
        <f>'Thông tin'!E63</f>
        <v>0.06</v>
      </c>
      <c r="H649" s="589"/>
      <c r="I649" s="603"/>
      <c r="J649" s="589">
        <f>(J644+J648)*G649</f>
        <v>171055.25518845802</v>
      </c>
    </row>
    <row r="650" spans="1:10">
      <c r="A650" s="584"/>
      <c r="B650" s="585"/>
      <c r="C650" s="586" t="s">
        <v>590</v>
      </c>
      <c r="D650" s="133" t="s">
        <v>590</v>
      </c>
      <c r="E650" s="592" t="s">
        <v>287</v>
      </c>
      <c r="F650" s="593" t="s">
        <v>288</v>
      </c>
      <c r="G650" s="590"/>
      <c r="H650" s="589"/>
      <c r="I650" s="603"/>
      <c r="J650" s="604">
        <f>J644+J648+J649</f>
        <v>3021976.174996092</v>
      </c>
    </row>
    <row r="651" spans="1:10">
      <c r="A651" s="584"/>
      <c r="B651" s="585"/>
      <c r="C651" s="586" t="s">
        <v>590</v>
      </c>
      <c r="D651" s="133" t="s">
        <v>590</v>
      </c>
      <c r="E651" s="587" t="s">
        <v>290</v>
      </c>
      <c r="F651" s="585" t="s">
        <v>291</v>
      </c>
      <c r="G651" s="591">
        <f>'Thông tin'!E61</f>
        <v>0.1</v>
      </c>
      <c r="H651" s="589"/>
      <c r="I651" s="603"/>
      <c r="J651" s="589">
        <f>(J650)*G651</f>
        <v>302197.61749960919</v>
      </c>
    </row>
    <row r="652" spans="1:10">
      <c r="A652" s="594"/>
      <c r="B652" s="595"/>
      <c r="C652" s="596" t="s">
        <v>590</v>
      </c>
      <c r="D652" s="137" t="s">
        <v>590</v>
      </c>
      <c r="E652" s="597" t="s">
        <v>293</v>
      </c>
      <c r="F652" s="598" t="s">
        <v>19</v>
      </c>
      <c r="G652" s="599"/>
      <c r="H652" s="600"/>
      <c r="I652" s="605"/>
      <c r="J652" s="606">
        <f>J650+J651</f>
        <v>3324173.792495701</v>
      </c>
    </row>
    <row r="653" spans="1:10">
      <c r="A653" s="578"/>
      <c r="B653" s="579">
        <v>37</v>
      </c>
      <c r="C653" s="578" t="str">
        <f>'5.Tiên lượng'!C92</f>
        <v>AB.31132(VD)</v>
      </c>
      <c r="D653" s="578" t="str">
        <f>'5.Tiên lượng'!C92</f>
        <v>AB.31132(VD)</v>
      </c>
      <c r="E653" s="580" t="str">
        <f>'5.Tiên lượng'!D92</f>
        <v>Đào cấp bằng máy đào 1,25m3 - Cấp đất II</v>
      </c>
      <c r="F653" s="579" t="str">
        <f>'5.Tiên lượng'!E92</f>
        <v>100m3</v>
      </c>
      <c r="G653" s="581"/>
      <c r="H653" s="582"/>
      <c r="I653" s="602"/>
      <c r="J653" s="582"/>
    </row>
    <row r="654" spans="1:10">
      <c r="A654" s="126"/>
      <c r="B654" s="127"/>
      <c r="C654" s="128" t="s">
        <v>590</v>
      </c>
      <c r="D654" s="128" t="s">
        <v>590</v>
      </c>
      <c r="E654" s="583" t="s">
        <v>262</v>
      </c>
      <c r="F654" s="127" t="s">
        <v>263</v>
      </c>
      <c r="G654" s="130"/>
      <c r="H654" s="131"/>
      <c r="I654" s="143"/>
      <c r="J654" s="131">
        <v>0</v>
      </c>
    </row>
    <row r="655" spans="1:10">
      <c r="A655" s="126"/>
      <c r="B655" s="127"/>
      <c r="C655" s="128" t="s">
        <v>590</v>
      </c>
      <c r="D655" s="128" t="s">
        <v>590</v>
      </c>
      <c r="E655" s="583" t="s">
        <v>265</v>
      </c>
      <c r="F655" s="127" t="s">
        <v>266</v>
      </c>
      <c r="G655" s="130"/>
      <c r="H655" s="131"/>
      <c r="I655" s="143"/>
      <c r="J655" s="131">
        <f>SUM(J656:J656)</f>
        <v>775015.02</v>
      </c>
    </row>
    <row r="656" spans="1:10">
      <c r="A656" s="584"/>
      <c r="B656" s="585"/>
      <c r="C656" s="586" t="s">
        <v>590</v>
      </c>
      <c r="D656" s="133" t="s">
        <v>598</v>
      </c>
      <c r="E656" s="587" t="str">
        <f>" - "&amp;'Giá NC'!E5</f>
        <v xml:space="preserve"> - Nhân công bậc 3,0/7 - Nhóm 1</v>
      </c>
      <c r="F656" s="585" t="str">
        <f>'Giá NC'!F5</f>
        <v>công</v>
      </c>
      <c r="G656" s="588">
        <f>PTVT!G307</f>
        <v>3.39</v>
      </c>
      <c r="H656" s="589">
        <f>'Giá NC'!K5</f>
        <v>228618</v>
      </c>
      <c r="I656" s="603">
        <f>'5.Tiên lượng'!W92</f>
        <v>1</v>
      </c>
      <c r="J656" s="589">
        <f>PRODUCT(G656,H656,I656)</f>
        <v>775015.02</v>
      </c>
    </row>
    <row r="657" spans="1:10">
      <c r="A657" s="126"/>
      <c r="B657" s="127"/>
      <c r="C657" s="128" t="s">
        <v>590</v>
      </c>
      <c r="D657" s="128" t="s">
        <v>590</v>
      </c>
      <c r="E657" s="583" t="s">
        <v>267</v>
      </c>
      <c r="F657" s="127" t="s">
        <v>268</v>
      </c>
      <c r="G657" s="130"/>
      <c r="H657" s="131"/>
      <c r="I657" s="143"/>
      <c r="J657" s="131">
        <f>SUM(J658:J659)</f>
        <v>923192.63670857158</v>
      </c>
    </row>
    <row r="658" spans="1:10">
      <c r="A658" s="584"/>
      <c r="B658" s="585"/>
      <c r="C658" s="586" t="s">
        <v>590</v>
      </c>
      <c r="D658" s="133" t="s">
        <v>599</v>
      </c>
      <c r="E658" s="587" t="str">
        <f>" - "&amp;'Giá Máy'!E14</f>
        <v xml:space="preserve"> - Máy đào 1,25m3</v>
      </c>
      <c r="F658" s="585" t="str">
        <f>'Giá Máy'!F14</f>
        <v>ca</v>
      </c>
      <c r="G658" s="588">
        <f>PTVT!G309</f>
        <v>0.26400000000000001</v>
      </c>
      <c r="H658" s="589">
        <f>'Giá Máy'!O14</f>
        <v>3496941.8057142859</v>
      </c>
      <c r="I658" s="603">
        <f>'5.Tiên lượng'!X92</f>
        <v>1</v>
      </c>
      <c r="J658" s="589">
        <f t="shared" ref="J658" si="42">PRODUCT(G658,H658,I658)</f>
        <v>923192.63670857158</v>
      </c>
    </row>
    <row r="659" spans="1:10" hidden="1">
      <c r="A659" s="584"/>
      <c r="B659" s="585"/>
      <c r="C659" s="586"/>
      <c r="D659" s="133"/>
      <c r="E659" s="587"/>
      <c r="F659" s="585"/>
      <c r="G659" s="588"/>
      <c r="H659" s="589"/>
      <c r="I659" s="603"/>
      <c r="J659" s="589"/>
    </row>
    <row r="660" spans="1:10">
      <c r="A660" s="584"/>
      <c r="B660" s="585"/>
      <c r="C660" s="586" t="s">
        <v>590</v>
      </c>
      <c r="D660" s="133" t="s">
        <v>590</v>
      </c>
      <c r="E660" s="587" t="s">
        <v>269</v>
      </c>
      <c r="F660" s="585" t="s">
        <v>270</v>
      </c>
      <c r="G660" s="590"/>
      <c r="H660" s="589"/>
      <c r="I660" s="603"/>
      <c r="J660" s="589">
        <f>J654+J655+J657</f>
        <v>1698207.6567085716</v>
      </c>
    </row>
    <row r="661" spans="1:10">
      <c r="A661" s="584"/>
      <c r="B661" s="585"/>
      <c r="C661" s="586" t="s">
        <v>590</v>
      </c>
      <c r="D661" s="133" t="s">
        <v>590</v>
      </c>
      <c r="E661" s="587" t="s">
        <v>273</v>
      </c>
      <c r="F661" s="585" t="s">
        <v>274</v>
      </c>
      <c r="G661" s="591">
        <f>'Thông tin'!E67</f>
        <v>6.2E-2</v>
      </c>
      <c r="H661" s="589"/>
      <c r="I661" s="603"/>
      <c r="J661" s="589">
        <f>(J660)*G661</f>
        <v>105288.87471593144</v>
      </c>
    </row>
    <row r="662" spans="1:10">
      <c r="A662" s="584"/>
      <c r="B662" s="585"/>
      <c r="C662" s="586" t="s">
        <v>590</v>
      </c>
      <c r="D662" s="133" t="s">
        <v>590</v>
      </c>
      <c r="E662" s="587" t="s">
        <v>276</v>
      </c>
      <c r="F662" s="585" t="s">
        <v>277</v>
      </c>
      <c r="G662" s="591">
        <f>'Thông tin'!E60</f>
        <v>2.2000000000000002E-2</v>
      </c>
      <c r="H662" s="589"/>
      <c r="I662" s="603"/>
      <c r="J662" s="589">
        <f>(J660)*G662</f>
        <v>37360.568447588579</v>
      </c>
    </row>
    <row r="663" spans="1:10" ht="27.6">
      <c r="A663" s="584"/>
      <c r="B663" s="585"/>
      <c r="C663" s="586" t="s">
        <v>590</v>
      </c>
      <c r="D663" s="133" t="s">
        <v>590</v>
      </c>
      <c r="E663" s="587" t="s">
        <v>279</v>
      </c>
      <c r="F663" s="585" t="s">
        <v>142</v>
      </c>
      <c r="G663" s="591">
        <f>'Thông tin'!E65</f>
        <v>0.02</v>
      </c>
      <c r="H663" s="589"/>
      <c r="I663" s="603"/>
      <c r="J663" s="589">
        <f>(J660)*G663</f>
        <v>33964.153134171429</v>
      </c>
    </row>
    <row r="664" spans="1:10">
      <c r="A664" s="584"/>
      <c r="B664" s="585"/>
      <c r="C664" s="586" t="s">
        <v>590</v>
      </c>
      <c r="D664" s="133" t="s">
        <v>590</v>
      </c>
      <c r="E664" s="587" t="s">
        <v>281</v>
      </c>
      <c r="F664" s="585" t="s">
        <v>282</v>
      </c>
      <c r="G664" s="590"/>
      <c r="H664" s="589"/>
      <c r="I664" s="603"/>
      <c r="J664" s="589">
        <f>J661+J662+J663</f>
        <v>176613.59629769146</v>
      </c>
    </row>
    <row r="665" spans="1:10">
      <c r="A665" s="584"/>
      <c r="B665" s="585"/>
      <c r="C665" s="586" t="s">
        <v>590</v>
      </c>
      <c r="D665" s="133" t="s">
        <v>590</v>
      </c>
      <c r="E665" s="587" t="s">
        <v>284</v>
      </c>
      <c r="F665" s="585" t="s">
        <v>285</v>
      </c>
      <c r="G665" s="591">
        <f>'Thông tin'!E63</f>
        <v>0.06</v>
      </c>
      <c r="H665" s="589"/>
      <c r="I665" s="603"/>
      <c r="J665" s="589">
        <f>(J660+J664)*G665</f>
        <v>112489.27518037579</v>
      </c>
    </row>
    <row r="666" spans="1:10">
      <c r="A666" s="584"/>
      <c r="B666" s="585"/>
      <c r="C666" s="586" t="s">
        <v>590</v>
      </c>
      <c r="D666" s="133" t="s">
        <v>590</v>
      </c>
      <c r="E666" s="592" t="s">
        <v>287</v>
      </c>
      <c r="F666" s="593" t="s">
        <v>288</v>
      </c>
      <c r="G666" s="590"/>
      <c r="H666" s="589"/>
      <c r="I666" s="603"/>
      <c r="J666" s="604">
        <f>J660+J664+J665</f>
        <v>1987310.5281866388</v>
      </c>
    </row>
    <row r="667" spans="1:10">
      <c r="A667" s="584"/>
      <c r="B667" s="585"/>
      <c r="C667" s="586" t="s">
        <v>590</v>
      </c>
      <c r="D667" s="133" t="s">
        <v>590</v>
      </c>
      <c r="E667" s="587" t="s">
        <v>290</v>
      </c>
      <c r="F667" s="585" t="s">
        <v>291</v>
      </c>
      <c r="G667" s="591">
        <f>'Thông tin'!E61</f>
        <v>0.1</v>
      </c>
      <c r="H667" s="589"/>
      <c r="I667" s="603"/>
      <c r="J667" s="589">
        <f>(J666)*G667</f>
        <v>198731.05281866388</v>
      </c>
    </row>
    <row r="668" spans="1:10">
      <c r="A668" s="594"/>
      <c r="B668" s="595"/>
      <c r="C668" s="596" t="s">
        <v>590</v>
      </c>
      <c r="D668" s="137" t="s">
        <v>590</v>
      </c>
      <c r="E668" s="597" t="s">
        <v>293</v>
      </c>
      <c r="F668" s="598" t="s">
        <v>19</v>
      </c>
      <c r="G668" s="599"/>
      <c r="H668" s="600"/>
      <c r="I668" s="605"/>
      <c r="J668" s="606">
        <f>J666+J667</f>
        <v>2186041.5810053027</v>
      </c>
    </row>
    <row r="669" spans="1:10" ht="27.6">
      <c r="A669" s="578"/>
      <c r="B669" s="579">
        <v>38</v>
      </c>
      <c r="C669" s="578" t="str">
        <f>'5.Tiên lượng'!C94</f>
        <v>AB.31132</v>
      </c>
      <c r="D669" s="578" t="str">
        <f>'5.Tiên lượng'!C94</f>
        <v>AB.31132</v>
      </c>
      <c r="E669" s="580" t="str">
        <f>'5.Tiên lượng'!D94</f>
        <v>Đào hữu cơ bằng máy đào 1,25m3 - Cấp đất II</v>
      </c>
      <c r="F669" s="579" t="str">
        <f>'5.Tiên lượng'!E94</f>
        <v>100m3</v>
      </c>
      <c r="G669" s="581"/>
      <c r="H669" s="582"/>
      <c r="I669" s="602"/>
      <c r="J669" s="582"/>
    </row>
    <row r="670" spans="1:10">
      <c r="A670" s="126"/>
      <c r="B670" s="127"/>
      <c r="C670" s="128" t="s">
        <v>590</v>
      </c>
      <c r="D670" s="128" t="s">
        <v>590</v>
      </c>
      <c r="E670" s="583" t="s">
        <v>262</v>
      </c>
      <c r="F670" s="127" t="s">
        <v>263</v>
      </c>
      <c r="G670" s="130"/>
      <c r="H670" s="131"/>
      <c r="I670" s="143"/>
      <c r="J670" s="131">
        <v>0</v>
      </c>
    </row>
    <row r="671" spans="1:10">
      <c r="A671" s="126"/>
      <c r="B671" s="127"/>
      <c r="C671" s="128" t="s">
        <v>590</v>
      </c>
      <c r="D671" s="128" t="s">
        <v>590</v>
      </c>
      <c r="E671" s="583" t="s">
        <v>265</v>
      </c>
      <c r="F671" s="127" t="s">
        <v>266</v>
      </c>
      <c r="G671" s="130"/>
      <c r="H671" s="131"/>
      <c r="I671" s="143"/>
      <c r="J671" s="131">
        <f>SUM(J672:J672)</f>
        <v>775015.02</v>
      </c>
    </row>
    <row r="672" spans="1:10">
      <c r="A672" s="584"/>
      <c r="B672" s="585"/>
      <c r="C672" s="586" t="s">
        <v>590</v>
      </c>
      <c r="D672" s="133" t="s">
        <v>598</v>
      </c>
      <c r="E672" s="587" t="str">
        <f>" - "&amp;'Giá NC'!E5</f>
        <v xml:space="preserve"> - Nhân công bậc 3,0/7 - Nhóm 1</v>
      </c>
      <c r="F672" s="585" t="str">
        <f>'Giá NC'!F5</f>
        <v>công</v>
      </c>
      <c r="G672" s="588">
        <f>PTVT!G313</f>
        <v>3.39</v>
      </c>
      <c r="H672" s="589">
        <f>'Giá NC'!K5</f>
        <v>228618</v>
      </c>
      <c r="I672" s="603">
        <f>'5.Tiên lượng'!W94</f>
        <v>1</v>
      </c>
      <c r="J672" s="589">
        <f>PRODUCT(G672,H672,I672)</f>
        <v>775015.02</v>
      </c>
    </row>
    <row r="673" spans="1:10">
      <c r="A673" s="126"/>
      <c r="B673" s="127"/>
      <c r="C673" s="128" t="s">
        <v>590</v>
      </c>
      <c r="D673" s="128" t="s">
        <v>590</v>
      </c>
      <c r="E673" s="583" t="s">
        <v>267</v>
      </c>
      <c r="F673" s="127" t="s">
        <v>268</v>
      </c>
      <c r="G673" s="130"/>
      <c r="H673" s="131"/>
      <c r="I673" s="143"/>
      <c r="J673" s="131">
        <f>SUM(J674:J675)</f>
        <v>986868.38985857158</v>
      </c>
    </row>
    <row r="674" spans="1:10">
      <c r="A674" s="584"/>
      <c r="B674" s="585"/>
      <c r="C674" s="586" t="s">
        <v>590</v>
      </c>
      <c r="D674" s="133" t="s">
        <v>599</v>
      </c>
      <c r="E674" s="587" t="str">
        <f>" - "&amp;'Giá Máy'!E14</f>
        <v xml:space="preserve"> - Máy đào 1,25m3</v>
      </c>
      <c r="F674" s="585" t="str">
        <f>'Giá Máy'!F14</f>
        <v>ca</v>
      </c>
      <c r="G674" s="588">
        <f>PTVT!G315</f>
        <v>0.26400000000000001</v>
      </c>
      <c r="H674" s="589">
        <f>'Giá Máy'!O14</f>
        <v>3496941.8057142859</v>
      </c>
      <c r="I674" s="603">
        <f>'5.Tiên lượng'!X94</f>
        <v>1</v>
      </c>
      <c r="J674" s="589">
        <f t="shared" ref="J674:J675" si="43">PRODUCT(G674,H674,I674)</f>
        <v>923192.63670857158</v>
      </c>
    </row>
    <row r="675" spans="1:10">
      <c r="A675" s="584"/>
      <c r="B675" s="585"/>
      <c r="C675" s="586" t="s">
        <v>590</v>
      </c>
      <c r="D675" s="133" t="s">
        <v>600</v>
      </c>
      <c r="E675" s="587" t="str">
        <f>" - "&amp;'Giá Máy'!E29</f>
        <v xml:space="preserve"> - Máy ủi 110CV</v>
      </c>
      <c r="F675" s="585" t="str">
        <f>'Giá Máy'!F29</f>
        <v>ca</v>
      </c>
      <c r="G675" s="588">
        <f>PTVT!G316</f>
        <v>3.5000000000000003E-2</v>
      </c>
      <c r="H675" s="589">
        <f>'Giá Máy'!O29</f>
        <v>1819307.232857143</v>
      </c>
      <c r="I675" s="603">
        <f>'5.Tiên lượng'!X94</f>
        <v>1</v>
      </c>
      <c r="J675" s="589">
        <f t="shared" si="43"/>
        <v>63675.753150000011</v>
      </c>
    </row>
    <row r="676" spans="1:10">
      <c r="A676" s="584"/>
      <c r="B676" s="585"/>
      <c r="C676" s="586" t="s">
        <v>590</v>
      </c>
      <c r="D676" s="133" t="s">
        <v>590</v>
      </c>
      <c r="E676" s="587" t="s">
        <v>269</v>
      </c>
      <c r="F676" s="585" t="s">
        <v>270</v>
      </c>
      <c r="G676" s="590"/>
      <c r="H676" s="589"/>
      <c r="I676" s="603"/>
      <c r="J676" s="589">
        <f>J670+J671+J673</f>
        <v>1761883.4098585716</v>
      </c>
    </row>
    <row r="677" spans="1:10">
      <c r="A677" s="584"/>
      <c r="B677" s="585"/>
      <c r="C677" s="586" t="s">
        <v>590</v>
      </c>
      <c r="D677" s="133" t="s">
        <v>590</v>
      </c>
      <c r="E677" s="587" t="s">
        <v>273</v>
      </c>
      <c r="F677" s="585" t="s">
        <v>274</v>
      </c>
      <c r="G677" s="591">
        <f>'Thông tin'!E67</f>
        <v>6.2E-2</v>
      </c>
      <c r="H677" s="589"/>
      <c r="I677" s="603"/>
      <c r="J677" s="589">
        <f>(J676)*G677</f>
        <v>109236.77141123144</v>
      </c>
    </row>
    <row r="678" spans="1:10">
      <c r="A678" s="584"/>
      <c r="B678" s="585"/>
      <c r="C678" s="586" t="s">
        <v>590</v>
      </c>
      <c r="D678" s="133" t="s">
        <v>590</v>
      </c>
      <c r="E678" s="587" t="s">
        <v>276</v>
      </c>
      <c r="F678" s="585" t="s">
        <v>277</v>
      </c>
      <c r="G678" s="591">
        <f>'Thông tin'!E60</f>
        <v>2.2000000000000002E-2</v>
      </c>
      <c r="H678" s="589"/>
      <c r="I678" s="603"/>
      <c r="J678" s="589">
        <f>(J676)*G678</f>
        <v>38761.435016888579</v>
      </c>
    </row>
    <row r="679" spans="1:10" ht="27.6">
      <c r="A679" s="584"/>
      <c r="B679" s="585"/>
      <c r="C679" s="586" t="s">
        <v>590</v>
      </c>
      <c r="D679" s="133" t="s">
        <v>590</v>
      </c>
      <c r="E679" s="587" t="s">
        <v>279</v>
      </c>
      <c r="F679" s="585" t="s">
        <v>142</v>
      </c>
      <c r="G679" s="591">
        <f>'Thông tin'!E65</f>
        <v>0.02</v>
      </c>
      <c r="H679" s="589"/>
      <c r="I679" s="603"/>
      <c r="J679" s="589">
        <f>(J676)*G679</f>
        <v>35237.668197171435</v>
      </c>
    </row>
    <row r="680" spans="1:10">
      <c r="A680" s="584"/>
      <c r="B680" s="585"/>
      <c r="C680" s="586" t="s">
        <v>590</v>
      </c>
      <c r="D680" s="133" t="s">
        <v>590</v>
      </c>
      <c r="E680" s="587" t="s">
        <v>281</v>
      </c>
      <c r="F680" s="585" t="s">
        <v>282</v>
      </c>
      <c r="G680" s="590"/>
      <c r="H680" s="589"/>
      <c r="I680" s="603"/>
      <c r="J680" s="589">
        <f>J677+J678+J679</f>
        <v>183235.87462529147</v>
      </c>
    </row>
    <row r="681" spans="1:10">
      <c r="A681" s="584"/>
      <c r="B681" s="585"/>
      <c r="C681" s="586" t="s">
        <v>590</v>
      </c>
      <c r="D681" s="133" t="s">
        <v>590</v>
      </c>
      <c r="E681" s="587" t="s">
        <v>284</v>
      </c>
      <c r="F681" s="585" t="s">
        <v>285</v>
      </c>
      <c r="G681" s="591">
        <f>'Thông tin'!E63</f>
        <v>0.06</v>
      </c>
      <c r="H681" s="589"/>
      <c r="I681" s="603"/>
      <c r="J681" s="589">
        <f>(J676+J680)*G681</f>
        <v>116707.15706903177</v>
      </c>
    </row>
    <row r="682" spans="1:10">
      <c r="A682" s="584"/>
      <c r="B682" s="585"/>
      <c r="C682" s="586" t="s">
        <v>590</v>
      </c>
      <c r="D682" s="133" t="s">
        <v>590</v>
      </c>
      <c r="E682" s="592" t="s">
        <v>287</v>
      </c>
      <c r="F682" s="593" t="s">
        <v>288</v>
      </c>
      <c r="G682" s="590"/>
      <c r="H682" s="589"/>
      <c r="I682" s="603"/>
      <c r="J682" s="604">
        <f>J676+J680+J681</f>
        <v>2061826.4415528949</v>
      </c>
    </row>
    <row r="683" spans="1:10">
      <c r="A683" s="584"/>
      <c r="B683" s="585"/>
      <c r="C683" s="586" t="s">
        <v>590</v>
      </c>
      <c r="D683" s="133" t="s">
        <v>590</v>
      </c>
      <c r="E683" s="587" t="s">
        <v>290</v>
      </c>
      <c r="F683" s="585" t="s">
        <v>291</v>
      </c>
      <c r="G683" s="591">
        <f>'Thông tin'!E61</f>
        <v>0.1</v>
      </c>
      <c r="H683" s="589"/>
      <c r="I683" s="603"/>
      <c r="J683" s="589">
        <f>(J682)*G683</f>
        <v>206182.64415528951</v>
      </c>
    </row>
    <row r="684" spans="1:10">
      <c r="A684" s="594"/>
      <c r="B684" s="595"/>
      <c r="C684" s="596" t="s">
        <v>590</v>
      </c>
      <c r="D684" s="137" t="s">
        <v>590</v>
      </c>
      <c r="E684" s="597" t="s">
        <v>293</v>
      </c>
      <c r="F684" s="598" t="s">
        <v>19</v>
      </c>
      <c r="G684" s="599"/>
      <c r="H684" s="600"/>
      <c r="I684" s="605"/>
      <c r="J684" s="606">
        <f>J682+J683</f>
        <v>2268009.0857081842</v>
      </c>
    </row>
    <row r="685" spans="1:10">
      <c r="A685" s="572"/>
      <c r="B685" s="573"/>
      <c r="C685" s="574" t="s">
        <v>339</v>
      </c>
      <c r="D685" s="117" t="s">
        <v>339</v>
      </c>
      <c r="E685" s="575" t="s">
        <v>376</v>
      </c>
      <c r="F685" s="573"/>
      <c r="G685" s="576"/>
      <c r="H685" s="577"/>
      <c r="I685" s="601"/>
      <c r="J685" s="577" t="s">
        <v>597</v>
      </c>
    </row>
    <row r="686" spans="1:10" ht="27.6">
      <c r="A686" s="578"/>
      <c r="B686" s="579">
        <v>39</v>
      </c>
      <c r="C686" s="578" t="str">
        <f>'5.Tiên lượng'!C97</f>
        <v>AB.67110</v>
      </c>
      <c r="D686" s="578" t="str">
        <f>'5.Tiên lượng'!C97</f>
        <v>AB.67110</v>
      </c>
      <c r="E686" s="580" t="str">
        <f>'5.Tiên lượng'!D97</f>
        <v>Đắp đá hỗn hợp công trình bằng máy ủi 180CV</v>
      </c>
      <c r="F686" s="579" t="str">
        <f>'5.Tiên lượng'!E97</f>
        <v>100m3</v>
      </c>
      <c r="G686" s="581"/>
      <c r="H686" s="582"/>
      <c r="I686" s="602"/>
      <c r="J686" s="582"/>
    </row>
    <row r="687" spans="1:10">
      <c r="A687" s="126"/>
      <c r="B687" s="127"/>
      <c r="C687" s="128" t="s">
        <v>590</v>
      </c>
      <c r="D687" s="128" t="s">
        <v>590</v>
      </c>
      <c r="E687" s="583" t="s">
        <v>262</v>
      </c>
      <c r="F687" s="127" t="s">
        <v>263</v>
      </c>
      <c r="G687" s="130"/>
      <c r="H687" s="131"/>
      <c r="I687" s="143"/>
      <c r="J687" s="131">
        <v>0</v>
      </c>
    </row>
    <row r="688" spans="1:10">
      <c r="A688" s="126"/>
      <c r="B688" s="127"/>
      <c r="C688" s="128" t="s">
        <v>590</v>
      </c>
      <c r="D688" s="128" t="s">
        <v>590</v>
      </c>
      <c r="E688" s="583" t="s">
        <v>265</v>
      </c>
      <c r="F688" s="127" t="s">
        <v>266</v>
      </c>
      <c r="G688" s="130"/>
      <c r="H688" s="131"/>
      <c r="I688" s="143"/>
      <c r="J688" s="131">
        <f>SUM(J689:J689)</f>
        <v>857317.5</v>
      </c>
    </row>
    <row r="689" spans="1:10">
      <c r="A689" s="584"/>
      <c r="B689" s="585"/>
      <c r="C689" s="586" t="s">
        <v>590</v>
      </c>
      <c r="D689" s="133" t="s">
        <v>598</v>
      </c>
      <c r="E689" s="587" t="str">
        <f>" - "&amp;'Giá NC'!E5</f>
        <v xml:space="preserve"> - Nhân công bậc 3,0/7 - Nhóm 1</v>
      </c>
      <c r="F689" s="585" t="str">
        <f>'Giá NC'!F5</f>
        <v>công</v>
      </c>
      <c r="G689" s="588">
        <f>PTVT!G320</f>
        <v>3.75</v>
      </c>
      <c r="H689" s="589">
        <f>'Giá NC'!K5</f>
        <v>228618</v>
      </c>
      <c r="I689" s="603">
        <f>'5.Tiên lượng'!W97</f>
        <v>1</v>
      </c>
      <c r="J689" s="589">
        <f>PRODUCT(G689,H689,I689)</f>
        <v>857317.5</v>
      </c>
    </row>
    <row r="690" spans="1:10">
      <c r="A690" s="126"/>
      <c r="B690" s="127"/>
      <c r="C690" s="128" t="s">
        <v>590</v>
      </c>
      <c r="D690" s="128" t="s">
        <v>590</v>
      </c>
      <c r="E690" s="583" t="s">
        <v>267</v>
      </c>
      <c r="F690" s="127" t="s">
        <v>268</v>
      </c>
      <c r="G690" s="130"/>
      <c r="H690" s="131"/>
      <c r="I690" s="143"/>
      <c r="J690" s="131">
        <f>SUM(J691:J691)</f>
        <v>3453228.9288000008</v>
      </c>
    </row>
    <row r="691" spans="1:10">
      <c r="A691" s="584"/>
      <c r="B691" s="585"/>
      <c r="C691" s="586" t="s">
        <v>590</v>
      </c>
      <c r="D691" s="133" t="s">
        <v>603</v>
      </c>
      <c r="E691" s="587" t="str">
        <f>" - "&amp;'Giá Máy'!E30</f>
        <v xml:space="preserve"> - Máy ủi 180CV</v>
      </c>
      <c r="F691" s="585" t="str">
        <f>'Giá Máy'!F30</f>
        <v>ca</v>
      </c>
      <c r="G691" s="588">
        <f>PTVT!G322</f>
        <v>1.1200000000000001</v>
      </c>
      <c r="H691" s="589">
        <f>'Giá Máy'!O30</f>
        <v>3083240.1150000002</v>
      </c>
      <c r="I691" s="603">
        <f>'5.Tiên lượng'!X97</f>
        <v>1</v>
      </c>
      <c r="J691" s="589">
        <f>PRODUCT(G691,H691,I691)</f>
        <v>3453228.9288000008</v>
      </c>
    </row>
    <row r="692" spans="1:10">
      <c r="A692" s="584"/>
      <c r="B692" s="585"/>
      <c r="C692" s="586" t="s">
        <v>590</v>
      </c>
      <c r="D692" s="133" t="s">
        <v>590</v>
      </c>
      <c r="E692" s="587" t="s">
        <v>269</v>
      </c>
      <c r="F692" s="585" t="s">
        <v>270</v>
      </c>
      <c r="G692" s="590"/>
      <c r="H692" s="589"/>
      <c r="I692" s="603"/>
      <c r="J692" s="589">
        <f>J687+J688+J690</f>
        <v>4310546.4288000008</v>
      </c>
    </row>
    <row r="693" spans="1:10">
      <c r="A693" s="584"/>
      <c r="B693" s="585"/>
      <c r="C693" s="586" t="s">
        <v>590</v>
      </c>
      <c r="D693" s="133" t="s">
        <v>590</v>
      </c>
      <c r="E693" s="587" t="s">
        <v>273</v>
      </c>
      <c r="F693" s="585" t="s">
        <v>274</v>
      </c>
      <c r="G693" s="591">
        <f>'Thông tin'!E67</f>
        <v>6.2E-2</v>
      </c>
      <c r="H693" s="589"/>
      <c r="I693" s="603"/>
      <c r="J693" s="589">
        <f>(J692)*G693</f>
        <v>267253.87858560006</v>
      </c>
    </row>
    <row r="694" spans="1:10">
      <c r="A694" s="584"/>
      <c r="B694" s="585"/>
      <c r="C694" s="586" t="s">
        <v>590</v>
      </c>
      <c r="D694" s="133" t="s">
        <v>590</v>
      </c>
      <c r="E694" s="587" t="s">
        <v>276</v>
      </c>
      <c r="F694" s="585" t="s">
        <v>277</v>
      </c>
      <c r="G694" s="591">
        <f>'Thông tin'!E60</f>
        <v>2.2000000000000002E-2</v>
      </c>
      <c r="H694" s="589"/>
      <c r="I694" s="603"/>
      <c r="J694" s="589">
        <f>(J692)*G694</f>
        <v>94832.021433600021</v>
      </c>
    </row>
    <row r="695" spans="1:10" ht="27.6">
      <c r="A695" s="584"/>
      <c r="B695" s="585"/>
      <c r="C695" s="586" t="s">
        <v>590</v>
      </c>
      <c r="D695" s="133" t="s">
        <v>590</v>
      </c>
      <c r="E695" s="587" t="s">
        <v>279</v>
      </c>
      <c r="F695" s="585" t="s">
        <v>142</v>
      </c>
      <c r="G695" s="591">
        <f>'Thông tin'!E65</f>
        <v>0.02</v>
      </c>
      <c r="H695" s="589"/>
      <c r="I695" s="603"/>
      <c r="J695" s="589">
        <f>(J692)*G695</f>
        <v>86210.92857600002</v>
      </c>
    </row>
    <row r="696" spans="1:10">
      <c r="A696" s="584"/>
      <c r="B696" s="585"/>
      <c r="C696" s="586" t="s">
        <v>590</v>
      </c>
      <c r="D696" s="133" t="s">
        <v>590</v>
      </c>
      <c r="E696" s="587" t="s">
        <v>281</v>
      </c>
      <c r="F696" s="585" t="s">
        <v>282</v>
      </c>
      <c r="G696" s="590"/>
      <c r="H696" s="589"/>
      <c r="I696" s="603"/>
      <c r="J696" s="589">
        <f>J693+J694+J695</f>
        <v>448296.82859520009</v>
      </c>
    </row>
    <row r="697" spans="1:10">
      <c r="A697" s="584"/>
      <c r="B697" s="585"/>
      <c r="C697" s="586" t="s">
        <v>590</v>
      </c>
      <c r="D697" s="133" t="s">
        <v>590</v>
      </c>
      <c r="E697" s="587" t="s">
        <v>284</v>
      </c>
      <c r="F697" s="585" t="s">
        <v>285</v>
      </c>
      <c r="G697" s="591">
        <f>'Thông tin'!E63</f>
        <v>0.06</v>
      </c>
      <c r="H697" s="589"/>
      <c r="I697" s="603"/>
      <c r="J697" s="589">
        <f>(J692+J696)*G697</f>
        <v>285530.59544371202</v>
      </c>
    </row>
    <row r="698" spans="1:10">
      <c r="A698" s="584"/>
      <c r="B698" s="585"/>
      <c r="C698" s="586" t="s">
        <v>590</v>
      </c>
      <c r="D698" s="133" t="s">
        <v>590</v>
      </c>
      <c r="E698" s="592" t="s">
        <v>287</v>
      </c>
      <c r="F698" s="593" t="s">
        <v>288</v>
      </c>
      <c r="G698" s="590"/>
      <c r="H698" s="589"/>
      <c r="I698" s="603"/>
      <c r="J698" s="604">
        <f>J692+J696+J697</f>
        <v>5044373.852838912</v>
      </c>
    </row>
    <row r="699" spans="1:10">
      <c r="A699" s="584"/>
      <c r="B699" s="585"/>
      <c r="C699" s="586" t="s">
        <v>590</v>
      </c>
      <c r="D699" s="133" t="s">
        <v>590</v>
      </c>
      <c r="E699" s="587" t="s">
        <v>290</v>
      </c>
      <c r="F699" s="585" t="s">
        <v>291</v>
      </c>
      <c r="G699" s="591">
        <f>'Thông tin'!E61</f>
        <v>0.1</v>
      </c>
      <c r="H699" s="589"/>
      <c r="I699" s="603"/>
      <c r="J699" s="589">
        <f>(J698)*G699</f>
        <v>504437.38528389123</v>
      </c>
    </row>
    <row r="700" spans="1:10">
      <c r="A700" s="594"/>
      <c r="B700" s="595"/>
      <c r="C700" s="596" t="s">
        <v>590</v>
      </c>
      <c r="D700" s="137" t="s">
        <v>590</v>
      </c>
      <c r="E700" s="597" t="s">
        <v>293</v>
      </c>
      <c r="F700" s="598" t="s">
        <v>19</v>
      </c>
      <c r="G700" s="599"/>
      <c r="H700" s="600"/>
      <c r="I700" s="605"/>
      <c r="J700" s="606">
        <f>J698+J699</f>
        <v>5548811.2381228032</v>
      </c>
    </row>
    <row r="701" spans="1:10">
      <c r="A701" s="578"/>
      <c r="B701" s="579">
        <v>40</v>
      </c>
      <c r="C701" s="578" t="str">
        <f>'5.Tiên lượng'!C99</f>
        <v>AD.11212</v>
      </c>
      <c r="D701" s="578" t="str">
        <f>'5.Tiên lượng'!C99</f>
        <v>AD.11212</v>
      </c>
      <c r="E701" s="580" t="str">
        <f>'5.Tiên lượng'!D99</f>
        <v xml:space="preserve">Thi công móng cấp phối đá dăm lớp dưới </v>
      </c>
      <c r="F701" s="579" t="str">
        <f>'5.Tiên lượng'!E99</f>
        <v>100m3</v>
      </c>
      <c r="G701" s="581"/>
      <c r="H701" s="582"/>
      <c r="I701" s="602"/>
      <c r="J701" s="582"/>
    </row>
    <row r="702" spans="1:10">
      <c r="A702" s="126"/>
      <c r="B702" s="127"/>
      <c r="C702" s="128" t="s">
        <v>590</v>
      </c>
      <c r="D702" s="128" t="s">
        <v>590</v>
      </c>
      <c r="E702" s="583" t="s">
        <v>262</v>
      </c>
      <c r="F702" s="127" t="s">
        <v>263</v>
      </c>
      <c r="G702" s="130"/>
      <c r="H702" s="131"/>
      <c r="I702" s="143"/>
      <c r="J702" s="131">
        <f>SUM(J703:J703)</f>
        <v>32221379.337286752</v>
      </c>
    </row>
    <row r="703" spans="1:10">
      <c r="A703" s="584"/>
      <c r="B703" s="585"/>
      <c r="C703" s="586" t="s">
        <v>590</v>
      </c>
      <c r="D703" s="133" t="s">
        <v>604</v>
      </c>
      <c r="E703" s="587" t="str">
        <f>" - "&amp;'Giá VL'!E13</f>
        <v xml:space="preserve"> - Cấp phối đá dăm loại 2</v>
      </c>
      <c r="F703" s="585" t="str">
        <f>'Giá VL'!F13</f>
        <v>m3</v>
      </c>
      <c r="G703" s="588">
        <f>PTVT!G325</f>
        <v>134</v>
      </c>
      <c r="H703" s="589">
        <f>'Giá VL'!V13</f>
        <v>240458.05475587127</v>
      </c>
      <c r="I703" s="603">
        <f>'5.Tiên lượng'!V99</f>
        <v>1</v>
      </c>
      <c r="J703" s="589">
        <f>PRODUCT(G703,H703,I703)</f>
        <v>32221379.337286752</v>
      </c>
    </row>
    <row r="704" spans="1:10">
      <c r="A704" s="126"/>
      <c r="B704" s="127"/>
      <c r="C704" s="128" t="s">
        <v>590</v>
      </c>
      <c r="D704" s="128" t="s">
        <v>590</v>
      </c>
      <c r="E704" s="583" t="s">
        <v>265</v>
      </c>
      <c r="F704" s="127" t="s">
        <v>266</v>
      </c>
      <c r="G704" s="130"/>
      <c r="H704" s="131"/>
      <c r="I704" s="143"/>
      <c r="J704" s="131">
        <f>SUM(J705:J705)</f>
        <v>770352.96000000008</v>
      </c>
    </row>
    <row r="705" spans="1:10">
      <c r="A705" s="584"/>
      <c r="B705" s="585"/>
      <c r="C705" s="586" t="s">
        <v>590</v>
      </c>
      <c r="D705" s="133" t="s">
        <v>605</v>
      </c>
      <c r="E705" s="587" t="str">
        <f>" - "&amp;'Giá NC'!E8</f>
        <v xml:space="preserve"> - Nhân công bậc 3,0/7 - Nhóm 2</v>
      </c>
      <c r="F705" s="585" t="str">
        <f>'Giá NC'!F8</f>
        <v>công</v>
      </c>
      <c r="G705" s="588">
        <f>PTVT!G327</f>
        <v>3.12</v>
      </c>
      <c r="H705" s="589">
        <f>'Giá NC'!K8</f>
        <v>246908</v>
      </c>
      <c r="I705" s="603">
        <f>'5.Tiên lượng'!W99</f>
        <v>1</v>
      </c>
      <c r="J705" s="589">
        <f>PRODUCT(G705,H705,I705)</f>
        <v>770352.96000000008</v>
      </c>
    </row>
    <row r="706" spans="1:10">
      <c r="A706" s="126"/>
      <c r="B706" s="127"/>
      <c r="C706" s="128" t="s">
        <v>590</v>
      </c>
      <c r="D706" s="128" t="s">
        <v>590</v>
      </c>
      <c r="E706" s="583" t="s">
        <v>267</v>
      </c>
      <c r="F706" s="127" t="s">
        <v>268</v>
      </c>
      <c r="G706" s="130"/>
      <c r="H706" s="131"/>
      <c r="I706" s="143"/>
      <c r="J706" s="131">
        <f>SUM(J707:J712)</f>
        <v>2369565.459726376</v>
      </c>
    </row>
    <row r="707" spans="1:10">
      <c r="A707" s="584"/>
      <c r="B707" s="585"/>
      <c r="C707" s="586" t="s">
        <v>590</v>
      </c>
      <c r="D707" s="133" t="s">
        <v>606</v>
      </c>
      <c r="E707" s="587" t="str">
        <f>" - "&amp;'Giá Máy'!E24</f>
        <v xml:space="preserve"> - Máy rải cấp phối đá dăm 50 - 60m3/h</v>
      </c>
      <c r="F707" s="585" t="str">
        <f>'Giá Máy'!F24</f>
        <v>ca</v>
      </c>
      <c r="G707" s="588">
        <f>PTVT!G329</f>
        <v>0.21</v>
      </c>
      <c r="H707" s="589">
        <f>'Giá Máy'!O24</f>
        <v>3572483.6555555556</v>
      </c>
      <c r="I707" s="603">
        <f>'5.Tiên lượng'!X99</f>
        <v>1</v>
      </c>
      <c r="J707" s="589">
        <f t="shared" ref="J707:J712" si="44">PRODUCT(G707,H707,I707)</f>
        <v>750221.5676666667</v>
      </c>
    </row>
    <row r="708" spans="1:10">
      <c r="A708" s="584"/>
      <c r="B708" s="585"/>
      <c r="C708" s="586" t="s">
        <v>590</v>
      </c>
      <c r="D708" s="133" t="s">
        <v>607</v>
      </c>
      <c r="E708" s="587" t="str">
        <f>" - "&amp;'Giá Máy'!E19</f>
        <v xml:space="preserve"> - Máy lu rung tự hành 25T</v>
      </c>
      <c r="F708" s="585" t="str">
        <f>'Giá Máy'!F19</f>
        <v>ca</v>
      </c>
      <c r="G708" s="588">
        <f>PTVT!G330</f>
        <v>0.32</v>
      </c>
      <c r="H708" s="589">
        <f>'Giá Máy'!O19</f>
        <v>2794294.0688888887</v>
      </c>
      <c r="I708" s="603">
        <f>'5.Tiên lượng'!X99</f>
        <v>1</v>
      </c>
      <c r="J708" s="589">
        <f t="shared" si="44"/>
        <v>894174.10204444441</v>
      </c>
    </row>
    <row r="709" spans="1:10">
      <c r="A709" s="584"/>
      <c r="B709" s="585"/>
      <c r="C709" s="586" t="s">
        <v>590</v>
      </c>
      <c r="D709" s="133" t="s">
        <v>608</v>
      </c>
      <c r="E709" s="587" t="str">
        <f>" - "&amp;'Giá Máy'!E38</f>
        <v xml:space="preserve"> - Máy lu bánh hơi tự hành 16T</v>
      </c>
      <c r="F709" s="585" t="str">
        <f>'Giá Máy'!F38</f>
        <v>ca</v>
      </c>
      <c r="G709" s="588">
        <f>PTVT!G331</f>
        <v>0.12</v>
      </c>
      <c r="H709" s="589">
        <f>'Giá Máy'!O38</f>
        <v>1553246.5422222223</v>
      </c>
      <c r="I709" s="603">
        <f>'5.Tiên lượng'!X99</f>
        <v>1</v>
      </c>
      <c r="J709" s="589">
        <f t="shared" si="44"/>
        <v>186389.58506666668</v>
      </c>
    </row>
    <row r="710" spans="1:10">
      <c r="A710" s="584"/>
      <c r="B710" s="585"/>
      <c r="C710" s="586" t="s">
        <v>590</v>
      </c>
      <c r="D710" s="133" t="s">
        <v>609</v>
      </c>
      <c r="E710" s="587" t="str">
        <f>" - "&amp;'Giá Máy'!E17</f>
        <v xml:space="preserve"> - Máy lu bánh thép 10T</v>
      </c>
      <c r="F710" s="585" t="str">
        <f>'Giá Máy'!F17</f>
        <v>ca</v>
      </c>
      <c r="G710" s="588">
        <f>PTVT!G332</f>
        <v>0.26</v>
      </c>
      <c r="H710" s="589">
        <f>'Giá Máy'!O17</f>
        <v>1132157.2474074075</v>
      </c>
      <c r="I710" s="603">
        <f>'5.Tiên lượng'!X99</f>
        <v>1</v>
      </c>
      <c r="J710" s="589">
        <f t="shared" si="44"/>
        <v>294360.88432592596</v>
      </c>
    </row>
    <row r="711" spans="1:10">
      <c r="A711" s="584"/>
      <c r="B711" s="585"/>
      <c r="C711" s="586" t="s">
        <v>590</v>
      </c>
      <c r="D711" s="133" t="s">
        <v>610</v>
      </c>
      <c r="E711" s="587" t="str">
        <f>" - "&amp;'Giá Máy'!E33</f>
        <v xml:space="preserve"> - Ô tô tưới nước 5m3</v>
      </c>
      <c r="F711" s="585" t="str">
        <f>'Giá Máy'!F33</f>
        <v>ca</v>
      </c>
      <c r="G711" s="588">
        <f>PTVT!G333</f>
        <v>0.21</v>
      </c>
      <c r="H711" s="589">
        <f>'Giá Máy'!O33</f>
        <v>1107763.9892307692</v>
      </c>
      <c r="I711" s="603">
        <f>'5.Tiên lượng'!X99</f>
        <v>1</v>
      </c>
      <c r="J711" s="589">
        <f t="shared" si="44"/>
        <v>232630.43773846154</v>
      </c>
    </row>
    <row r="712" spans="1:10">
      <c r="A712" s="584"/>
      <c r="B712" s="585"/>
      <c r="C712" s="586" t="s">
        <v>590</v>
      </c>
      <c r="D712" s="133" t="s">
        <v>611</v>
      </c>
      <c r="E712" s="587" t="s">
        <v>612</v>
      </c>
      <c r="F712" s="585" t="s">
        <v>37</v>
      </c>
      <c r="G712" s="588">
        <f>PTVT!G334</f>
        <v>0.5</v>
      </c>
      <c r="H712" s="589">
        <f>IF('5.Tiên lượng'!X99&lt;&gt;0,SUM(J707:J711)/100/'5.Tiên lượng'!X99,0)</f>
        <v>23577.76576842165</v>
      </c>
      <c r="I712" s="603">
        <f>'5.Tiên lượng'!X99</f>
        <v>1</v>
      </c>
      <c r="J712" s="589">
        <f t="shared" si="44"/>
        <v>11788.882884210825</v>
      </c>
    </row>
    <row r="713" spans="1:10">
      <c r="A713" s="584"/>
      <c r="B713" s="585"/>
      <c r="C713" s="586" t="s">
        <v>590</v>
      </c>
      <c r="D713" s="133" t="s">
        <v>590</v>
      </c>
      <c r="E713" s="587" t="s">
        <v>269</v>
      </c>
      <c r="F713" s="585" t="s">
        <v>270</v>
      </c>
      <c r="G713" s="590"/>
      <c r="H713" s="589"/>
      <c r="I713" s="603"/>
      <c r="J713" s="589">
        <f>J702+J704+J706</f>
        <v>35361297.757013127</v>
      </c>
    </row>
    <row r="714" spans="1:10">
      <c r="A714" s="584"/>
      <c r="B714" s="585"/>
      <c r="C714" s="586" t="s">
        <v>590</v>
      </c>
      <c r="D714" s="133" t="s">
        <v>590</v>
      </c>
      <c r="E714" s="587" t="s">
        <v>273</v>
      </c>
      <c r="F714" s="585" t="s">
        <v>274</v>
      </c>
      <c r="G714" s="591">
        <f>'Thông tin'!E67</f>
        <v>6.2E-2</v>
      </c>
      <c r="H714" s="589"/>
      <c r="I714" s="603"/>
      <c r="J714" s="589">
        <f>(J713)*G714</f>
        <v>2192400.4609348141</v>
      </c>
    </row>
    <row r="715" spans="1:10">
      <c r="A715" s="584"/>
      <c r="B715" s="585"/>
      <c r="C715" s="586" t="s">
        <v>590</v>
      </c>
      <c r="D715" s="133" t="s">
        <v>590</v>
      </c>
      <c r="E715" s="587" t="s">
        <v>276</v>
      </c>
      <c r="F715" s="585" t="s">
        <v>277</v>
      </c>
      <c r="G715" s="591">
        <f>'Thông tin'!E60</f>
        <v>2.2000000000000002E-2</v>
      </c>
      <c r="H715" s="589"/>
      <c r="I715" s="603"/>
      <c r="J715" s="589">
        <f>(J713)*G715</f>
        <v>777948.55065428885</v>
      </c>
    </row>
    <row r="716" spans="1:10" ht="27.6">
      <c r="A716" s="584"/>
      <c r="B716" s="585"/>
      <c r="C716" s="586" t="s">
        <v>590</v>
      </c>
      <c r="D716" s="133" t="s">
        <v>590</v>
      </c>
      <c r="E716" s="587" t="s">
        <v>279</v>
      </c>
      <c r="F716" s="585" t="s">
        <v>142</v>
      </c>
      <c r="G716" s="591">
        <f>'Thông tin'!E65</f>
        <v>0.02</v>
      </c>
      <c r="H716" s="589"/>
      <c r="I716" s="603"/>
      <c r="J716" s="589">
        <f>(J713)*G716</f>
        <v>707225.95514026261</v>
      </c>
    </row>
    <row r="717" spans="1:10">
      <c r="A717" s="584"/>
      <c r="B717" s="585"/>
      <c r="C717" s="586" t="s">
        <v>590</v>
      </c>
      <c r="D717" s="133" t="s">
        <v>590</v>
      </c>
      <c r="E717" s="587" t="s">
        <v>281</v>
      </c>
      <c r="F717" s="585" t="s">
        <v>282</v>
      </c>
      <c r="G717" s="590"/>
      <c r="H717" s="589"/>
      <c r="I717" s="603"/>
      <c r="J717" s="589">
        <f>J714+J715+J716</f>
        <v>3677574.9667293653</v>
      </c>
    </row>
    <row r="718" spans="1:10">
      <c r="A718" s="584"/>
      <c r="B718" s="585"/>
      <c r="C718" s="586" t="s">
        <v>590</v>
      </c>
      <c r="D718" s="133" t="s">
        <v>590</v>
      </c>
      <c r="E718" s="587" t="s">
        <v>284</v>
      </c>
      <c r="F718" s="585" t="s">
        <v>285</v>
      </c>
      <c r="G718" s="591">
        <f>'Thông tin'!E63</f>
        <v>0.06</v>
      </c>
      <c r="H718" s="589"/>
      <c r="I718" s="603"/>
      <c r="J718" s="589">
        <f>(J713+J717)*G718</f>
        <v>2342332.3634245493</v>
      </c>
    </row>
    <row r="719" spans="1:10">
      <c r="A719" s="584"/>
      <c r="B719" s="585"/>
      <c r="C719" s="586" t="s">
        <v>590</v>
      </c>
      <c r="D719" s="133" t="s">
        <v>590</v>
      </c>
      <c r="E719" s="592" t="s">
        <v>287</v>
      </c>
      <c r="F719" s="593" t="s">
        <v>288</v>
      </c>
      <c r="G719" s="590"/>
      <c r="H719" s="589"/>
      <c r="I719" s="603"/>
      <c r="J719" s="604">
        <f>J713+J717+J718</f>
        <v>41381205.08716704</v>
      </c>
    </row>
    <row r="720" spans="1:10">
      <c r="A720" s="584"/>
      <c r="B720" s="585"/>
      <c r="C720" s="586" t="s">
        <v>590</v>
      </c>
      <c r="D720" s="133" t="s">
        <v>590</v>
      </c>
      <c r="E720" s="587" t="s">
        <v>290</v>
      </c>
      <c r="F720" s="585" t="s">
        <v>291</v>
      </c>
      <c r="G720" s="591">
        <f>'Thông tin'!E61</f>
        <v>0.1</v>
      </c>
      <c r="H720" s="589"/>
      <c r="I720" s="603"/>
      <c r="J720" s="589">
        <f>(J719)*G720</f>
        <v>4138120.5087167043</v>
      </c>
    </row>
    <row r="721" spans="1:10">
      <c r="A721" s="594"/>
      <c r="B721" s="595"/>
      <c r="C721" s="596" t="s">
        <v>590</v>
      </c>
      <c r="D721" s="137" t="s">
        <v>590</v>
      </c>
      <c r="E721" s="597" t="s">
        <v>293</v>
      </c>
      <c r="F721" s="598" t="s">
        <v>19</v>
      </c>
      <c r="G721" s="599"/>
      <c r="H721" s="600"/>
      <c r="I721" s="605"/>
      <c r="J721" s="606">
        <f>J719+J720</f>
        <v>45519325.595883742</v>
      </c>
    </row>
    <row r="722" spans="1:10" ht="27.6">
      <c r="A722" s="578"/>
      <c r="B722" s="579">
        <v>41</v>
      </c>
      <c r="C722" s="578" t="str">
        <f>'5.Tiên lượng'!C101</f>
        <v>AB.64113</v>
      </c>
      <c r="D722" s="578" t="str">
        <f>'5.Tiên lượng'!C101</f>
        <v>AB.64113</v>
      </c>
      <c r="E722" s="580" t="str">
        <f>'5.Tiên lượng'!D101</f>
        <v>Đắp nền đường bằng máy lu bánh thép 9T, máy ủi 110CV, độ chặt Y/C K = 0,95</v>
      </c>
      <c r="F722" s="579" t="str">
        <f>'5.Tiên lượng'!E101</f>
        <v>100m3</v>
      </c>
      <c r="G722" s="581"/>
      <c r="H722" s="582"/>
      <c r="I722" s="602"/>
      <c r="J722" s="582"/>
    </row>
    <row r="723" spans="1:10">
      <c r="A723" s="126"/>
      <c r="B723" s="127"/>
      <c r="C723" s="128" t="s">
        <v>590</v>
      </c>
      <c r="D723" s="128" t="s">
        <v>590</v>
      </c>
      <c r="E723" s="583" t="s">
        <v>262</v>
      </c>
      <c r="F723" s="127" t="s">
        <v>263</v>
      </c>
      <c r="G723" s="130"/>
      <c r="H723" s="131"/>
      <c r="I723" s="143"/>
      <c r="J723" s="131">
        <v>0</v>
      </c>
    </row>
    <row r="724" spans="1:10">
      <c r="A724" s="126"/>
      <c r="B724" s="127"/>
      <c r="C724" s="128" t="s">
        <v>590</v>
      </c>
      <c r="D724" s="128" t="s">
        <v>590</v>
      </c>
      <c r="E724" s="583" t="s">
        <v>265</v>
      </c>
      <c r="F724" s="127" t="s">
        <v>266</v>
      </c>
      <c r="G724" s="130"/>
      <c r="H724" s="131"/>
      <c r="I724" s="143"/>
      <c r="J724" s="131">
        <f>SUM(J725:J725)</f>
        <v>377219.69999999995</v>
      </c>
    </row>
    <row r="725" spans="1:10">
      <c r="A725" s="584"/>
      <c r="B725" s="585"/>
      <c r="C725" s="586" t="s">
        <v>590</v>
      </c>
      <c r="D725" s="133" t="s">
        <v>598</v>
      </c>
      <c r="E725" s="587" t="str">
        <f>" - "&amp;'Giá NC'!E5</f>
        <v xml:space="preserve"> - Nhân công bậc 3,0/7 - Nhóm 1</v>
      </c>
      <c r="F725" s="585" t="str">
        <f>'Giá NC'!F5</f>
        <v>công</v>
      </c>
      <c r="G725" s="588">
        <f>PTVT!G337</f>
        <v>1.65</v>
      </c>
      <c r="H725" s="589">
        <f>'Giá NC'!K5</f>
        <v>228618</v>
      </c>
      <c r="I725" s="603">
        <f>'5.Tiên lượng'!W101</f>
        <v>1</v>
      </c>
      <c r="J725" s="589">
        <f>PRODUCT(G725,H725,I725)</f>
        <v>377219.69999999995</v>
      </c>
    </row>
    <row r="726" spans="1:10">
      <c r="A726" s="126"/>
      <c r="B726" s="127"/>
      <c r="C726" s="128" t="s">
        <v>590</v>
      </c>
      <c r="D726" s="128" t="s">
        <v>590</v>
      </c>
      <c r="E726" s="583" t="s">
        <v>267</v>
      </c>
      <c r="F726" s="127" t="s">
        <v>268</v>
      </c>
      <c r="G726" s="130"/>
      <c r="H726" s="131"/>
      <c r="I726" s="143"/>
      <c r="J726" s="131">
        <f>SUM(J727:J729)</f>
        <v>818124.93843149999</v>
      </c>
    </row>
    <row r="727" spans="1:10">
      <c r="A727" s="584"/>
      <c r="B727" s="585"/>
      <c r="C727" s="586" t="s">
        <v>590</v>
      </c>
      <c r="D727" s="133" t="s">
        <v>638</v>
      </c>
      <c r="E727" s="587" t="str">
        <f>" - "&amp;'Giá Máy'!E41</f>
        <v xml:space="preserve"> - Máy lu bánh thép 9T</v>
      </c>
      <c r="F727" s="585" t="str">
        <f>'Giá Máy'!F41</f>
        <v>ca</v>
      </c>
      <c r="G727" s="588">
        <f>PTVT!G339</f>
        <v>0.42</v>
      </c>
      <c r="H727" s="589">
        <f>'Giá Máy'!O41</f>
        <v>1009475.96</v>
      </c>
      <c r="I727" s="603">
        <f>'5.Tiên lượng'!X101</f>
        <v>1</v>
      </c>
      <c r="J727" s="589">
        <f t="shared" ref="J727:J729" si="45">PRODUCT(G727,H727,I727)</f>
        <v>423979.90319999994</v>
      </c>
    </row>
    <row r="728" spans="1:10">
      <c r="A728" s="584"/>
      <c r="B728" s="585"/>
      <c r="C728" s="586" t="s">
        <v>590</v>
      </c>
      <c r="D728" s="133" t="s">
        <v>600</v>
      </c>
      <c r="E728" s="587" t="str">
        <f>" - "&amp;'Giá Máy'!E29</f>
        <v xml:space="preserve"> - Máy ủi 110CV</v>
      </c>
      <c r="F728" s="585" t="str">
        <f>'Giá Máy'!F29</f>
        <v>ca</v>
      </c>
      <c r="G728" s="588">
        <f>PTVT!G340</f>
        <v>0.21</v>
      </c>
      <c r="H728" s="589">
        <f>'Giá Máy'!O29</f>
        <v>1819307.232857143</v>
      </c>
      <c r="I728" s="603">
        <f>'5.Tiên lượng'!X101</f>
        <v>1</v>
      </c>
      <c r="J728" s="589">
        <f t="shared" si="45"/>
        <v>382054.51890000002</v>
      </c>
    </row>
    <row r="729" spans="1:10">
      <c r="A729" s="584"/>
      <c r="B729" s="585"/>
      <c r="C729" s="586" t="s">
        <v>590</v>
      </c>
      <c r="D729" s="133" t="s">
        <v>611</v>
      </c>
      <c r="E729" s="587" t="s">
        <v>612</v>
      </c>
      <c r="F729" s="585" t="s">
        <v>37</v>
      </c>
      <c r="G729" s="588">
        <f>PTVT!G341</f>
        <v>1.5</v>
      </c>
      <c r="H729" s="589">
        <f>IF('5.Tiên lượng'!X101&lt;&gt;0,SUM(J727:J728)/100/'5.Tiên lượng'!X101,0)</f>
        <v>8060.3442209999994</v>
      </c>
      <c r="I729" s="603">
        <f>'5.Tiên lượng'!X101</f>
        <v>1</v>
      </c>
      <c r="J729" s="589">
        <f t="shared" si="45"/>
        <v>12090.516331499999</v>
      </c>
    </row>
    <row r="730" spans="1:10">
      <c r="A730" s="584"/>
      <c r="B730" s="585"/>
      <c r="C730" s="586" t="s">
        <v>590</v>
      </c>
      <c r="D730" s="133" t="s">
        <v>590</v>
      </c>
      <c r="E730" s="587" t="s">
        <v>269</v>
      </c>
      <c r="F730" s="585" t="s">
        <v>270</v>
      </c>
      <c r="G730" s="590"/>
      <c r="H730" s="589"/>
      <c r="I730" s="603"/>
      <c r="J730" s="589">
        <f>J723+J724+J726</f>
        <v>1195344.6384314999</v>
      </c>
    </row>
    <row r="731" spans="1:10">
      <c r="A731" s="584"/>
      <c r="B731" s="585"/>
      <c r="C731" s="586" t="s">
        <v>590</v>
      </c>
      <c r="D731" s="133" t="s">
        <v>590</v>
      </c>
      <c r="E731" s="587" t="s">
        <v>273</v>
      </c>
      <c r="F731" s="585" t="s">
        <v>274</v>
      </c>
      <c r="G731" s="591">
        <f>'Thông tin'!E67</f>
        <v>6.2E-2</v>
      </c>
      <c r="H731" s="589"/>
      <c r="I731" s="603"/>
      <c r="J731" s="589">
        <f>(J730)*G731</f>
        <v>74111.367582752995</v>
      </c>
    </row>
    <row r="732" spans="1:10">
      <c r="A732" s="584"/>
      <c r="B732" s="585"/>
      <c r="C732" s="586" t="s">
        <v>590</v>
      </c>
      <c r="D732" s="133" t="s">
        <v>590</v>
      </c>
      <c r="E732" s="587" t="s">
        <v>276</v>
      </c>
      <c r="F732" s="585" t="s">
        <v>277</v>
      </c>
      <c r="G732" s="591">
        <f>'Thông tin'!E60</f>
        <v>2.2000000000000002E-2</v>
      </c>
      <c r="H732" s="589"/>
      <c r="I732" s="603"/>
      <c r="J732" s="589">
        <f>(J730)*G732</f>
        <v>26297.582045493</v>
      </c>
    </row>
    <row r="733" spans="1:10" ht="27.6">
      <c r="A733" s="584"/>
      <c r="B733" s="585"/>
      <c r="C733" s="586" t="s">
        <v>590</v>
      </c>
      <c r="D733" s="133" t="s">
        <v>590</v>
      </c>
      <c r="E733" s="587" t="s">
        <v>279</v>
      </c>
      <c r="F733" s="585" t="s">
        <v>142</v>
      </c>
      <c r="G733" s="591">
        <f>'Thông tin'!E65</f>
        <v>0.02</v>
      </c>
      <c r="H733" s="589"/>
      <c r="I733" s="603"/>
      <c r="J733" s="589">
        <f>(J730)*G733</f>
        <v>23906.892768629998</v>
      </c>
    </row>
    <row r="734" spans="1:10">
      <c r="A734" s="584"/>
      <c r="B734" s="585"/>
      <c r="C734" s="586" t="s">
        <v>590</v>
      </c>
      <c r="D734" s="133" t="s">
        <v>590</v>
      </c>
      <c r="E734" s="587" t="s">
        <v>281</v>
      </c>
      <c r="F734" s="585" t="s">
        <v>282</v>
      </c>
      <c r="G734" s="590"/>
      <c r="H734" s="589"/>
      <c r="I734" s="603"/>
      <c r="J734" s="589">
        <f>J731+J732+J733</f>
        <v>124315.84239687599</v>
      </c>
    </row>
    <row r="735" spans="1:10">
      <c r="A735" s="584"/>
      <c r="B735" s="585"/>
      <c r="C735" s="586" t="s">
        <v>590</v>
      </c>
      <c r="D735" s="133" t="s">
        <v>590</v>
      </c>
      <c r="E735" s="587" t="s">
        <v>284</v>
      </c>
      <c r="F735" s="585" t="s">
        <v>285</v>
      </c>
      <c r="G735" s="591">
        <f>'Thông tin'!E63</f>
        <v>0.06</v>
      </c>
      <c r="H735" s="589"/>
      <c r="I735" s="603"/>
      <c r="J735" s="589">
        <f>(J730+J734)*G735</f>
        <v>79179.628849702553</v>
      </c>
    </row>
    <row r="736" spans="1:10">
      <c r="A736" s="584"/>
      <c r="B736" s="585"/>
      <c r="C736" s="586" t="s">
        <v>590</v>
      </c>
      <c r="D736" s="133" t="s">
        <v>590</v>
      </c>
      <c r="E736" s="592" t="s">
        <v>287</v>
      </c>
      <c r="F736" s="593" t="s">
        <v>288</v>
      </c>
      <c r="G736" s="590"/>
      <c r="H736" s="589"/>
      <c r="I736" s="603"/>
      <c r="J736" s="604">
        <f>J730+J734+J735</f>
        <v>1398840.1096780787</v>
      </c>
    </row>
    <row r="737" spans="1:10">
      <c r="A737" s="584"/>
      <c r="B737" s="585"/>
      <c r="C737" s="586" t="s">
        <v>590</v>
      </c>
      <c r="D737" s="133" t="s">
        <v>590</v>
      </c>
      <c r="E737" s="587" t="s">
        <v>290</v>
      </c>
      <c r="F737" s="585" t="s">
        <v>291</v>
      </c>
      <c r="G737" s="591">
        <f>'Thông tin'!E61</f>
        <v>0.1</v>
      </c>
      <c r="H737" s="589"/>
      <c r="I737" s="603"/>
      <c r="J737" s="589">
        <f>(J736)*G737</f>
        <v>139884.01096780787</v>
      </c>
    </row>
    <row r="738" spans="1:10">
      <c r="A738" s="594"/>
      <c r="B738" s="595"/>
      <c r="C738" s="596" t="s">
        <v>590</v>
      </c>
      <c r="D738" s="137" t="s">
        <v>590</v>
      </c>
      <c r="E738" s="597" t="s">
        <v>293</v>
      </c>
      <c r="F738" s="598" t="s">
        <v>19</v>
      </c>
      <c r="G738" s="599"/>
      <c r="H738" s="600"/>
      <c r="I738" s="605"/>
      <c r="J738" s="606">
        <f>J736+J737</f>
        <v>1538724.1206458865</v>
      </c>
    </row>
    <row r="739" spans="1:10">
      <c r="A739" s="572"/>
      <c r="B739" s="573"/>
      <c r="C739" s="574" t="s">
        <v>339</v>
      </c>
      <c r="D739" s="117" t="s">
        <v>339</v>
      </c>
      <c r="E739" s="575" t="s">
        <v>387</v>
      </c>
      <c r="F739" s="573"/>
      <c r="G739" s="576"/>
      <c r="H739" s="577"/>
      <c r="I739" s="601"/>
      <c r="J739" s="577" t="s">
        <v>597</v>
      </c>
    </row>
    <row r="740" spans="1:10">
      <c r="A740" s="572"/>
      <c r="B740" s="573"/>
      <c r="C740" s="574" t="s">
        <v>339</v>
      </c>
      <c r="D740" s="117" t="s">
        <v>339</v>
      </c>
      <c r="E740" s="575" t="s">
        <v>438</v>
      </c>
      <c r="F740" s="573"/>
      <c r="G740" s="576"/>
      <c r="H740" s="577"/>
      <c r="I740" s="601"/>
      <c r="J740" s="577" t="s">
        <v>597</v>
      </c>
    </row>
    <row r="741" spans="1:10" ht="27.6">
      <c r="A741" s="578"/>
      <c r="B741" s="579">
        <v>42</v>
      </c>
      <c r="C741" s="578" t="str">
        <f>'5.Tiên lượng'!C105</f>
        <v>AD.11212(VD)</v>
      </c>
      <c r="D741" s="578" t="str">
        <f>'5.Tiên lượng'!C105</f>
        <v>AD.11212(VD)</v>
      </c>
      <c r="E741" s="580" t="str">
        <f>'5.Tiên lượng'!D105</f>
        <v>Bù vật liệu (trên mặt đường cũ lồi lõm) bằng cấp phối đá dăm loại 2 (không lu)</v>
      </c>
      <c r="F741" s="579" t="str">
        <f>'5.Tiên lượng'!E105</f>
        <v>100m3</v>
      </c>
      <c r="G741" s="581"/>
      <c r="H741" s="582"/>
      <c r="I741" s="602"/>
      <c r="J741" s="582"/>
    </row>
    <row r="742" spans="1:10">
      <c r="A742" s="126"/>
      <c r="B742" s="127"/>
      <c r="C742" s="128" t="s">
        <v>590</v>
      </c>
      <c r="D742" s="128" t="s">
        <v>590</v>
      </c>
      <c r="E742" s="583" t="s">
        <v>262</v>
      </c>
      <c r="F742" s="127" t="s">
        <v>263</v>
      </c>
      <c r="G742" s="130"/>
      <c r="H742" s="131"/>
      <c r="I742" s="143"/>
      <c r="J742" s="131">
        <f>SUM(J743:J743)</f>
        <v>32221379.337286752</v>
      </c>
    </row>
    <row r="743" spans="1:10">
      <c r="A743" s="584"/>
      <c r="B743" s="585"/>
      <c r="C743" s="586" t="s">
        <v>590</v>
      </c>
      <c r="D743" s="133" t="s">
        <v>604</v>
      </c>
      <c r="E743" s="587" t="str">
        <f>" - "&amp;'Giá VL'!E13</f>
        <v xml:space="preserve"> - Cấp phối đá dăm loại 2</v>
      </c>
      <c r="F743" s="585" t="str">
        <f>'Giá VL'!F13</f>
        <v>m3</v>
      </c>
      <c r="G743" s="588">
        <f>PTVT!G346</f>
        <v>134</v>
      </c>
      <c r="H743" s="589">
        <f>'Giá VL'!V13</f>
        <v>240458.05475587127</v>
      </c>
      <c r="I743" s="603">
        <f>'5.Tiên lượng'!V105</f>
        <v>1</v>
      </c>
      <c r="J743" s="589">
        <f>PRODUCT(G743,H743,I743)</f>
        <v>32221379.337286752</v>
      </c>
    </row>
    <row r="744" spans="1:10">
      <c r="A744" s="126"/>
      <c r="B744" s="127"/>
      <c r="C744" s="128" t="s">
        <v>590</v>
      </c>
      <c r="D744" s="128" t="s">
        <v>590</v>
      </c>
      <c r="E744" s="583" t="s">
        <v>265</v>
      </c>
      <c r="F744" s="127" t="s">
        <v>266</v>
      </c>
      <c r="G744" s="130"/>
      <c r="H744" s="131"/>
      <c r="I744" s="143"/>
      <c r="J744" s="131">
        <f>SUM(J745:J745)</f>
        <v>770352.96000000008</v>
      </c>
    </row>
    <row r="745" spans="1:10">
      <c r="A745" s="584"/>
      <c r="B745" s="585"/>
      <c r="C745" s="586" t="s">
        <v>590</v>
      </c>
      <c r="D745" s="133" t="s">
        <v>605</v>
      </c>
      <c r="E745" s="587" t="str">
        <f>" - "&amp;'Giá NC'!E8</f>
        <v xml:space="preserve"> - Nhân công bậc 3,0/7 - Nhóm 2</v>
      </c>
      <c r="F745" s="585" t="str">
        <f>'Giá NC'!F8</f>
        <v>công</v>
      </c>
      <c r="G745" s="588">
        <f>PTVT!G348</f>
        <v>3.12</v>
      </c>
      <c r="H745" s="589">
        <f>'Giá NC'!K8</f>
        <v>246908</v>
      </c>
      <c r="I745" s="603">
        <f>'5.Tiên lượng'!W105</f>
        <v>1</v>
      </c>
      <c r="J745" s="589">
        <f>PRODUCT(G745,H745,I745)</f>
        <v>770352.96000000008</v>
      </c>
    </row>
    <row r="746" spans="1:10">
      <c r="A746" s="126"/>
      <c r="B746" s="127"/>
      <c r="C746" s="128" t="s">
        <v>590</v>
      </c>
      <c r="D746" s="128" t="s">
        <v>590</v>
      </c>
      <c r="E746" s="583" t="s">
        <v>267</v>
      </c>
      <c r="F746" s="127" t="s">
        <v>268</v>
      </c>
      <c r="G746" s="130"/>
      <c r="H746" s="131"/>
      <c r="I746" s="143"/>
      <c r="J746" s="131">
        <f>SUM(J747:J752)</f>
        <v>753972.67550500005</v>
      </c>
    </row>
    <row r="747" spans="1:10">
      <c r="A747" s="584"/>
      <c r="B747" s="585"/>
      <c r="C747" s="586" t="s">
        <v>590</v>
      </c>
      <c r="D747" s="133" t="s">
        <v>606</v>
      </c>
      <c r="E747" s="587" t="str">
        <f>" - "&amp;'Giá Máy'!E24</f>
        <v xml:space="preserve"> - Máy rải cấp phối đá dăm 50 - 60m3/h</v>
      </c>
      <c r="F747" s="585" t="str">
        <f>'Giá Máy'!F24</f>
        <v>ca</v>
      </c>
      <c r="G747" s="588">
        <f>PTVT!G350</f>
        <v>0.21</v>
      </c>
      <c r="H747" s="589">
        <f>'Giá Máy'!O24</f>
        <v>3572483.6555555556</v>
      </c>
      <c r="I747" s="603">
        <f>'5.Tiên lượng'!X105</f>
        <v>1</v>
      </c>
      <c r="J747" s="589">
        <f t="shared" ref="J747:J752" si="46">PRODUCT(G747,H747,I747)</f>
        <v>750221.5676666667</v>
      </c>
    </row>
    <row r="748" spans="1:10" hidden="1">
      <c r="A748" s="584"/>
      <c r="B748" s="585"/>
      <c r="C748" s="586" t="s">
        <v>590</v>
      </c>
      <c r="D748" s="133" t="s">
        <v>607</v>
      </c>
      <c r="E748" s="587" t="str">
        <f>" - "&amp;'Giá Máy'!E19</f>
        <v xml:space="preserve"> - Máy lu rung tự hành 25T</v>
      </c>
      <c r="F748" s="585" t="str">
        <f>'Giá Máy'!F19</f>
        <v>ca</v>
      </c>
      <c r="G748" s="588"/>
      <c r="H748" s="589"/>
      <c r="I748" s="603"/>
      <c r="J748" s="589"/>
    </row>
    <row r="749" spans="1:10" hidden="1">
      <c r="A749" s="584"/>
      <c r="B749" s="585"/>
      <c r="C749" s="586" t="s">
        <v>590</v>
      </c>
      <c r="D749" s="133" t="s">
        <v>608</v>
      </c>
      <c r="E749" s="587" t="str">
        <f>" - "&amp;'Giá Máy'!E38</f>
        <v xml:space="preserve"> - Máy lu bánh hơi tự hành 16T</v>
      </c>
      <c r="F749" s="585" t="str">
        <f>'Giá Máy'!F38</f>
        <v>ca</v>
      </c>
      <c r="G749" s="588"/>
      <c r="H749" s="589"/>
      <c r="I749" s="603"/>
      <c r="J749" s="589"/>
    </row>
    <row r="750" spans="1:10" hidden="1">
      <c r="A750" s="584"/>
      <c r="B750" s="585"/>
      <c r="C750" s="586" t="s">
        <v>590</v>
      </c>
      <c r="D750" s="133" t="s">
        <v>609</v>
      </c>
      <c r="E750" s="587" t="str">
        <f>" - "&amp;'Giá Máy'!E17</f>
        <v xml:space="preserve"> - Máy lu bánh thép 10T</v>
      </c>
      <c r="F750" s="585" t="str">
        <f>'Giá Máy'!F17</f>
        <v>ca</v>
      </c>
      <c r="G750" s="588"/>
      <c r="H750" s="589"/>
      <c r="I750" s="603"/>
      <c r="J750" s="589"/>
    </row>
    <row r="751" spans="1:10" hidden="1">
      <c r="A751" s="584"/>
      <c r="B751" s="585"/>
      <c r="C751" s="586" t="s">
        <v>590</v>
      </c>
      <c r="D751" s="133" t="s">
        <v>610</v>
      </c>
      <c r="E751" s="587" t="str">
        <f>" - "&amp;'Giá Máy'!E33</f>
        <v xml:space="preserve"> - Ô tô tưới nước 5m3</v>
      </c>
      <c r="F751" s="585" t="str">
        <f>'Giá Máy'!F33</f>
        <v>ca</v>
      </c>
      <c r="G751" s="588"/>
      <c r="H751" s="589"/>
      <c r="I751" s="603"/>
      <c r="J751" s="589"/>
    </row>
    <row r="752" spans="1:10">
      <c r="A752" s="584"/>
      <c r="B752" s="585"/>
      <c r="C752" s="586" t="s">
        <v>590</v>
      </c>
      <c r="D752" s="133" t="s">
        <v>611</v>
      </c>
      <c r="E752" s="587" t="s">
        <v>612</v>
      </c>
      <c r="F752" s="585" t="s">
        <v>37</v>
      </c>
      <c r="G752" s="588">
        <f>PTVT!G355</f>
        <v>0.5</v>
      </c>
      <c r="H752" s="589">
        <f>IF('5.Tiên lượng'!X105&lt;&gt;0,SUM(J747:J751)/100/'5.Tiên lượng'!X105,0)</f>
        <v>7502.2156766666667</v>
      </c>
      <c r="I752" s="603">
        <f>'5.Tiên lượng'!X105</f>
        <v>1</v>
      </c>
      <c r="J752" s="589">
        <f t="shared" si="46"/>
        <v>3751.1078383333333</v>
      </c>
    </row>
    <row r="753" spans="1:10">
      <c r="A753" s="584"/>
      <c r="B753" s="585"/>
      <c r="C753" s="586" t="s">
        <v>590</v>
      </c>
      <c r="D753" s="133" t="s">
        <v>590</v>
      </c>
      <c r="E753" s="587" t="s">
        <v>269</v>
      </c>
      <c r="F753" s="585" t="s">
        <v>270</v>
      </c>
      <c r="G753" s="590"/>
      <c r="H753" s="589"/>
      <c r="I753" s="603"/>
      <c r="J753" s="589">
        <f>J742+J744+J746</f>
        <v>33745704.972791754</v>
      </c>
    </row>
    <row r="754" spans="1:10">
      <c r="A754" s="584"/>
      <c r="B754" s="585"/>
      <c r="C754" s="586" t="s">
        <v>590</v>
      </c>
      <c r="D754" s="133" t="s">
        <v>590</v>
      </c>
      <c r="E754" s="587" t="s">
        <v>273</v>
      </c>
      <c r="F754" s="585" t="s">
        <v>274</v>
      </c>
      <c r="G754" s="591">
        <f>'Thông tin'!E67</f>
        <v>6.2E-2</v>
      </c>
      <c r="H754" s="589"/>
      <c r="I754" s="603"/>
      <c r="J754" s="589">
        <f>(J753)*G754</f>
        <v>2092233.7083130886</v>
      </c>
    </row>
    <row r="755" spans="1:10">
      <c r="A755" s="584"/>
      <c r="B755" s="585"/>
      <c r="C755" s="586" t="s">
        <v>590</v>
      </c>
      <c r="D755" s="133" t="s">
        <v>590</v>
      </c>
      <c r="E755" s="587" t="s">
        <v>276</v>
      </c>
      <c r="F755" s="585" t="s">
        <v>277</v>
      </c>
      <c r="G755" s="591">
        <f>'Thông tin'!E60</f>
        <v>2.2000000000000002E-2</v>
      </c>
      <c r="H755" s="589"/>
      <c r="I755" s="603"/>
      <c r="J755" s="589">
        <f>(J753)*G755</f>
        <v>742405.50940141862</v>
      </c>
    </row>
    <row r="756" spans="1:10" ht="27.6">
      <c r="A756" s="584"/>
      <c r="B756" s="585"/>
      <c r="C756" s="586" t="s">
        <v>590</v>
      </c>
      <c r="D756" s="133" t="s">
        <v>590</v>
      </c>
      <c r="E756" s="587" t="s">
        <v>279</v>
      </c>
      <c r="F756" s="585" t="s">
        <v>142</v>
      </c>
      <c r="G756" s="591">
        <f>'Thông tin'!E65</f>
        <v>0.02</v>
      </c>
      <c r="H756" s="589"/>
      <c r="I756" s="603"/>
      <c r="J756" s="589">
        <f>(J753)*G756</f>
        <v>674914.09945583506</v>
      </c>
    </row>
    <row r="757" spans="1:10">
      <c r="A757" s="584"/>
      <c r="B757" s="585"/>
      <c r="C757" s="586" t="s">
        <v>590</v>
      </c>
      <c r="D757" s="133" t="s">
        <v>590</v>
      </c>
      <c r="E757" s="587" t="s">
        <v>281</v>
      </c>
      <c r="F757" s="585" t="s">
        <v>282</v>
      </c>
      <c r="G757" s="590"/>
      <c r="H757" s="589"/>
      <c r="I757" s="603"/>
      <c r="J757" s="589">
        <f>J754+J755+J756</f>
        <v>3509553.3171703424</v>
      </c>
    </row>
    <row r="758" spans="1:10">
      <c r="A758" s="584"/>
      <c r="B758" s="585"/>
      <c r="C758" s="586" t="s">
        <v>590</v>
      </c>
      <c r="D758" s="133" t="s">
        <v>590</v>
      </c>
      <c r="E758" s="587" t="s">
        <v>284</v>
      </c>
      <c r="F758" s="585" t="s">
        <v>285</v>
      </c>
      <c r="G758" s="591">
        <f>'Thông tin'!E63</f>
        <v>0.06</v>
      </c>
      <c r="H758" s="589"/>
      <c r="I758" s="603"/>
      <c r="J758" s="589">
        <f>(J753+J757)*G758</f>
        <v>2235315.4973977259</v>
      </c>
    </row>
    <row r="759" spans="1:10">
      <c r="A759" s="584"/>
      <c r="B759" s="585"/>
      <c r="C759" s="586" t="s">
        <v>590</v>
      </c>
      <c r="D759" s="133" t="s">
        <v>590</v>
      </c>
      <c r="E759" s="592" t="s">
        <v>287</v>
      </c>
      <c r="F759" s="593" t="s">
        <v>288</v>
      </c>
      <c r="G759" s="590"/>
      <c r="H759" s="589"/>
      <c r="I759" s="603"/>
      <c r="J759" s="604">
        <f>J753+J757+J758</f>
        <v>39490573.787359826</v>
      </c>
    </row>
    <row r="760" spans="1:10">
      <c r="A760" s="584"/>
      <c r="B760" s="585"/>
      <c r="C760" s="586" t="s">
        <v>590</v>
      </c>
      <c r="D760" s="133" t="s">
        <v>590</v>
      </c>
      <c r="E760" s="587" t="s">
        <v>290</v>
      </c>
      <c r="F760" s="585" t="s">
        <v>291</v>
      </c>
      <c r="G760" s="591">
        <f>'Thông tin'!E61</f>
        <v>0.1</v>
      </c>
      <c r="H760" s="589"/>
      <c r="I760" s="603"/>
      <c r="J760" s="589">
        <f>(J759)*G760</f>
        <v>3949057.3787359828</v>
      </c>
    </row>
    <row r="761" spans="1:10">
      <c r="A761" s="594"/>
      <c r="B761" s="595"/>
      <c r="C761" s="596" t="s">
        <v>590</v>
      </c>
      <c r="D761" s="137" t="s">
        <v>590</v>
      </c>
      <c r="E761" s="597" t="s">
        <v>293</v>
      </c>
      <c r="F761" s="598" t="s">
        <v>19</v>
      </c>
      <c r="G761" s="599"/>
      <c r="H761" s="600"/>
      <c r="I761" s="605"/>
      <c r="J761" s="606">
        <f>J759+J760</f>
        <v>43439631.166095808</v>
      </c>
    </row>
    <row r="762" spans="1:10" ht="27.6">
      <c r="A762" s="578"/>
      <c r="B762" s="579">
        <v>43</v>
      </c>
      <c r="C762" s="578" t="str">
        <f>'5.Tiên lượng'!C107</f>
        <v>AB.31133</v>
      </c>
      <c r="D762" s="578" t="str">
        <f>'5.Tiên lượng'!C107</f>
        <v>AB.31133</v>
      </c>
      <c r="E762" s="580" t="str">
        <f>'5.Tiên lượng'!D107</f>
        <v>Đào đất phần cạp mở rộng bằng máy đào 1,25m3 - Cấp đất III</v>
      </c>
      <c r="F762" s="579" t="str">
        <f>'5.Tiên lượng'!E107</f>
        <v>100m3</v>
      </c>
      <c r="G762" s="581"/>
      <c r="H762" s="582"/>
      <c r="I762" s="602"/>
      <c r="J762" s="582"/>
    </row>
    <row r="763" spans="1:10">
      <c r="A763" s="126"/>
      <c r="B763" s="127"/>
      <c r="C763" s="128" t="s">
        <v>590</v>
      </c>
      <c r="D763" s="128" t="s">
        <v>590</v>
      </c>
      <c r="E763" s="583" t="s">
        <v>262</v>
      </c>
      <c r="F763" s="127" t="s">
        <v>263</v>
      </c>
      <c r="G763" s="130"/>
      <c r="H763" s="131"/>
      <c r="I763" s="143"/>
      <c r="J763" s="131">
        <v>0</v>
      </c>
    </row>
    <row r="764" spans="1:10">
      <c r="A764" s="126"/>
      <c r="B764" s="127"/>
      <c r="C764" s="128" t="s">
        <v>590</v>
      </c>
      <c r="D764" s="128" t="s">
        <v>590</v>
      </c>
      <c r="E764" s="583" t="s">
        <v>265</v>
      </c>
      <c r="F764" s="127" t="s">
        <v>266</v>
      </c>
      <c r="G764" s="130"/>
      <c r="H764" s="131"/>
      <c r="I764" s="143"/>
      <c r="J764" s="131">
        <f>SUM(J765:J765)</f>
        <v>928189.08</v>
      </c>
    </row>
    <row r="765" spans="1:10">
      <c r="A765" s="584"/>
      <c r="B765" s="585"/>
      <c r="C765" s="586" t="s">
        <v>590</v>
      </c>
      <c r="D765" s="133" t="s">
        <v>598</v>
      </c>
      <c r="E765" s="587" t="str">
        <f>" - "&amp;'Giá NC'!E5</f>
        <v xml:space="preserve"> - Nhân công bậc 3,0/7 - Nhóm 1</v>
      </c>
      <c r="F765" s="585" t="str">
        <f>'Giá NC'!F5</f>
        <v>công</v>
      </c>
      <c r="G765" s="588">
        <f>PTVT!G358</f>
        <v>4.0599999999999996</v>
      </c>
      <c r="H765" s="589">
        <f>'Giá NC'!K5</f>
        <v>228618</v>
      </c>
      <c r="I765" s="603">
        <f>'5.Tiên lượng'!W107</f>
        <v>1</v>
      </c>
      <c r="J765" s="589">
        <f>PRODUCT(G765,H765,I765)</f>
        <v>928189.08</v>
      </c>
    </row>
    <row r="766" spans="1:10">
      <c r="A766" s="126"/>
      <c r="B766" s="127"/>
      <c r="C766" s="128" t="s">
        <v>590</v>
      </c>
      <c r="D766" s="128" t="s">
        <v>590</v>
      </c>
      <c r="E766" s="583" t="s">
        <v>267</v>
      </c>
      <c r="F766" s="127" t="s">
        <v>268</v>
      </c>
      <c r="G766" s="130"/>
      <c r="H766" s="131"/>
      <c r="I766" s="143"/>
      <c r="J766" s="131">
        <f>SUM(J767:J768)</f>
        <v>1160321.1908914286</v>
      </c>
    </row>
    <row r="767" spans="1:10">
      <c r="A767" s="584"/>
      <c r="B767" s="585"/>
      <c r="C767" s="586" t="s">
        <v>590</v>
      </c>
      <c r="D767" s="133" t="s">
        <v>599</v>
      </c>
      <c r="E767" s="587" t="str">
        <f>" - "&amp;'Giá Máy'!E14</f>
        <v xml:space="preserve"> - Máy đào 1,25m3</v>
      </c>
      <c r="F767" s="585" t="str">
        <f>'Giá Máy'!F14</f>
        <v>ca</v>
      </c>
      <c r="G767" s="588">
        <f>PTVT!G360</f>
        <v>0.311</v>
      </c>
      <c r="H767" s="589">
        <f>'Giá Máy'!O14</f>
        <v>3496941.8057142859</v>
      </c>
      <c r="I767" s="603">
        <f>'5.Tiên lượng'!X107</f>
        <v>1</v>
      </c>
      <c r="J767" s="589">
        <f t="shared" ref="J767:J768" si="47">PRODUCT(G767,H767,I767)</f>
        <v>1087548.901577143</v>
      </c>
    </row>
    <row r="768" spans="1:10">
      <c r="A768" s="584"/>
      <c r="B768" s="585"/>
      <c r="C768" s="586" t="s">
        <v>590</v>
      </c>
      <c r="D768" s="133" t="s">
        <v>600</v>
      </c>
      <c r="E768" s="587" t="str">
        <f>" - "&amp;'Giá Máy'!E29</f>
        <v xml:space="preserve"> - Máy ủi 110CV</v>
      </c>
      <c r="F768" s="585" t="str">
        <f>'Giá Máy'!F29</f>
        <v>ca</v>
      </c>
      <c r="G768" s="588">
        <f>PTVT!G361</f>
        <v>0.04</v>
      </c>
      <c r="H768" s="589">
        <f>'Giá Máy'!O29</f>
        <v>1819307.232857143</v>
      </c>
      <c r="I768" s="603">
        <f>'5.Tiên lượng'!X107</f>
        <v>1</v>
      </c>
      <c r="J768" s="589">
        <f t="shared" si="47"/>
        <v>72772.289314285721</v>
      </c>
    </row>
    <row r="769" spans="1:10">
      <c r="A769" s="584"/>
      <c r="B769" s="585"/>
      <c r="C769" s="586" t="s">
        <v>590</v>
      </c>
      <c r="D769" s="133" t="s">
        <v>590</v>
      </c>
      <c r="E769" s="587" t="s">
        <v>269</v>
      </c>
      <c r="F769" s="585" t="s">
        <v>270</v>
      </c>
      <c r="G769" s="590"/>
      <c r="H769" s="589"/>
      <c r="I769" s="603"/>
      <c r="J769" s="589">
        <f>J763+J764+J766</f>
        <v>2088510.2708914285</v>
      </c>
    </row>
    <row r="770" spans="1:10">
      <c r="A770" s="584"/>
      <c r="B770" s="585"/>
      <c r="C770" s="586" t="s">
        <v>590</v>
      </c>
      <c r="D770" s="133" t="s">
        <v>590</v>
      </c>
      <c r="E770" s="587" t="s">
        <v>273</v>
      </c>
      <c r="F770" s="585" t="s">
        <v>274</v>
      </c>
      <c r="G770" s="591">
        <f>'Thông tin'!E67</f>
        <v>6.2E-2</v>
      </c>
      <c r="H770" s="589"/>
      <c r="I770" s="603"/>
      <c r="J770" s="589">
        <f>(J769)*G770</f>
        <v>129487.63679526857</v>
      </c>
    </row>
    <row r="771" spans="1:10">
      <c r="A771" s="584"/>
      <c r="B771" s="585"/>
      <c r="C771" s="586" t="s">
        <v>590</v>
      </c>
      <c r="D771" s="133" t="s">
        <v>590</v>
      </c>
      <c r="E771" s="587" t="s">
        <v>276</v>
      </c>
      <c r="F771" s="585" t="s">
        <v>277</v>
      </c>
      <c r="G771" s="591">
        <f>'Thông tin'!E60</f>
        <v>2.2000000000000002E-2</v>
      </c>
      <c r="H771" s="589"/>
      <c r="I771" s="603"/>
      <c r="J771" s="589">
        <f>(J769)*G771</f>
        <v>45947.225959611431</v>
      </c>
    </row>
    <row r="772" spans="1:10" ht="27.6">
      <c r="A772" s="584"/>
      <c r="B772" s="585"/>
      <c r="C772" s="586" t="s">
        <v>590</v>
      </c>
      <c r="D772" s="133" t="s">
        <v>590</v>
      </c>
      <c r="E772" s="587" t="s">
        <v>279</v>
      </c>
      <c r="F772" s="585" t="s">
        <v>142</v>
      </c>
      <c r="G772" s="591">
        <f>'Thông tin'!E65</f>
        <v>0.02</v>
      </c>
      <c r="H772" s="589"/>
      <c r="I772" s="603"/>
      <c r="J772" s="589">
        <f>(J769)*G772</f>
        <v>41770.205417828569</v>
      </c>
    </row>
    <row r="773" spans="1:10">
      <c r="A773" s="584"/>
      <c r="B773" s="585"/>
      <c r="C773" s="586" t="s">
        <v>590</v>
      </c>
      <c r="D773" s="133" t="s">
        <v>590</v>
      </c>
      <c r="E773" s="587" t="s">
        <v>281</v>
      </c>
      <c r="F773" s="585" t="s">
        <v>282</v>
      </c>
      <c r="G773" s="590"/>
      <c r="H773" s="589"/>
      <c r="I773" s="603"/>
      <c r="J773" s="589">
        <f>J770+J771+J772</f>
        <v>217205.06817270856</v>
      </c>
    </row>
    <row r="774" spans="1:10">
      <c r="A774" s="584"/>
      <c r="B774" s="585"/>
      <c r="C774" s="586" t="s">
        <v>590</v>
      </c>
      <c r="D774" s="133" t="s">
        <v>590</v>
      </c>
      <c r="E774" s="587" t="s">
        <v>284</v>
      </c>
      <c r="F774" s="585" t="s">
        <v>285</v>
      </c>
      <c r="G774" s="591">
        <f>'Thông tin'!E63</f>
        <v>0.06</v>
      </c>
      <c r="H774" s="589"/>
      <c r="I774" s="603"/>
      <c r="J774" s="589">
        <f>(J769+J773)*G774</f>
        <v>138342.92034384821</v>
      </c>
    </row>
    <row r="775" spans="1:10">
      <c r="A775" s="584"/>
      <c r="B775" s="585"/>
      <c r="C775" s="586" t="s">
        <v>590</v>
      </c>
      <c r="D775" s="133" t="s">
        <v>590</v>
      </c>
      <c r="E775" s="592" t="s">
        <v>287</v>
      </c>
      <c r="F775" s="593" t="s">
        <v>288</v>
      </c>
      <c r="G775" s="590"/>
      <c r="H775" s="589"/>
      <c r="I775" s="603"/>
      <c r="J775" s="604">
        <f>J769+J773+J774</f>
        <v>2444058.2594079855</v>
      </c>
    </row>
    <row r="776" spans="1:10">
      <c r="A776" s="584"/>
      <c r="B776" s="585"/>
      <c r="C776" s="586" t="s">
        <v>590</v>
      </c>
      <c r="D776" s="133" t="s">
        <v>590</v>
      </c>
      <c r="E776" s="587" t="s">
        <v>290</v>
      </c>
      <c r="F776" s="585" t="s">
        <v>291</v>
      </c>
      <c r="G776" s="591">
        <f>'Thông tin'!E61</f>
        <v>0.1</v>
      </c>
      <c r="H776" s="589"/>
      <c r="I776" s="603"/>
      <c r="J776" s="589">
        <f>(J775)*G776</f>
        <v>244405.82594079856</v>
      </c>
    </row>
    <row r="777" spans="1:10">
      <c r="A777" s="594"/>
      <c r="B777" s="595"/>
      <c r="C777" s="596" t="s">
        <v>590</v>
      </c>
      <c r="D777" s="137" t="s">
        <v>590</v>
      </c>
      <c r="E777" s="597" t="s">
        <v>293</v>
      </c>
      <c r="F777" s="598" t="s">
        <v>19</v>
      </c>
      <c r="G777" s="599"/>
      <c r="H777" s="600"/>
      <c r="I777" s="605"/>
      <c r="J777" s="606">
        <f>J775+J776</f>
        <v>2688464.085348784</v>
      </c>
    </row>
    <row r="778" spans="1:10" ht="27.6">
      <c r="A778" s="578"/>
      <c r="B778" s="579">
        <v>44</v>
      </c>
      <c r="C778" s="578" t="str">
        <f>'5.Tiên lượng'!C109</f>
        <v>AD.11212</v>
      </c>
      <c r="D778" s="578" t="str">
        <f>'5.Tiên lượng'!C109</f>
        <v>AD.11212</v>
      </c>
      <c r="E778" s="580" t="str">
        <f>'5.Tiên lượng'!D109</f>
        <v>Bù trả vật liệu phần cạp mở rộng bằng cấp phối đá dăm loại 2 dày 18cm (không lu)</v>
      </c>
      <c r="F778" s="579" t="str">
        <f>'5.Tiên lượng'!E109</f>
        <v>100m3</v>
      </c>
      <c r="G778" s="581"/>
      <c r="H778" s="582"/>
      <c r="I778" s="602"/>
      <c r="J778" s="582"/>
    </row>
    <row r="779" spans="1:10">
      <c r="A779" s="126"/>
      <c r="B779" s="127"/>
      <c r="C779" s="128" t="s">
        <v>590</v>
      </c>
      <c r="D779" s="128" t="s">
        <v>590</v>
      </c>
      <c r="E779" s="583" t="s">
        <v>262</v>
      </c>
      <c r="F779" s="127" t="s">
        <v>263</v>
      </c>
      <c r="G779" s="130"/>
      <c r="H779" s="131"/>
      <c r="I779" s="143"/>
      <c r="J779" s="131">
        <f>SUM(J780:J780)</f>
        <v>32221379.337286752</v>
      </c>
    </row>
    <row r="780" spans="1:10">
      <c r="A780" s="584"/>
      <c r="B780" s="585"/>
      <c r="C780" s="586" t="s">
        <v>590</v>
      </c>
      <c r="D780" s="133" t="s">
        <v>604</v>
      </c>
      <c r="E780" s="587" t="str">
        <f>" - "&amp;'Giá VL'!E13</f>
        <v xml:space="preserve"> - Cấp phối đá dăm loại 2</v>
      </c>
      <c r="F780" s="585" t="str">
        <f>'Giá VL'!F13</f>
        <v>m3</v>
      </c>
      <c r="G780" s="588">
        <f>PTVT!G364</f>
        <v>134</v>
      </c>
      <c r="H780" s="589">
        <f>'Giá VL'!V13</f>
        <v>240458.05475587127</v>
      </c>
      <c r="I780" s="603">
        <f>'5.Tiên lượng'!V109</f>
        <v>1</v>
      </c>
      <c r="J780" s="589">
        <f>PRODUCT(G780,H780,I780)</f>
        <v>32221379.337286752</v>
      </c>
    </row>
    <row r="781" spans="1:10">
      <c r="A781" s="126"/>
      <c r="B781" s="127"/>
      <c r="C781" s="128" t="s">
        <v>590</v>
      </c>
      <c r="D781" s="128" t="s">
        <v>590</v>
      </c>
      <c r="E781" s="583" t="s">
        <v>265</v>
      </c>
      <c r="F781" s="127" t="s">
        <v>266</v>
      </c>
      <c r="G781" s="130"/>
      <c r="H781" s="131"/>
      <c r="I781" s="143"/>
      <c r="J781" s="131">
        <f>SUM(J782:J782)</f>
        <v>770352.96000000008</v>
      </c>
    </row>
    <row r="782" spans="1:10">
      <c r="A782" s="584"/>
      <c r="B782" s="585"/>
      <c r="C782" s="586" t="s">
        <v>590</v>
      </c>
      <c r="D782" s="133" t="s">
        <v>605</v>
      </c>
      <c r="E782" s="587" t="str">
        <f>" - "&amp;'Giá NC'!E8</f>
        <v xml:space="preserve"> - Nhân công bậc 3,0/7 - Nhóm 2</v>
      </c>
      <c r="F782" s="585" t="str">
        <f>'Giá NC'!F8</f>
        <v>công</v>
      </c>
      <c r="G782" s="588">
        <f>PTVT!G366</f>
        <v>3.12</v>
      </c>
      <c r="H782" s="589">
        <f>'Giá NC'!K8</f>
        <v>246908</v>
      </c>
      <c r="I782" s="603">
        <f>'5.Tiên lượng'!W109</f>
        <v>1</v>
      </c>
      <c r="J782" s="589">
        <f>PRODUCT(G782,H782,I782)</f>
        <v>770352.96000000008</v>
      </c>
    </row>
    <row r="783" spans="1:10">
      <c r="A783" s="126"/>
      <c r="B783" s="127"/>
      <c r="C783" s="128" t="s">
        <v>590</v>
      </c>
      <c r="D783" s="128" t="s">
        <v>590</v>
      </c>
      <c r="E783" s="583" t="s">
        <v>267</v>
      </c>
      <c r="F783" s="127" t="s">
        <v>268</v>
      </c>
      <c r="G783" s="130"/>
      <c r="H783" s="131"/>
      <c r="I783" s="143"/>
      <c r="J783" s="131">
        <f>SUM(J784:J789)</f>
        <v>750221.5676666667</v>
      </c>
    </row>
    <row r="784" spans="1:10">
      <c r="A784" s="584"/>
      <c r="B784" s="585"/>
      <c r="C784" s="586" t="s">
        <v>590</v>
      </c>
      <c r="D784" s="133" t="s">
        <v>606</v>
      </c>
      <c r="E784" s="587" t="str">
        <f>" - "&amp;'Giá Máy'!E24</f>
        <v xml:space="preserve"> - Máy rải cấp phối đá dăm 50 - 60m3/h</v>
      </c>
      <c r="F784" s="585" t="str">
        <f>'Giá Máy'!F24</f>
        <v>ca</v>
      </c>
      <c r="G784" s="588">
        <f>PTVT!G368</f>
        <v>0.21</v>
      </c>
      <c r="H784" s="589">
        <f>'Giá Máy'!O24</f>
        <v>3572483.6555555556</v>
      </c>
      <c r="I784" s="603">
        <f>'5.Tiên lượng'!X109</f>
        <v>1</v>
      </c>
      <c r="J784" s="589">
        <f t="shared" ref="J784" si="48">PRODUCT(G784,H784,I784)</f>
        <v>750221.5676666667</v>
      </c>
    </row>
    <row r="785" spans="1:10" hidden="1">
      <c r="A785" s="584"/>
      <c r="B785" s="585"/>
      <c r="C785" s="586" t="s">
        <v>590</v>
      </c>
      <c r="D785" s="133" t="s">
        <v>607</v>
      </c>
      <c r="E785" s="587" t="str">
        <f>" - "&amp;'Giá Máy'!E19</f>
        <v xml:space="preserve"> - Máy lu rung tự hành 25T</v>
      </c>
      <c r="F785" s="585" t="str">
        <f>'Giá Máy'!F19</f>
        <v>ca</v>
      </c>
      <c r="G785" s="588">
        <f>PTVT!G369</f>
        <v>0.32</v>
      </c>
      <c r="H785" s="589"/>
      <c r="I785" s="603"/>
      <c r="J785" s="589"/>
    </row>
    <row r="786" spans="1:10" hidden="1">
      <c r="A786" s="584"/>
      <c r="B786" s="585"/>
      <c r="C786" s="586" t="s">
        <v>590</v>
      </c>
      <c r="D786" s="133" t="s">
        <v>608</v>
      </c>
      <c r="E786" s="587" t="str">
        <f>" - "&amp;'Giá Máy'!E38</f>
        <v xml:space="preserve"> - Máy lu bánh hơi tự hành 16T</v>
      </c>
      <c r="F786" s="585" t="str">
        <f>'Giá Máy'!F38</f>
        <v>ca</v>
      </c>
      <c r="G786" s="588">
        <f>PTVT!G370</f>
        <v>0.12</v>
      </c>
      <c r="H786" s="589"/>
      <c r="I786" s="603"/>
      <c r="J786" s="589"/>
    </row>
    <row r="787" spans="1:10" hidden="1">
      <c r="A787" s="584"/>
      <c r="B787" s="585"/>
      <c r="C787" s="586" t="s">
        <v>590</v>
      </c>
      <c r="D787" s="133" t="s">
        <v>609</v>
      </c>
      <c r="E787" s="587" t="str">
        <f>" - "&amp;'Giá Máy'!E17</f>
        <v xml:space="preserve"> - Máy lu bánh thép 10T</v>
      </c>
      <c r="F787" s="585" t="str">
        <f>'Giá Máy'!F17</f>
        <v>ca</v>
      </c>
      <c r="G787" s="588">
        <f>PTVT!G371</f>
        <v>0.26</v>
      </c>
      <c r="H787" s="589"/>
      <c r="I787" s="603"/>
      <c r="J787" s="589"/>
    </row>
    <row r="788" spans="1:10" hidden="1">
      <c r="A788" s="584"/>
      <c r="B788" s="585"/>
      <c r="C788" s="586" t="s">
        <v>590</v>
      </c>
      <c r="D788" s="133" t="s">
        <v>610</v>
      </c>
      <c r="E788" s="587" t="str">
        <f>" - "&amp;'Giá Máy'!E33</f>
        <v xml:space="preserve"> - Ô tô tưới nước 5m3</v>
      </c>
      <c r="F788" s="585" t="str">
        <f>'Giá Máy'!F33</f>
        <v>ca</v>
      </c>
      <c r="G788" s="588">
        <f>PTVT!G372</f>
        <v>0.21</v>
      </c>
      <c r="H788" s="589"/>
      <c r="I788" s="603"/>
      <c r="J788" s="589"/>
    </row>
    <row r="789" spans="1:10" hidden="1">
      <c r="A789" s="584"/>
      <c r="B789" s="585"/>
      <c r="C789" s="586" t="s">
        <v>590</v>
      </c>
      <c r="D789" s="133" t="s">
        <v>611</v>
      </c>
      <c r="E789" s="587" t="s">
        <v>612</v>
      </c>
      <c r="F789" s="585" t="s">
        <v>37</v>
      </c>
      <c r="G789" s="588">
        <f>PTVT!G373</f>
        <v>0.5</v>
      </c>
      <c r="H789" s="589"/>
      <c r="I789" s="603"/>
      <c r="J789" s="589"/>
    </row>
    <row r="790" spans="1:10">
      <c r="A790" s="584"/>
      <c r="B790" s="585"/>
      <c r="C790" s="586" t="s">
        <v>590</v>
      </c>
      <c r="D790" s="133" t="s">
        <v>590</v>
      </c>
      <c r="E790" s="587" t="s">
        <v>269</v>
      </c>
      <c r="F790" s="585" t="s">
        <v>270</v>
      </c>
      <c r="G790" s="590"/>
      <c r="H790" s="589"/>
      <c r="I790" s="603"/>
      <c r="J790" s="589">
        <f>J779+J781+J783</f>
        <v>33741953.864953421</v>
      </c>
    </row>
    <row r="791" spans="1:10">
      <c r="A791" s="584"/>
      <c r="B791" s="585"/>
      <c r="C791" s="586" t="s">
        <v>590</v>
      </c>
      <c r="D791" s="133" t="s">
        <v>590</v>
      </c>
      <c r="E791" s="587" t="s">
        <v>273</v>
      </c>
      <c r="F791" s="585" t="s">
        <v>274</v>
      </c>
      <c r="G791" s="591">
        <f>'Thông tin'!E67</f>
        <v>6.2E-2</v>
      </c>
      <c r="H791" s="589"/>
      <c r="I791" s="603"/>
      <c r="J791" s="589">
        <f>(J790)*G791</f>
        <v>2092001.1396271121</v>
      </c>
    </row>
    <row r="792" spans="1:10">
      <c r="A792" s="584"/>
      <c r="B792" s="585"/>
      <c r="C792" s="586" t="s">
        <v>590</v>
      </c>
      <c r="D792" s="133" t="s">
        <v>590</v>
      </c>
      <c r="E792" s="587" t="s">
        <v>276</v>
      </c>
      <c r="F792" s="585" t="s">
        <v>277</v>
      </c>
      <c r="G792" s="591">
        <f>'Thông tin'!E60</f>
        <v>2.2000000000000002E-2</v>
      </c>
      <c r="H792" s="589"/>
      <c r="I792" s="603"/>
      <c r="J792" s="589">
        <f>(J790)*G792</f>
        <v>742322.98502897529</v>
      </c>
    </row>
    <row r="793" spans="1:10" ht="27.6">
      <c r="A793" s="584"/>
      <c r="B793" s="585"/>
      <c r="C793" s="586" t="s">
        <v>590</v>
      </c>
      <c r="D793" s="133" t="s">
        <v>590</v>
      </c>
      <c r="E793" s="587" t="s">
        <v>279</v>
      </c>
      <c r="F793" s="585" t="s">
        <v>142</v>
      </c>
      <c r="G793" s="591">
        <f>'Thông tin'!E65</f>
        <v>0.02</v>
      </c>
      <c r="H793" s="589"/>
      <c r="I793" s="603"/>
      <c r="J793" s="589">
        <f>(J790)*G793</f>
        <v>674839.07729906845</v>
      </c>
    </row>
    <row r="794" spans="1:10">
      <c r="A794" s="584"/>
      <c r="B794" s="585"/>
      <c r="C794" s="586" t="s">
        <v>590</v>
      </c>
      <c r="D794" s="133" t="s">
        <v>590</v>
      </c>
      <c r="E794" s="587" t="s">
        <v>281</v>
      </c>
      <c r="F794" s="585" t="s">
        <v>282</v>
      </c>
      <c r="G794" s="590"/>
      <c r="H794" s="589"/>
      <c r="I794" s="603"/>
      <c r="J794" s="589">
        <f>J791+J792+J793</f>
        <v>3509163.2019551555</v>
      </c>
    </row>
    <row r="795" spans="1:10">
      <c r="A795" s="584"/>
      <c r="B795" s="585"/>
      <c r="C795" s="586" t="s">
        <v>590</v>
      </c>
      <c r="D795" s="133" t="s">
        <v>590</v>
      </c>
      <c r="E795" s="587" t="s">
        <v>284</v>
      </c>
      <c r="F795" s="585" t="s">
        <v>285</v>
      </c>
      <c r="G795" s="591">
        <f>'Thông tin'!E63</f>
        <v>0.06</v>
      </c>
      <c r="H795" s="589"/>
      <c r="I795" s="603"/>
      <c r="J795" s="589">
        <f>(J790+J794)*G795</f>
        <v>2235067.0240145144</v>
      </c>
    </row>
    <row r="796" spans="1:10">
      <c r="A796" s="584"/>
      <c r="B796" s="585"/>
      <c r="C796" s="586" t="s">
        <v>590</v>
      </c>
      <c r="D796" s="133" t="s">
        <v>590</v>
      </c>
      <c r="E796" s="592" t="s">
        <v>287</v>
      </c>
      <c r="F796" s="593" t="s">
        <v>288</v>
      </c>
      <c r="G796" s="590"/>
      <c r="H796" s="589"/>
      <c r="I796" s="603"/>
      <c r="J796" s="604">
        <f>J790+J794+J795</f>
        <v>39486184.090923093</v>
      </c>
    </row>
    <row r="797" spans="1:10">
      <c r="A797" s="584"/>
      <c r="B797" s="585"/>
      <c r="C797" s="586" t="s">
        <v>590</v>
      </c>
      <c r="D797" s="133" t="s">
        <v>590</v>
      </c>
      <c r="E797" s="587" t="s">
        <v>290</v>
      </c>
      <c r="F797" s="585" t="s">
        <v>291</v>
      </c>
      <c r="G797" s="591">
        <f>'Thông tin'!E61</f>
        <v>0.1</v>
      </c>
      <c r="H797" s="589"/>
      <c r="I797" s="603"/>
      <c r="J797" s="589">
        <f>(J796)*G797</f>
        <v>3948618.4090923094</v>
      </c>
    </row>
    <row r="798" spans="1:10">
      <c r="A798" s="594"/>
      <c r="B798" s="595"/>
      <c r="C798" s="596" t="s">
        <v>590</v>
      </c>
      <c r="D798" s="137" t="s">
        <v>590</v>
      </c>
      <c r="E798" s="597" t="s">
        <v>293</v>
      </c>
      <c r="F798" s="598" t="s">
        <v>19</v>
      </c>
      <c r="G798" s="599"/>
      <c r="H798" s="600"/>
      <c r="I798" s="605"/>
      <c r="J798" s="606">
        <f>J796+J797</f>
        <v>43434802.5000154</v>
      </c>
    </row>
    <row r="799" spans="1:10" ht="55.2">
      <c r="A799" s="578"/>
      <c r="B799" s="579">
        <v>45</v>
      </c>
      <c r="C799" s="578" t="str">
        <f>'5.Tiên lượng'!C111</f>
        <v>LS.11110(ĐM.1322)</v>
      </c>
      <c r="D799" s="578" t="str">
        <f>'5.Tiên lượng'!C111</f>
        <v>LS.11110(ĐM.1322)</v>
      </c>
      <c r="E799" s="580" t="str">
        <f>'5.Tiên lượng'!D111</f>
        <v>Cào bóc tái sinh nguội tại chỗ bằng máy cào bóc tái sinh WR2400 trên mặt đường láng nhựa, chiều dày 18cm (4% xi măng rải thủ công)</v>
      </c>
      <c r="F799" s="579" t="str">
        <f>'5.Tiên lượng'!E111</f>
        <v>100m3</v>
      </c>
      <c r="G799" s="581"/>
      <c r="H799" s="582"/>
      <c r="I799" s="602"/>
      <c r="J799" s="582"/>
    </row>
    <row r="800" spans="1:10">
      <c r="A800" s="126"/>
      <c r="B800" s="127"/>
      <c r="C800" s="128" t="s">
        <v>590</v>
      </c>
      <c r="D800" s="128" t="s">
        <v>590</v>
      </c>
      <c r="E800" s="583" t="s">
        <v>262</v>
      </c>
      <c r="F800" s="127" t="s">
        <v>263</v>
      </c>
      <c r="G800" s="130"/>
      <c r="H800" s="131"/>
      <c r="I800" s="143"/>
      <c r="J800" s="131">
        <f>SUM(J801:J804)</f>
        <v>19188881.861584913</v>
      </c>
    </row>
    <row r="801" spans="1:10">
      <c r="A801" s="584"/>
      <c r="B801" s="585"/>
      <c r="C801" s="586" t="s">
        <v>590</v>
      </c>
      <c r="D801" s="133" t="s">
        <v>614</v>
      </c>
      <c r="E801" s="587" t="str">
        <f>" - "&amp;'Giá VL'!E45</f>
        <v xml:space="preserve"> - Xi măng PCB40</v>
      </c>
      <c r="F801" s="585" t="str">
        <f>'Giá VL'!F45</f>
        <v>kg</v>
      </c>
      <c r="G801" s="588">
        <f>PTVT!G376</f>
        <v>8247</v>
      </c>
      <c r="H801" s="589">
        <f>'Giá VL'!V45</f>
        <v>1730</v>
      </c>
      <c r="I801" s="603">
        <f>'5.Tiên lượng'!V111</f>
        <v>0.9</v>
      </c>
      <c r="J801" s="589">
        <f t="shared" ref="J801:J804" si="49">PRODUCT(G801,H801,I801)</f>
        <v>12840579</v>
      </c>
    </row>
    <row r="802" spans="1:10">
      <c r="A802" s="584"/>
      <c r="B802" s="585"/>
      <c r="C802" s="586" t="s">
        <v>590</v>
      </c>
      <c r="D802" s="133" t="s">
        <v>617</v>
      </c>
      <c r="E802" s="587" t="str">
        <f>" - "&amp;'Giá VL'!E33</f>
        <v xml:space="preserve"> - Nước</v>
      </c>
      <c r="F802" s="585" t="str">
        <f>'Giá VL'!F33</f>
        <v>lít</v>
      </c>
      <c r="G802" s="588">
        <f>PTVT!G377</f>
        <v>12918</v>
      </c>
      <c r="H802" s="589">
        <f>'Giá VL'!V33</f>
        <v>15</v>
      </c>
      <c r="I802" s="603">
        <f>'5.Tiên lượng'!V111</f>
        <v>0.9</v>
      </c>
      <c r="J802" s="589">
        <f t="shared" si="49"/>
        <v>174393</v>
      </c>
    </row>
    <row r="803" spans="1:10">
      <c r="A803" s="584"/>
      <c r="B803" s="585"/>
      <c r="C803" s="586" t="s">
        <v>590</v>
      </c>
      <c r="D803" s="133" t="s">
        <v>639</v>
      </c>
      <c r="E803" s="587" t="str">
        <f>" - "&amp;'Giá VL'!E36</f>
        <v xml:space="preserve"> - Phụ gia chống trương nở đất TS</v>
      </c>
      <c r="F803" s="585" t="str">
        <f>'Giá VL'!F36</f>
        <v>kg</v>
      </c>
      <c r="G803" s="588">
        <f>PTVT!G378</f>
        <v>280</v>
      </c>
      <c r="H803" s="589">
        <f>'Giá VL'!V36</f>
        <v>23745.717985167823</v>
      </c>
      <c r="I803" s="603">
        <f>'5.Tiên lượng'!V111</f>
        <v>0.9</v>
      </c>
      <c r="J803" s="589">
        <f t="shared" si="49"/>
        <v>5983920.9322622912</v>
      </c>
    </row>
    <row r="804" spans="1:10">
      <c r="A804" s="584"/>
      <c r="B804" s="585"/>
      <c r="C804" s="586" t="s">
        <v>590</v>
      </c>
      <c r="D804" s="133" t="s">
        <v>620</v>
      </c>
      <c r="E804" s="587" t="s">
        <v>621</v>
      </c>
      <c r="F804" s="585" t="s">
        <v>37</v>
      </c>
      <c r="G804" s="588">
        <f>PTVT!G379</f>
        <v>1</v>
      </c>
      <c r="H804" s="589">
        <f>IF('5.Tiên lượng'!V111&lt;&gt;0,SUM(J801:J803)/100/'5.Tiên lượng'!V111,0)</f>
        <v>211098.81035846987</v>
      </c>
      <c r="I804" s="603">
        <f>'5.Tiên lượng'!V111</f>
        <v>0.9</v>
      </c>
      <c r="J804" s="589">
        <f t="shared" si="49"/>
        <v>189988.92932262289</v>
      </c>
    </row>
    <row r="805" spans="1:10">
      <c r="A805" s="126"/>
      <c r="B805" s="127"/>
      <c r="C805" s="128" t="s">
        <v>590</v>
      </c>
      <c r="D805" s="128" t="s">
        <v>590</v>
      </c>
      <c r="E805" s="583" t="s">
        <v>265</v>
      </c>
      <c r="F805" s="127" t="s">
        <v>266</v>
      </c>
      <c r="G805" s="130"/>
      <c r="H805" s="131"/>
      <c r="I805" s="143"/>
      <c r="J805" s="131">
        <f>SUM(J806:J807)</f>
        <v>2466402.8760000002</v>
      </c>
    </row>
    <row r="806" spans="1:10">
      <c r="A806" s="584"/>
      <c r="B806" s="585"/>
      <c r="C806" s="586" t="s">
        <v>590</v>
      </c>
      <c r="D806" s="133" t="s">
        <v>629</v>
      </c>
      <c r="E806" s="587" t="str">
        <f>" - "&amp;'Giá NC'!E10</f>
        <v xml:space="preserve"> - Nhân công bậc 4,0/7 - Nhóm 2</v>
      </c>
      <c r="F806" s="585" t="str">
        <f>'Giá NC'!F10</f>
        <v>công</v>
      </c>
      <c r="G806" s="588">
        <f>PTVT!G381</f>
        <v>4.67</v>
      </c>
      <c r="H806" s="589">
        <f>'Giá NC'!K10</f>
        <v>293092</v>
      </c>
      <c r="I806" s="603">
        <f>'5.Tiên lượng'!W111</f>
        <v>0.9</v>
      </c>
      <c r="J806" s="589">
        <f t="shared" ref="J806:J807" si="50">PRODUCT(G806,H806,I806)</f>
        <v>1231865.676</v>
      </c>
    </row>
    <row r="807" spans="1:10">
      <c r="A807" s="584"/>
      <c r="B807" s="585"/>
      <c r="C807" s="586" t="s">
        <v>590</v>
      </c>
      <c r="D807" s="133" t="s">
        <v>598</v>
      </c>
      <c r="E807" s="587" t="str">
        <f>" - "&amp;'Giá NC'!E5</f>
        <v xml:space="preserve"> - Nhân công bậc 3,0/7 - Nhóm 1</v>
      </c>
      <c r="F807" s="585" t="str">
        <f>'Giá NC'!F5</f>
        <v>công</v>
      </c>
      <c r="G807" s="588">
        <f>PTVT!G382</f>
        <v>6</v>
      </c>
      <c r="H807" s="589">
        <f>'Giá NC'!K5</f>
        <v>228618</v>
      </c>
      <c r="I807" s="603">
        <f>'5.Tiên lượng'!W111</f>
        <v>0.9</v>
      </c>
      <c r="J807" s="589">
        <f t="shared" si="50"/>
        <v>1234537.2</v>
      </c>
    </row>
    <row r="808" spans="1:10">
      <c r="A808" s="126"/>
      <c r="B808" s="127"/>
      <c r="C808" s="128" t="s">
        <v>590</v>
      </c>
      <c r="D808" s="128" t="s">
        <v>590</v>
      </c>
      <c r="E808" s="583" t="s">
        <v>267</v>
      </c>
      <c r="F808" s="127" t="s">
        <v>268</v>
      </c>
      <c r="G808" s="130"/>
      <c r="H808" s="131"/>
      <c r="I808" s="143"/>
      <c r="J808" s="131">
        <f>SUM(J809:J817)</f>
        <v>15451394.796850514</v>
      </c>
    </row>
    <row r="809" spans="1:10">
      <c r="A809" s="584"/>
      <c r="B809" s="585"/>
      <c r="C809" s="586" t="s">
        <v>590</v>
      </c>
      <c r="D809" s="133" t="s">
        <v>640</v>
      </c>
      <c r="E809" s="587" t="str">
        <f>" - "&amp;'Giá Máy'!E35</f>
        <v xml:space="preserve"> - Máy cào bóc tái sinh Wirtgen 2400</v>
      </c>
      <c r="F809" s="585" t="str">
        <f>'Giá Máy'!F35</f>
        <v>ca</v>
      </c>
      <c r="G809" s="588">
        <f>PTVT!G384</f>
        <v>0.32400000000000001</v>
      </c>
      <c r="H809" s="589">
        <f>'Giá Máy'!O35</f>
        <v>40942317.600000001</v>
      </c>
      <c r="I809" s="603">
        <f>'5.Tiên lượng'!X111</f>
        <v>0.9</v>
      </c>
      <c r="J809" s="589">
        <f t="shared" ref="J809:J817" si="51">PRODUCT(G809,H809,I809)</f>
        <v>11938779.81216</v>
      </c>
    </row>
    <row r="810" spans="1:10">
      <c r="A810" s="584"/>
      <c r="B810" s="585"/>
      <c r="C810" s="586" t="s">
        <v>590</v>
      </c>
      <c r="D810" s="133" t="s">
        <v>641</v>
      </c>
      <c r="E810" s="587" t="str">
        <f>" - "&amp;'Giá Máy'!E43</f>
        <v xml:space="preserve"> - Máy rải xi măng SW16TC (16m3)</v>
      </c>
      <c r="F810" s="585" t="str">
        <f>'Giá Máy'!F43</f>
        <v>ca</v>
      </c>
      <c r="G810" s="588">
        <f>PTVT!G385</f>
        <v>0</v>
      </c>
      <c r="H810" s="589">
        <f>'Giá Máy'!O43</f>
        <v>10312616.668888887</v>
      </c>
      <c r="I810" s="603">
        <f>'5.Tiên lượng'!X111</f>
        <v>0.9</v>
      </c>
      <c r="J810" s="589">
        <f t="shared" si="51"/>
        <v>0</v>
      </c>
    </row>
    <row r="811" spans="1:10">
      <c r="A811" s="584"/>
      <c r="B811" s="585"/>
      <c r="C811" s="586" t="s">
        <v>590</v>
      </c>
      <c r="D811" s="133" t="s">
        <v>642</v>
      </c>
      <c r="E811" s="587" t="str">
        <f>" - "&amp;'Giá Máy'!E40</f>
        <v xml:space="preserve"> - Ô tô tưới nước 10m3</v>
      </c>
      <c r="F811" s="585" t="str">
        <f>'Giá Máy'!F40</f>
        <v>ca</v>
      </c>
      <c r="G811" s="588">
        <f>PTVT!G386</f>
        <v>0.63200000000000001</v>
      </c>
      <c r="H811" s="589">
        <f>'Giá Máy'!O40</f>
        <v>1491813.8923076922</v>
      </c>
      <c r="I811" s="603">
        <f>'5.Tiên lượng'!X111</f>
        <v>0.9</v>
      </c>
      <c r="J811" s="589">
        <f t="shared" si="51"/>
        <v>848543.74194461538</v>
      </c>
    </row>
    <row r="812" spans="1:10">
      <c r="A812" s="584"/>
      <c r="B812" s="585"/>
      <c r="C812" s="586" t="s">
        <v>590</v>
      </c>
      <c r="D812" s="133" t="s">
        <v>643</v>
      </c>
      <c r="E812" s="587" t="str">
        <f>" - "&amp;'Giá Máy'!E36</f>
        <v xml:space="preserve"> - Máy lu rung chân cừu 12T</v>
      </c>
      <c r="F812" s="585" t="str">
        <f>'Giá Máy'!F36</f>
        <v>ca</v>
      </c>
      <c r="G812" s="588">
        <f>PTVT!G387</f>
        <v>0.46600000000000003</v>
      </c>
      <c r="H812" s="589">
        <f>'Giá Máy'!O36</f>
        <v>1686285.1748148147</v>
      </c>
      <c r="I812" s="603">
        <f>'5.Tiên lượng'!X111</f>
        <v>0.9</v>
      </c>
      <c r="J812" s="589">
        <f t="shared" si="51"/>
        <v>707228.00231733336</v>
      </c>
    </row>
    <row r="813" spans="1:10">
      <c r="A813" s="584"/>
      <c r="B813" s="585"/>
      <c r="C813" s="586" t="s">
        <v>590</v>
      </c>
      <c r="D813" s="133" t="s">
        <v>644</v>
      </c>
      <c r="E813" s="587" t="str">
        <f>" - "&amp;'Giá Máy'!E44</f>
        <v xml:space="preserve"> - Máy lu bánh thép tự hành 12T</v>
      </c>
      <c r="F813" s="585" t="str">
        <f>'Giá Máy'!F44</f>
        <v>ca</v>
      </c>
      <c r="G813" s="588">
        <f>PTVT!G388</f>
        <v>0.46100000000000002</v>
      </c>
      <c r="H813" s="589">
        <f>'Giá Máy'!O44</f>
        <v>1270296.9466666668</v>
      </c>
      <c r="I813" s="603">
        <f>'5.Tiên lượng'!X111</f>
        <v>0.9</v>
      </c>
      <c r="J813" s="589">
        <f t="shared" si="51"/>
        <v>527046.20317200013</v>
      </c>
    </row>
    <row r="814" spans="1:10">
      <c r="A814" s="584"/>
      <c r="B814" s="585"/>
      <c r="C814" s="586" t="s">
        <v>590</v>
      </c>
      <c r="D814" s="133" t="s">
        <v>609</v>
      </c>
      <c r="E814" s="587" t="str">
        <f>" - "&amp;'Giá Máy'!E17</f>
        <v xml:space="preserve"> - Máy lu bánh thép 10T</v>
      </c>
      <c r="F814" s="585" t="str">
        <f>'Giá Máy'!F17</f>
        <v>ca</v>
      </c>
      <c r="G814" s="588">
        <f>PTVT!G389</f>
        <v>0.35699999999999998</v>
      </c>
      <c r="H814" s="589">
        <f>'Giá Máy'!O17</f>
        <v>1132157.2474074075</v>
      </c>
      <c r="I814" s="603">
        <f>'5.Tiên lượng'!X111</f>
        <v>0.9</v>
      </c>
      <c r="J814" s="589">
        <f t="shared" si="51"/>
        <v>363762.12359200005</v>
      </c>
    </row>
    <row r="815" spans="1:10">
      <c r="A815" s="584"/>
      <c r="B815" s="585"/>
      <c r="C815" s="586" t="s">
        <v>590</v>
      </c>
      <c r="D815" s="133" t="s">
        <v>608</v>
      </c>
      <c r="E815" s="587" t="str">
        <f>" - "&amp;'Giá Máy'!E38</f>
        <v xml:space="preserve"> - Máy lu bánh hơi tự hành 16T</v>
      </c>
      <c r="F815" s="585" t="str">
        <f>'Giá Máy'!F38</f>
        <v>ca</v>
      </c>
      <c r="G815" s="588">
        <f>PTVT!G390</f>
        <v>0.47399999999999998</v>
      </c>
      <c r="H815" s="589">
        <f>'Giá Máy'!O38</f>
        <v>1553246.5422222223</v>
      </c>
      <c r="I815" s="603">
        <f>'5.Tiên lượng'!X111</f>
        <v>0.9</v>
      </c>
      <c r="J815" s="589">
        <f t="shared" si="51"/>
        <v>662614.97491200001</v>
      </c>
    </row>
    <row r="816" spans="1:10">
      <c r="A816" s="584"/>
      <c r="B816" s="585"/>
      <c r="C816" s="586" t="s">
        <v>590</v>
      </c>
      <c r="D816" s="133" t="s">
        <v>645</v>
      </c>
      <c r="E816" s="587" t="str">
        <f>" - "&amp;'Giá Máy'!E26</f>
        <v xml:space="preserve"> - Máy san 110CV</v>
      </c>
      <c r="F816" s="585" t="str">
        <f>'Giá Máy'!F26</f>
        <v>ca</v>
      </c>
      <c r="G816" s="588">
        <f>PTVT!G391</f>
        <v>0.16300000000000001</v>
      </c>
      <c r="H816" s="589">
        <f>'Giá Máy'!O26</f>
        <v>1989485.4904347826</v>
      </c>
      <c r="I816" s="603">
        <f>'5.Tiên lượng'!X111</f>
        <v>0.9</v>
      </c>
      <c r="J816" s="589">
        <f t="shared" si="51"/>
        <v>291857.52144678263</v>
      </c>
    </row>
    <row r="817" spans="1:10">
      <c r="A817" s="584"/>
      <c r="B817" s="585"/>
      <c r="C817" s="586" t="s">
        <v>590</v>
      </c>
      <c r="D817" s="133" t="s">
        <v>611</v>
      </c>
      <c r="E817" s="587" t="s">
        <v>612</v>
      </c>
      <c r="F817" s="585" t="s">
        <v>37</v>
      </c>
      <c r="G817" s="588">
        <f>PTVT!G392</f>
        <v>0.72727272727272685</v>
      </c>
      <c r="H817" s="589">
        <f>IF('5.Tiên lượng'!X111&lt;&gt;0,SUM(J809:J816)/100/'5.Tiên lượng'!X111,0)</f>
        <v>170442.58199494149</v>
      </c>
      <c r="I817" s="603">
        <f>'5.Tiên lượng'!X111</f>
        <v>0.9</v>
      </c>
      <c r="J817" s="589">
        <f t="shared" si="51"/>
        <v>111562.41730577982</v>
      </c>
    </row>
    <row r="818" spans="1:10">
      <c r="A818" s="584"/>
      <c r="B818" s="585"/>
      <c r="C818" s="586" t="s">
        <v>590</v>
      </c>
      <c r="D818" s="133" t="s">
        <v>590</v>
      </c>
      <c r="E818" s="587" t="s">
        <v>269</v>
      </c>
      <c r="F818" s="585" t="s">
        <v>270</v>
      </c>
      <c r="G818" s="590"/>
      <c r="H818" s="589"/>
      <c r="I818" s="603"/>
      <c r="J818" s="589">
        <f>J800+J805+J808</f>
        <v>37106679.534435421</v>
      </c>
    </row>
    <row r="819" spans="1:10">
      <c r="A819" s="584"/>
      <c r="B819" s="585"/>
      <c r="C819" s="586" t="s">
        <v>590</v>
      </c>
      <c r="D819" s="133" t="s">
        <v>590</v>
      </c>
      <c r="E819" s="587" t="s">
        <v>273</v>
      </c>
      <c r="F819" s="585" t="s">
        <v>274</v>
      </c>
      <c r="G819" s="591">
        <f>'Thông tin'!E67</f>
        <v>6.2E-2</v>
      </c>
      <c r="H819" s="589"/>
      <c r="I819" s="603"/>
      <c r="J819" s="589">
        <f>(J818)*G819</f>
        <v>2300614.1311349962</v>
      </c>
    </row>
    <row r="820" spans="1:10">
      <c r="A820" s="584"/>
      <c r="B820" s="585"/>
      <c r="C820" s="586" t="s">
        <v>590</v>
      </c>
      <c r="D820" s="133" t="s">
        <v>590</v>
      </c>
      <c r="E820" s="587" t="s">
        <v>276</v>
      </c>
      <c r="F820" s="585" t="s">
        <v>277</v>
      </c>
      <c r="G820" s="591">
        <f>'Thông tin'!E60</f>
        <v>2.2000000000000002E-2</v>
      </c>
      <c r="H820" s="589"/>
      <c r="I820" s="603"/>
      <c r="J820" s="589">
        <f>(J818)*G820</f>
        <v>816346.94975757936</v>
      </c>
    </row>
    <row r="821" spans="1:10" ht="27.6">
      <c r="A821" s="584"/>
      <c r="B821" s="585"/>
      <c r="C821" s="586" t="s">
        <v>590</v>
      </c>
      <c r="D821" s="133" t="s">
        <v>590</v>
      </c>
      <c r="E821" s="587" t="s">
        <v>279</v>
      </c>
      <c r="F821" s="585" t="s">
        <v>142</v>
      </c>
      <c r="G821" s="591">
        <f>'Thông tin'!E65</f>
        <v>0.02</v>
      </c>
      <c r="H821" s="589"/>
      <c r="I821" s="603"/>
      <c r="J821" s="589">
        <f>(J818)*G821</f>
        <v>742133.59068870847</v>
      </c>
    </row>
    <row r="822" spans="1:10">
      <c r="A822" s="584"/>
      <c r="B822" s="585"/>
      <c r="C822" s="586" t="s">
        <v>590</v>
      </c>
      <c r="D822" s="133" t="s">
        <v>590</v>
      </c>
      <c r="E822" s="587" t="s">
        <v>281</v>
      </c>
      <c r="F822" s="585" t="s">
        <v>282</v>
      </c>
      <c r="G822" s="590"/>
      <c r="H822" s="589"/>
      <c r="I822" s="603"/>
      <c r="J822" s="589">
        <f>J819+J820+J821</f>
        <v>3859094.6715812841</v>
      </c>
    </row>
    <row r="823" spans="1:10">
      <c r="A823" s="584"/>
      <c r="B823" s="585"/>
      <c r="C823" s="586" t="s">
        <v>590</v>
      </c>
      <c r="D823" s="133" t="s">
        <v>590</v>
      </c>
      <c r="E823" s="587" t="s">
        <v>284</v>
      </c>
      <c r="F823" s="585" t="s">
        <v>285</v>
      </c>
      <c r="G823" s="591">
        <f>'Thông tin'!E63</f>
        <v>0.06</v>
      </c>
      <c r="H823" s="589"/>
      <c r="I823" s="603"/>
      <c r="J823" s="589">
        <f>(J818+J822)*G823</f>
        <v>2457946.4523610021</v>
      </c>
    </row>
    <row r="824" spans="1:10">
      <c r="A824" s="584"/>
      <c r="B824" s="585"/>
      <c r="C824" s="586" t="s">
        <v>590</v>
      </c>
      <c r="D824" s="133" t="s">
        <v>590</v>
      </c>
      <c r="E824" s="592" t="s">
        <v>287</v>
      </c>
      <c r="F824" s="593" t="s">
        <v>288</v>
      </c>
      <c r="G824" s="590"/>
      <c r="H824" s="589"/>
      <c r="I824" s="603"/>
      <c r="J824" s="604">
        <f>J818+J822+J823</f>
        <v>43423720.658377707</v>
      </c>
    </row>
    <row r="825" spans="1:10">
      <c r="A825" s="584"/>
      <c r="B825" s="585"/>
      <c r="C825" s="586" t="s">
        <v>590</v>
      </c>
      <c r="D825" s="133" t="s">
        <v>590</v>
      </c>
      <c r="E825" s="587" t="s">
        <v>290</v>
      </c>
      <c r="F825" s="585" t="s">
        <v>291</v>
      </c>
      <c r="G825" s="591">
        <f>'Thông tin'!E61</f>
        <v>0.1</v>
      </c>
      <c r="H825" s="589"/>
      <c r="I825" s="603"/>
      <c r="J825" s="589">
        <f>(J824)*G825</f>
        <v>4342372.0658377707</v>
      </c>
    </row>
    <row r="826" spans="1:10">
      <c r="A826" s="594"/>
      <c r="B826" s="595"/>
      <c r="C826" s="596" t="s">
        <v>590</v>
      </c>
      <c r="D826" s="137" t="s">
        <v>590</v>
      </c>
      <c r="E826" s="597" t="s">
        <v>293</v>
      </c>
      <c r="F826" s="598" t="s">
        <v>19</v>
      </c>
      <c r="G826" s="599"/>
      <c r="H826" s="600"/>
      <c r="I826" s="605"/>
      <c r="J826" s="606">
        <f>J824+J825</f>
        <v>47766092.724215478</v>
      </c>
    </row>
    <row r="827" spans="1:10" ht="27.6">
      <c r="A827" s="578"/>
      <c r="B827" s="579">
        <v>46</v>
      </c>
      <c r="C827" s="578" t="str">
        <f>'5.Tiên lượng'!C113</f>
        <v>AD.24223</v>
      </c>
      <c r="D827" s="578" t="str">
        <f>'5.Tiên lượng'!C113</f>
        <v>AD.24223</v>
      </c>
      <c r="E827" s="580" t="str">
        <f>'5.Tiên lượng'!D113</f>
        <v>Tưới lớp dính bám mặt đường, nhũ tương CSS1, lượng nhũ tương 1kg/m2</v>
      </c>
      <c r="F827" s="579" t="str">
        <f>'5.Tiên lượng'!E113</f>
        <v>100m2</v>
      </c>
      <c r="G827" s="581"/>
      <c r="H827" s="582"/>
      <c r="I827" s="602"/>
      <c r="J827" s="582"/>
    </row>
    <row r="828" spans="1:10">
      <c r="A828" s="126"/>
      <c r="B828" s="127"/>
      <c r="C828" s="128" t="s">
        <v>590</v>
      </c>
      <c r="D828" s="128" t="s">
        <v>590</v>
      </c>
      <c r="E828" s="583" t="s">
        <v>262</v>
      </c>
      <c r="F828" s="127" t="s">
        <v>263</v>
      </c>
      <c r="G828" s="130"/>
      <c r="H828" s="131"/>
      <c r="I828" s="143"/>
      <c r="J828" s="131">
        <f>SUM(J829:J829)</f>
        <v>1406043.8394685537</v>
      </c>
    </row>
    <row r="829" spans="1:10">
      <c r="A829" s="584"/>
      <c r="B829" s="585"/>
      <c r="C829" s="586" t="s">
        <v>590</v>
      </c>
      <c r="D829" s="133" t="s">
        <v>646</v>
      </c>
      <c r="E829" s="587" t="str">
        <f>" - "&amp;'Giá VL'!E32</f>
        <v xml:space="preserve"> - Nhựa nhũ tương gốc axít 60%</v>
      </c>
      <c r="F829" s="585" t="str">
        <f>'Giá VL'!F32</f>
        <v>kg</v>
      </c>
      <c r="G829" s="588">
        <f>PTVT!G395</f>
        <v>102.5</v>
      </c>
      <c r="H829" s="589">
        <f>'Giá VL'!V32</f>
        <v>13717.500872863939</v>
      </c>
      <c r="I829" s="603">
        <f>'5.Tiên lượng'!V113</f>
        <v>1</v>
      </c>
      <c r="J829" s="589">
        <f>PRODUCT(G829,H829,I829)</f>
        <v>1406043.8394685537</v>
      </c>
    </row>
    <row r="830" spans="1:10">
      <c r="A830" s="126"/>
      <c r="B830" s="127"/>
      <c r="C830" s="128" t="s">
        <v>590</v>
      </c>
      <c r="D830" s="128" t="s">
        <v>590</v>
      </c>
      <c r="E830" s="583" t="s">
        <v>265</v>
      </c>
      <c r="F830" s="127" t="s">
        <v>266</v>
      </c>
      <c r="G830" s="130"/>
      <c r="H830" s="131"/>
      <c r="I830" s="143"/>
      <c r="J830" s="131">
        <f>SUM(J831:J831)</f>
        <v>62100</v>
      </c>
    </row>
    <row r="831" spans="1:10">
      <c r="A831" s="584"/>
      <c r="B831" s="585"/>
      <c r="C831" s="586" t="s">
        <v>590</v>
      </c>
      <c r="D831" s="133" t="s">
        <v>622</v>
      </c>
      <c r="E831" s="587" t="str">
        <f>" - "&amp;'Giá NC'!E9</f>
        <v xml:space="preserve"> - Nhân công bậc 3,5/7 - Nhóm 2</v>
      </c>
      <c r="F831" s="585" t="str">
        <f>'Giá NC'!F9</f>
        <v>công</v>
      </c>
      <c r="G831" s="588">
        <f>PTVT!G397</f>
        <v>0.23</v>
      </c>
      <c r="H831" s="589">
        <f>'Giá NC'!K9</f>
        <v>270000</v>
      </c>
      <c r="I831" s="603">
        <f>'5.Tiên lượng'!W113</f>
        <v>1</v>
      </c>
      <c r="J831" s="589">
        <f>PRODUCT(G831,H831,I831)</f>
        <v>62100</v>
      </c>
    </row>
    <row r="832" spans="1:10">
      <c r="A832" s="126"/>
      <c r="B832" s="127"/>
      <c r="C832" s="128" t="s">
        <v>590</v>
      </c>
      <c r="D832" s="128" t="s">
        <v>590</v>
      </c>
      <c r="E832" s="583" t="s">
        <v>267</v>
      </c>
      <c r="F832" s="127" t="s">
        <v>268</v>
      </c>
      <c r="G832" s="130"/>
      <c r="H832" s="131"/>
      <c r="I832" s="143"/>
      <c r="J832" s="131">
        <f>SUM(J833:J835)</f>
        <v>259243.05535040001</v>
      </c>
    </row>
    <row r="833" spans="1:10">
      <c r="A833" s="584"/>
      <c r="B833" s="585"/>
      <c r="C833" s="586" t="s">
        <v>590</v>
      </c>
      <c r="D833" s="133" t="s">
        <v>647</v>
      </c>
      <c r="E833" s="587" t="str">
        <f>" - "&amp;'Giá Máy'!E23</f>
        <v xml:space="preserve"> - Máy phun nhựa đường 190CV</v>
      </c>
      <c r="F833" s="585" t="str">
        <f>'Giá Máy'!F23</f>
        <v>ca</v>
      </c>
      <c r="G833" s="588">
        <f>PTVT!G399</f>
        <v>6.8000000000000005E-2</v>
      </c>
      <c r="H833" s="589">
        <f>'Giá Máy'!O23</f>
        <v>2958321.8666666662</v>
      </c>
      <c r="I833" s="603">
        <f>'5.Tiên lượng'!X113</f>
        <v>1</v>
      </c>
      <c r="J833" s="589">
        <f t="shared" ref="J833:J835" si="52">PRODUCT(G833,H833,I833)</f>
        <v>201165.88693333333</v>
      </c>
    </row>
    <row r="834" spans="1:10">
      <c r="A834" s="584"/>
      <c r="B834" s="585"/>
      <c r="C834" s="586" t="s">
        <v>590</v>
      </c>
      <c r="D834" s="133" t="s">
        <v>634</v>
      </c>
      <c r="E834" s="587" t="str">
        <f>" - "&amp;'Giá Máy'!E22</f>
        <v xml:space="preserve"> - Máy nén khí diezel 600m3/h</v>
      </c>
      <c r="F834" s="585" t="str">
        <f>'Giá Máy'!F22</f>
        <v>ca</v>
      </c>
      <c r="G834" s="588">
        <f>PTVT!G400</f>
        <v>3.4000000000000002E-2</v>
      </c>
      <c r="H834" s="589">
        <f>'Giá Máy'!O22</f>
        <v>1558646.2133333334</v>
      </c>
      <c r="I834" s="603">
        <f>'5.Tiên lượng'!X113</f>
        <v>1</v>
      </c>
      <c r="J834" s="589">
        <f t="shared" si="52"/>
        <v>52993.971253333337</v>
      </c>
    </row>
    <row r="835" spans="1:10">
      <c r="A835" s="584"/>
      <c r="B835" s="585"/>
      <c r="C835" s="586" t="s">
        <v>590</v>
      </c>
      <c r="D835" s="133" t="s">
        <v>611</v>
      </c>
      <c r="E835" s="587" t="s">
        <v>612</v>
      </c>
      <c r="F835" s="585" t="s">
        <v>37</v>
      </c>
      <c r="G835" s="588">
        <f>PTVT!G401</f>
        <v>2</v>
      </c>
      <c r="H835" s="589">
        <f>IF('5.Tiên lượng'!X113&lt;&gt;0,SUM(J833:J834)/100/'5.Tiên lượng'!X113,0)</f>
        <v>2541.5985818666668</v>
      </c>
      <c r="I835" s="603">
        <f>'5.Tiên lượng'!X113</f>
        <v>1</v>
      </c>
      <c r="J835" s="589">
        <f t="shared" si="52"/>
        <v>5083.1971637333336</v>
      </c>
    </row>
    <row r="836" spans="1:10">
      <c r="A836" s="584"/>
      <c r="B836" s="585"/>
      <c r="C836" s="586" t="s">
        <v>590</v>
      </c>
      <c r="D836" s="133" t="s">
        <v>590</v>
      </c>
      <c r="E836" s="587" t="s">
        <v>269</v>
      </c>
      <c r="F836" s="585" t="s">
        <v>270</v>
      </c>
      <c r="G836" s="590"/>
      <c r="H836" s="589"/>
      <c r="I836" s="603"/>
      <c r="J836" s="589">
        <f>J828+J830+J832</f>
        <v>1727386.8948189537</v>
      </c>
    </row>
    <row r="837" spans="1:10">
      <c r="A837" s="584"/>
      <c r="B837" s="585"/>
      <c r="C837" s="586" t="s">
        <v>590</v>
      </c>
      <c r="D837" s="133" t="s">
        <v>590</v>
      </c>
      <c r="E837" s="587" t="s">
        <v>273</v>
      </c>
      <c r="F837" s="585" t="s">
        <v>274</v>
      </c>
      <c r="G837" s="591">
        <f>'Thông tin'!E67</f>
        <v>6.2E-2</v>
      </c>
      <c r="H837" s="589"/>
      <c r="I837" s="603"/>
      <c r="J837" s="589">
        <f>(J836)*G837</f>
        <v>107097.98747877513</v>
      </c>
    </row>
    <row r="838" spans="1:10">
      <c r="A838" s="584"/>
      <c r="B838" s="585"/>
      <c r="C838" s="586" t="s">
        <v>590</v>
      </c>
      <c r="D838" s="133" t="s">
        <v>590</v>
      </c>
      <c r="E838" s="587" t="s">
        <v>276</v>
      </c>
      <c r="F838" s="585" t="s">
        <v>277</v>
      </c>
      <c r="G838" s="591">
        <f>'Thông tin'!E60</f>
        <v>2.2000000000000002E-2</v>
      </c>
      <c r="H838" s="589"/>
      <c r="I838" s="603"/>
      <c r="J838" s="589">
        <f>(J836)*G838</f>
        <v>38002.511686016987</v>
      </c>
    </row>
    <row r="839" spans="1:10" ht="27.6">
      <c r="A839" s="584"/>
      <c r="B839" s="585"/>
      <c r="C839" s="586" t="s">
        <v>590</v>
      </c>
      <c r="D839" s="133" t="s">
        <v>590</v>
      </c>
      <c r="E839" s="587" t="s">
        <v>279</v>
      </c>
      <c r="F839" s="585" t="s">
        <v>142</v>
      </c>
      <c r="G839" s="591">
        <f>'Thông tin'!E65</f>
        <v>0.02</v>
      </c>
      <c r="H839" s="589"/>
      <c r="I839" s="603"/>
      <c r="J839" s="589">
        <f>(J836)*G839</f>
        <v>34547.737896379076</v>
      </c>
    </row>
    <row r="840" spans="1:10">
      <c r="A840" s="584"/>
      <c r="B840" s="585"/>
      <c r="C840" s="586" t="s">
        <v>590</v>
      </c>
      <c r="D840" s="133" t="s">
        <v>590</v>
      </c>
      <c r="E840" s="587" t="s">
        <v>281</v>
      </c>
      <c r="F840" s="585" t="s">
        <v>282</v>
      </c>
      <c r="G840" s="590"/>
      <c r="H840" s="589"/>
      <c r="I840" s="603"/>
      <c r="J840" s="589">
        <f>J837+J838+J839</f>
        <v>179648.23706117121</v>
      </c>
    </row>
    <row r="841" spans="1:10">
      <c r="A841" s="584"/>
      <c r="B841" s="585"/>
      <c r="C841" s="586" t="s">
        <v>590</v>
      </c>
      <c r="D841" s="133" t="s">
        <v>590</v>
      </c>
      <c r="E841" s="587" t="s">
        <v>284</v>
      </c>
      <c r="F841" s="585" t="s">
        <v>285</v>
      </c>
      <c r="G841" s="591">
        <f>'Thông tin'!E63</f>
        <v>0.06</v>
      </c>
      <c r="H841" s="589"/>
      <c r="I841" s="603"/>
      <c r="J841" s="589">
        <f>(J836+J840)*G841</f>
        <v>114422.10791280749</v>
      </c>
    </row>
    <row r="842" spans="1:10">
      <c r="A842" s="584"/>
      <c r="B842" s="585"/>
      <c r="C842" s="586" t="s">
        <v>590</v>
      </c>
      <c r="D842" s="133" t="s">
        <v>590</v>
      </c>
      <c r="E842" s="592" t="s">
        <v>287</v>
      </c>
      <c r="F842" s="593" t="s">
        <v>288</v>
      </c>
      <c r="G842" s="590"/>
      <c r="H842" s="589"/>
      <c r="I842" s="603"/>
      <c r="J842" s="604">
        <f>J836+J840+J841</f>
        <v>2021457.2397929325</v>
      </c>
    </row>
    <row r="843" spans="1:10">
      <c r="A843" s="584"/>
      <c r="B843" s="585"/>
      <c r="C843" s="586" t="s">
        <v>590</v>
      </c>
      <c r="D843" s="133" t="s">
        <v>590</v>
      </c>
      <c r="E843" s="587" t="s">
        <v>290</v>
      </c>
      <c r="F843" s="585" t="s">
        <v>291</v>
      </c>
      <c r="G843" s="591">
        <f>'Thông tin'!E61</f>
        <v>0.1</v>
      </c>
      <c r="H843" s="589"/>
      <c r="I843" s="603"/>
      <c r="J843" s="589">
        <f>(J842)*G843</f>
        <v>202145.72397929325</v>
      </c>
    </row>
    <row r="844" spans="1:10">
      <c r="A844" s="594"/>
      <c r="B844" s="595"/>
      <c r="C844" s="596" t="s">
        <v>590</v>
      </c>
      <c r="D844" s="137" t="s">
        <v>590</v>
      </c>
      <c r="E844" s="597" t="s">
        <v>293</v>
      </c>
      <c r="F844" s="598" t="s">
        <v>19</v>
      </c>
      <c r="G844" s="599"/>
      <c r="H844" s="600"/>
      <c r="I844" s="605"/>
      <c r="J844" s="606">
        <f>J842+J843</f>
        <v>2223602.9637722257</v>
      </c>
    </row>
    <row r="845" spans="1:10" ht="27.6">
      <c r="A845" s="578"/>
      <c r="B845" s="579">
        <v>47</v>
      </c>
      <c r="C845" s="578" t="str">
        <f>'5.Tiên lượng'!C115</f>
        <v>AD.24132</v>
      </c>
      <c r="D845" s="578" t="str">
        <f>'5.Tiên lượng'!C115</f>
        <v>AD.24132</v>
      </c>
      <c r="E845" s="580" t="str">
        <f>'5.Tiên lượng'!D115</f>
        <v>Thi công mặt đường láng nhũ tương 03 lớp - Tiêu chuẩn nhựa 4,5kg/m2</v>
      </c>
      <c r="F845" s="579" t="str">
        <f>'5.Tiên lượng'!E115</f>
        <v>100m2</v>
      </c>
      <c r="G845" s="581"/>
      <c r="H845" s="582"/>
      <c r="I845" s="602"/>
      <c r="J845" s="582"/>
    </row>
    <row r="846" spans="1:10">
      <c r="A846" s="126"/>
      <c r="B846" s="127"/>
      <c r="C846" s="128" t="s">
        <v>590</v>
      </c>
      <c r="D846" s="128" t="s">
        <v>590</v>
      </c>
      <c r="E846" s="583" t="s">
        <v>262</v>
      </c>
      <c r="F846" s="127" t="s">
        <v>263</v>
      </c>
      <c r="G846" s="130"/>
      <c r="H846" s="131"/>
      <c r="I846" s="143"/>
      <c r="J846" s="131">
        <f>SUM(J847:J850)</f>
        <v>7572500.995428551</v>
      </c>
    </row>
    <row r="847" spans="1:10">
      <c r="A847" s="584"/>
      <c r="B847" s="585"/>
      <c r="C847" s="586" t="s">
        <v>590</v>
      </c>
      <c r="D847" s="133" t="s">
        <v>648</v>
      </c>
      <c r="E847" s="587" t="str">
        <f>" - "&amp;'Giá VL'!E46</f>
        <v xml:space="preserve"> - Đá 4,75÷9,5 (mm)</v>
      </c>
      <c r="F847" s="585" t="str">
        <f>'Giá VL'!F46</f>
        <v>m3</v>
      </c>
      <c r="G847" s="588">
        <f>PTVT!G404</f>
        <v>0.67</v>
      </c>
      <c r="H847" s="589">
        <f>'Giá VL'!V46</f>
        <v>280458.0547558713</v>
      </c>
      <c r="I847" s="603">
        <f>'5.Tiên lượng'!V115</f>
        <v>1</v>
      </c>
      <c r="J847" s="589">
        <f t="shared" ref="J847:J850" si="53">PRODUCT(G847,H847,I847)</f>
        <v>187906.89668643379</v>
      </c>
    </row>
    <row r="848" spans="1:10">
      <c r="A848" s="584"/>
      <c r="B848" s="585"/>
      <c r="C848" s="586" t="s">
        <v>590</v>
      </c>
      <c r="D848" s="133" t="s">
        <v>649</v>
      </c>
      <c r="E848" s="587" t="str">
        <f>" - "&amp;'Giá VL'!E47</f>
        <v xml:space="preserve"> - Đá 9,5÷12,5 (mm)</v>
      </c>
      <c r="F848" s="585" t="str">
        <f>'Giá VL'!F47</f>
        <v>m3</v>
      </c>
      <c r="G848" s="588">
        <f>PTVT!G405</f>
        <v>1.21</v>
      </c>
      <c r="H848" s="589">
        <f>'Giá VL'!V47</f>
        <v>280458.0547558713</v>
      </c>
      <c r="I848" s="603">
        <f>'5.Tiên lượng'!V115</f>
        <v>1</v>
      </c>
      <c r="J848" s="589">
        <f t="shared" si="53"/>
        <v>339354.24625460425</v>
      </c>
    </row>
    <row r="849" spans="1:10">
      <c r="A849" s="584"/>
      <c r="B849" s="585"/>
      <c r="C849" s="586" t="s">
        <v>590</v>
      </c>
      <c r="D849" s="133" t="s">
        <v>650</v>
      </c>
      <c r="E849" s="587" t="str">
        <f>" - "&amp;'Giá VL'!E48</f>
        <v xml:space="preserve"> - Đá 12,5÷19 (mm)</v>
      </c>
      <c r="F849" s="585" t="str">
        <f>'Giá VL'!F48</f>
        <v>m3</v>
      </c>
      <c r="G849" s="588">
        <f>PTVT!G406</f>
        <v>2.0099999999999998</v>
      </c>
      <c r="H849" s="589">
        <f>'Giá VL'!V48</f>
        <v>280458.0547558713</v>
      </c>
      <c r="I849" s="603">
        <f>'5.Tiên lượng'!V115</f>
        <v>1</v>
      </c>
      <c r="J849" s="589">
        <f t="shared" si="53"/>
        <v>563720.69005930121</v>
      </c>
    </row>
    <row r="850" spans="1:10">
      <c r="A850" s="584"/>
      <c r="B850" s="585"/>
      <c r="C850" s="586" t="s">
        <v>590</v>
      </c>
      <c r="D850" s="133" t="s">
        <v>646</v>
      </c>
      <c r="E850" s="587" t="str">
        <f>" - "&amp;'Giá VL'!E32</f>
        <v xml:space="preserve"> - Nhựa nhũ tương gốc axít 60%</v>
      </c>
      <c r="F850" s="585" t="str">
        <f>'Giá VL'!F32</f>
        <v>kg</v>
      </c>
      <c r="G850" s="588">
        <f>PTVT!G407</f>
        <v>472.5</v>
      </c>
      <c r="H850" s="589">
        <f>'Giá VL'!V32</f>
        <v>13717.500872863939</v>
      </c>
      <c r="I850" s="603">
        <f>'5.Tiên lượng'!V115</f>
        <v>1</v>
      </c>
      <c r="J850" s="589">
        <f t="shared" si="53"/>
        <v>6481519.1624282114</v>
      </c>
    </row>
    <row r="851" spans="1:10">
      <c r="A851" s="126"/>
      <c r="B851" s="127"/>
      <c r="C851" s="128" t="s">
        <v>590</v>
      </c>
      <c r="D851" s="128" t="s">
        <v>590</v>
      </c>
      <c r="E851" s="583" t="s">
        <v>265</v>
      </c>
      <c r="F851" s="127" t="s">
        <v>266</v>
      </c>
      <c r="G851" s="130"/>
      <c r="H851" s="131"/>
      <c r="I851" s="143"/>
      <c r="J851" s="131">
        <f>SUM(J852:J852)</f>
        <v>1166400</v>
      </c>
    </row>
    <row r="852" spans="1:10">
      <c r="A852" s="584"/>
      <c r="B852" s="585"/>
      <c r="C852" s="586" t="s">
        <v>590</v>
      </c>
      <c r="D852" s="133" t="s">
        <v>622</v>
      </c>
      <c r="E852" s="587" t="str">
        <f>" - "&amp;'Giá NC'!E9</f>
        <v xml:space="preserve"> - Nhân công bậc 3,5/7 - Nhóm 2</v>
      </c>
      <c r="F852" s="585" t="str">
        <f>'Giá NC'!F9</f>
        <v>công</v>
      </c>
      <c r="G852" s="588">
        <f>PTVT!G409</f>
        <v>4.32</v>
      </c>
      <c r="H852" s="589">
        <f>'Giá NC'!K9</f>
        <v>270000</v>
      </c>
      <c r="I852" s="603">
        <f>'5.Tiên lượng'!W115</f>
        <v>1</v>
      </c>
      <c r="J852" s="589">
        <f>PRODUCT(G852,H852,I852)</f>
        <v>1166400</v>
      </c>
    </row>
    <row r="853" spans="1:10">
      <c r="A853" s="126"/>
      <c r="B853" s="127"/>
      <c r="C853" s="128" t="s">
        <v>590</v>
      </c>
      <c r="D853" s="128" t="s">
        <v>590</v>
      </c>
      <c r="E853" s="583" t="s">
        <v>267</v>
      </c>
      <c r="F853" s="127" t="s">
        <v>268</v>
      </c>
      <c r="G853" s="130"/>
      <c r="H853" s="131"/>
      <c r="I853" s="143"/>
      <c r="J853" s="131">
        <f>SUM(J854:J856)</f>
        <v>821220.38320153835</v>
      </c>
    </row>
    <row r="854" spans="1:10">
      <c r="A854" s="584"/>
      <c r="B854" s="585"/>
      <c r="C854" s="586" t="s">
        <v>590</v>
      </c>
      <c r="D854" s="133" t="s">
        <v>651</v>
      </c>
      <c r="E854" s="587" t="str">
        <f>" - "&amp;'Giá Máy'!E39</f>
        <v xml:space="preserve"> - Máy lu bánh thép tự hành 8,5T</v>
      </c>
      <c r="F854" s="585" t="str">
        <f>'Giá Máy'!F39</f>
        <v>ca</v>
      </c>
      <c r="G854" s="588">
        <f>PTVT!G411</f>
        <v>0.25800000000000001</v>
      </c>
      <c r="H854" s="589">
        <f>'Giá Máy'!O39</f>
        <v>1009475.96</v>
      </c>
      <c r="I854" s="603">
        <f>'5.Tiên lượng'!X115</f>
        <v>1</v>
      </c>
      <c r="J854" s="589">
        <f t="shared" ref="J854:J856" si="54">PRODUCT(G854,H854,I854)</f>
        <v>260444.79767999999</v>
      </c>
    </row>
    <row r="855" spans="1:10">
      <c r="A855" s="584"/>
      <c r="B855" s="585"/>
      <c r="C855" s="586" t="s">
        <v>590</v>
      </c>
      <c r="D855" s="133" t="s">
        <v>647</v>
      </c>
      <c r="E855" s="587" t="str">
        <f>" - "&amp;'Giá Máy'!E23</f>
        <v xml:space="preserve"> - Máy phun nhựa đường 190CV</v>
      </c>
      <c r="F855" s="585" t="str">
        <f>'Giá Máy'!F23</f>
        <v>ca</v>
      </c>
      <c r="G855" s="588">
        <f>PTVT!G412</f>
        <v>0.126</v>
      </c>
      <c r="H855" s="589">
        <f>'Giá Máy'!O23</f>
        <v>2958321.8666666662</v>
      </c>
      <c r="I855" s="603">
        <f>'5.Tiên lượng'!X115</f>
        <v>1</v>
      </c>
      <c r="J855" s="589">
        <f t="shared" si="54"/>
        <v>372748.55519999994</v>
      </c>
    </row>
    <row r="856" spans="1:10">
      <c r="A856" s="584"/>
      <c r="B856" s="585"/>
      <c r="C856" s="586" t="s">
        <v>590</v>
      </c>
      <c r="D856" s="133" t="s">
        <v>652</v>
      </c>
      <c r="E856" s="587" t="str">
        <f>" - "&amp;'Giá Máy'!E32</f>
        <v xml:space="preserve"> - Ô tô tự đổ 5T</v>
      </c>
      <c r="F856" s="585" t="str">
        <f>'Giá Máy'!F32</f>
        <v>ca</v>
      </c>
      <c r="G856" s="588">
        <f>PTVT!G413</f>
        <v>0.129</v>
      </c>
      <c r="H856" s="589">
        <f>'Giá Máy'!O32</f>
        <v>1457573.8784615383</v>
      </c>
      <c r="I856" s="603">
        <f>'5.Tiên lượng'!X115</f>
        <v>1</v>
      </c>
      <c r="J856" s="589">
        <f t="shared" si="54"/>
        <v>188027.03032153845</v>
      </c>
    </row>
    <row r="857" spans="1:10">
      <c r="A857" s="584"/>
      <c r="B857" s="585"/>
      <c r="C857" s="586" t="s">
        <v>590</v>
      </c>
      <c r="D857" s="133" t="s">
        <v>590</v>
      </c>
      <c r="E857" s="587" t="s">
        <v>269</v>
      </c>
      <c r="F857" s="585" t="s">
        <v>270</v>
      </c>
      <c r="G857" s="590"/>
      <c r="H857" s="589"/>
      <c r="I857" s="603"/>
      <c r="J857" s="589">
        <f>J846+J851+J853</f>
        <v>9560121.3786300886</v>
      </c>
    </row>
    <row r="858" spans="1:10">
      <c r="A858" s="584"/>
      <c r="B858" s="585"/>
      <c r="C858" s="586" t="s">
        <v>590</v>
      </c>
      <c r="D858" s="133" t="s">
        <v>590</v>
      </c>
      <c r="E858" s="587" t="s">
        <v>273</v>
      </c>
      <c r="F858" s="585" t="s">
        <v>274</v>
      </c>
      <c r="G858" s="591">
        <f>'Thông tin'!E67</f>
        <v>6.2E-2</v>
      </c>
      <c r="H858" s="589"/>
      <c r="I858" s="603"/>
      <c r="J858" s="589">
        <f>(J857)*G858</f>
        <v>592727.52547506546</v>
      </c>
    </row>
    <row r="859" spans="1:10">
      <c r="A859" s="584"/>
      <c r="B859" s="585"/>
      <c r="C859" s="586" t="s">
        <v>590</v>
      </c>
      <c r="D859" s="133" t="s">
        <v>590</v>
      </c>
      <c r="E859" s="587" t="s">
        <v>276</v>
      </c>
      <c r="F859" s="585" t="s">
        <v>277</v>
      </c>
      <c r="G859" s="591">
        <f>'Thông tin'!E60</f>
        <v>2.2000000000000002E-2</v>
      </c>
      <c r="H859" s="589"/>
      <c r="I859" s="603"/>
      <c r="J859" s="589">
        <f>(J857)*G859</f>
        <v>210322.67032986198</v>
      </c>
    </row>
    <row r="860" spans="1:10" ht="27.6">
      <c r="A860" s="584"/>
      <c r="B860" s="585"/>
      <c r="C860" s="586" t="s">
        <v>590</v>
      </c>
      <c r="D860" s="133" t="s">
        <v>590</v>
      </c>
      <c r="E860" s="587" t="s">
        <v>279</v>
      </c>
      <c r="F860" s="585" t="s">
        <v>142</v>
      </c>
      <c r="G860" s="591">
        <f>'Thông tin'!E65</f>
        <v>0.02</v>
      </c>
      <c r="H860" s="589"/>
      <c r="I860" s="603"/>
      <c r="J860" s="589">
        <f>(J857)*G860</f>
        <v>191202.42757260177</v>
      </c>
    </row>
    <row r="861" spans="1:10">
      <c r="A861" s="584"/>
      <c r="B861" s="585"/>
      <c r="C861" s="586" t="s">
        <v>590</v>
      </c>
      <c r="D861" s="133" t="s">
        <v>590</v>
      </c>
      <c r="E861" s="587" t="s">
        <v>281</v>
      </c>
      <c r="F861" s="585" t="s">
        <v>282</v>
      </c>
      <c r="G861" s="590"/>
      <c r="H861" s="589"/>
      <c r="I861" s="603"/>
      <c r="J861" s="589">
        <f>J858+J859+J860</f>
        <v>994252.62337752921</v>
      </c>
    </row>
    <row r="862" spans="1:10">
      <c r="A862" s="584"/>
      <c r="B862" s="585"/>
      <c r="C862" s="586" t="s">
        <v>590</v>
      </c>
      <c r="D862" s="133" t="s">
        <v>590</v>
      </c>
      <c r="E862" s="587" t="s">
        <v>284</v>
      </c>
      <c r="F862" s="585" t="s">
        <v>285</v>
      </c>
      <c r="G862" s="591">
        <f>'Thông tin'!E63</f>
        <v>0.06</v>
      </c>
      <c r="H862" s="589"/>
      <c r="I862" s="603"/>
      <c r="J862" s="589">
        <f>(J857+J861)*G862</f>
        <v>633262.44012045709</v>
      </c>
    </row>
    <row r="863" spans="1:10">
      <c r="A863" s="584"/>
      <c r="B863" s="585"/>
      <c r="C863" s="586" t="s">
        <v>590</v>
      </c>
      <c r="D863" s="133" t="s">
        <v>590</v>
      </c>
      <c r="E863" s="592" t="s">
        <v>287</v>
      </c>
      <c r="F863" s="593" t="s">
        <v>288</v>
      </c>
      <c r="G863" s="590"/>
      <c r="H863" s="589"/>
      <c r="I863" s="603"/>
      <c r="J863" s="604">
        <f>J857+J861+J862</f>
        <v>11187636.442128075</v>
      </c>
    </row>
    <row r="864" spans="1:10">
      <c r="A864" s="584"/>
      <c r="B864" s="585"/>
      <c r="C864" s="586" t="s">
        <v>590</v>
      </c>
      <c r="D864" s="133" t="s">
        <v>590</v>
      </c>
      <c r="E864" s="587" t="s">
        <v>290</v>
      </c>
      <c r="F864" s="585" t="s">
        <v>291</v>
      </c>
      <c r="G864" s="591">
        <f>'Thông tin'!E61</f>
        <v>0.1</v>
      </c>
      <c r="H864" s="589"/>
      <c r="I864" s="603"/>
      <c r="J864" s="589">
        <f>(J863)*G864</f>
        <v>1118763.6442128075</v>
      </c>
    </row>
    <row r="865" spans="1:10">
      <c r="A865" s="594"/>
      <c r="B865" s="595"/>
      <c r="C865" s="596" t="s">
        <v>590</v>
      </c>
      <c r="D865" s="137" t="s">
        <v>590</v>
      </c>
      <c r="E865" s="597" t="s">
        <v>293</v>
      </c>
      <c r="F865" s="598" t="s">
        <v>19</v>
      </c>
      <c r="G865" s="599"/>
      <c r="H865" s="600"/>
      <c r="I865" s="605"/>
      <c r="J865" s="606">
        <f>J863+J864</f>
        <v>12306400.086340882</v>
      </c>
    </row>
    <row r="866" spans="1:10">
      <c r="A866" s="572"/>
      <c r="B866" s="573"/>
      <c r="C866" s="574" t="s">
        <v>339</v>
      </c>
      <c r="D866" s="117" t="s">
        <v>339</v>
      </c>
      <c r="E866" s="575" t="s">
        <v>454</v>
      </c>
      <c r="F866" s="573"/>
      <c r="G866" s="576"/>
      <c r="H866" s="577"/>
      <c r="I866" s="601"/>
      <c r="J866" s="577" t="s">
        <v>597</v>
      </c>
    </row>
    <row r="867" spans="1:10" ht="55.2">
      <c r="A867" s="578"/>
      <c r="B867" s="579">
        <v>48</v>
      </c>
      <c r="C867" s="578" t="str">
        <f>'5.Tiên lượng'!C118</f>
        <v>LS.11110(ĐM.1322)</v>
      </c>
      <c r="D867" s="578" t="str">
        <f>'5.Tiên lượng'!C118</f>
        <v>LS.11110(ĐM.1322)</v>
      </c>
      <c r="E867" s="580" t="str">
        <f>'5.Tiên lượng'!D118</f>
        <v>Cào bóc tái sinh nguội tại chỗ bằng máy cào bóc tái sinh WR2400 trên mặt đường láng nhựa, chiều dày 18cm (4% xi măng rải thủ công)</v>
      </c>
      <c r="F867" s="579" t="str">
        <f>'5.Tiên lượng'!E118</f>
        <v>100m3</v>
      </c>
      <c r="G867" s="581"/>
      <c r="H867" s="582"/>
      <c r="I867" s="602"/>
      <c r="J867" s="582"/>
    </row>
    <row r="868" spans="1:10">
      <c r="A868" s="126"/>
      <c r="B868" s="127"/>
      <c r="C868" s="128" t="s">
        <v>590</v>
      </c>
      <c r="D868" s="128" t="s">
        <v>590</v>
      </c>
      <c r="E868" s="583" t="s">
        <v>262</v>
      </c>
      <c r="F868" s="127" t="s">
        <v>263</v>
      </c>
      <c r="G868" s="130"/>
      <c r="H868" s="131"/>
      <c r="I868" s="143"/>
      <c r="J868" s="131">
        <f>SUM(J869:J872)</f>
        <v>19188881.861584913</v>
      </c>
    </row>
    <row r="869" spans="1:10">
      <c r="A869" s="584"/>
      <c r="B869" s="585"/>
      <c r="C869" s="586" t="s">
        <v>590</v>
      </c>
      <c r="D869" s="133" t="s">
        <v>614</v>
      </c>
      <c r="E869" s="587" t="str">
        <f>" - "&amp;'Giá VL'!E45</f>
        <v xml:space="preserve"> - Xi măng PCB40</v>
      </c>
      <c r="F869" s="585" t="str">
        <f>'Giá VL'!F45</f>
        <v>kg</v>
      </c>
      <c r="G869" s="588">
        <f>PTVT!G417</f>
        <v>8247</v>
      </c>
      <c r="H869" s="589">
        <f>'Giá VL'!V45</f>
        <v>1730</v>
      </c>
      <c r="I869" s="603">
        <f>'5.Tiên lượng'!V118</f>
        <v>0.9</v>
      </c>
      <c r="J869" s="589">
        <f t="shared" ref="J869:J872" si="55">PRODUCT(G869,H869,I869)</f>
        <v>12840579</v>
      </c>
    </row>
    <row r="870" spans="1:10">
      <c r="A870" s="584"/>
      <c r="B870" s="585"/>
      <c r="C870" s="586" t="s">
        <v>590</v>
      </c>
      <c r="D870" s="133" t="s">
        <v>617</v>
      </c>
      <c r="E870" s="587" t="str">
        <f>" - "&amp;'Giá VL'!E33</f>
        <v xml:space="preserve"> - Nước</v>
      </c>
      <c r="F870" s="585" t="str">
        <f>'Giá VL'!F33</f>
        <v>lít</v>
      </c>
      <c r="G870" s="588">
        <f>PTVT!G418</f>
        <v>12918</v>
      </c>
      <c r="H870" s="589">
        <f>'Giá VL'!V33</f>
        <v>15</v>
      </c>
      <c r="I870" s="603">
        <f>'5.Tiên lượng'!V118</f>
        <v>0.9</v>
      </c>
      <c r="J870" s="589">
        <f t="shared" si="55"/>
        <v>174393</v>
      </c>
    </row>
    <row r="871" spans="1:10">
      <c r="A871" s="584"/>
      <c r="B871" s="585"/>
      <c r="C871" s="586" t="s">
        <v>590</v>
      </c>
      <c r="D871" s="133" t="s">
        <v>639</v>
      </c>
      <c r="E871" s="587" t="str">
        <f>" - "&amp;'Giá VL'!E36</f>
        <v xml:space="preserve"> - Phụ gia chống trương nở đất TS</v>
      </c>
      <c r="F871" s="585" t="str">
        <f>'Giá VL'!F36</f>
        <v>kg</v>
      </c>
      <c r="G871" s="588">
        <f>PTVT!G419</f>
        <v>280</v>
      </c>
      <c r="H871" s="589">
        <f>'Giá VL'!V36</f>
        <v>23745.717985167823</v>
      </c>
      <c r="I871" s="603">
        <f>'5.Tiên lượng'!V118</f>
        <v>0.9</v>
      </c>
      <c r="J871" s="589">
        <f t="shared" si="55"/>
        <v>5983920.9322622912</v>
      </c>
    </row>
    <row r="872" spans="1:10">
      <c r="A872" s="584"/>
      <c r="B872" s="585"/>
      <c r="C872" s="586" t="s">
        <v>590</v>
      </c>
      <c r="D872" s="133" t="s">
        <v>620</v>
      </c>
      <c r="E872" s="587" t="s">
        <v>621</v>
      </c>
      <c r="F872" s="585" t="s">
        <v>37</v>
      </c>
      <c r="G872" s="588">
        <f>PTVT!G420</f>
        <v>1</v>
      </c>
      <c r="H872" s="589">
        <f>IF('5.Tiên lượng'!V118&lt;&gt;0,SUM(J869:J871)/100/'5.Tiên lượng'!V118,0)</f>
        <v>211098.81035846987</v>
      </c>
      <c r="I872" s="603">
        <f>'5.Tiên lượng'!V118</f>
        <v>0.9</v>
      </c>
      <c r="J872" s="589">
        <f t="shared" si="55"/>
        <v>189988.92932262289</v>
      </c>
    </row>
    <row r="873" spans="1:10">
      <c r="A873" s="126"/>
      <c r="B873" s="127"/>
      <c r="C873" s="128" t="s">
        <v>590</v>
      </c>
      <c r="D873" s="128" t="s">
        <v>590</v>
      </c>
      <c r="E873" s="583" t="s">
        <v>265</v>
      </c>
      <c r="F873" s="127" t="s">
        <v>266</v>
      </c>
      <c r="G873" s="130"/>
      <c r="H873" s="131"/>
      <c r="I873" s="143"/>
      <c r="J873" s="131">
        <f>SUM(J874:J875)</f>
        <v>2466402.8760000002</v>
      </c>
    </row>
    <row r="874" spans="1:10">
      <c r="A874" s="584"/>
      <c r="B874" s="585"/>
      <c r="C874" s="586" t="s">
        <v>590</v>
      </c>
      <c r="D874" s="133" t="s">
        <v>629</v>
      </c>
      <c r="E874" s="587" t="str">
        <f>" - "&amp;'Giá NC'!E10</f>
        <v xml:space="preserve"> - Nhân công bậc 4,0/7 - Nhóm 2</v>
      </c>
      <c r="F874" s="585" t="str">
        <f>'Giá NC'!F10</f>
        <v>công</v>
      </c>
      <c r="G874" s="588">
        <f>PTVT!G422</f>
        <v>4.67</v>
      </c>
      <c r="H874" s="589">
        <f>'Giá NC'!K10</f>
        <v>293092</v>
      </c>
      <c r="I874" s="603">
        <f>'5.Tiên lượng'!W118</f>
        <v>0.9</v>
      </c>
      <c r="J874" s="589">
        <f t="shared" ref="J874:J875" si="56">PRODUCT(G874,H874,I874)</f>
        <v>1231865.676</v>
      </c>
    </row>
    <row r="875" spans="1:10">
      <c r="A875" s="584"/>
      <c r="B875" s="585"/>
      <c r="C875" s="586" t="s">
        <v>590</v>
      </c>
      <c r="D875" s="133" t="s">
        <v>598</v>
      </c>
      <c r="E875" s="587" t="str">
        <f>" - "&amp;'Giá NC'!E5</f>
        <v xml:space="preserve"> - Nhân công bậc 3,0/7 - Nhóm 1</v>
      </c>
      <c r="F875" s="585" t="str">
        <f>'Giá NC'!F5</f>
        <v>công</v>
      </c>
      <c r="G875" s="588">
        <f>PTVT!G423</f>
        <v>6</v>
      </c>
      <c r="H875" s="589">
        <f>'Giá NC'!K5</f>
        <v>228618</v>
      </c>
      <c r="I875" s="603">
        <f>'5.Tiên lượng'!W118</f>
        <v>0.9</v>
      </c>
      <c r="J875" s="589">
        <f t="shared" si="56"/>
        <v>1234537.2</v>
      </c>
    </row>
    <row r="876" spans="1:10">
      <c r="A876" s="126"/>
      <c r="B876" s="127"/>
      <c r="C876" s="128" t="s">
        <v>590</v>
      </c>
      <c r="D876" s="128" t="s">
        <v>590</v>
      </c>
      <c r="E876" s="583" t="s">
        <v>267</v>
      </c>
      <c r="F876" s="127" t="s">
        <v>268</v>
      </c>
      <c r="G876" s="130"/>
      <c r="H876" s="131"/>
      <c r="I876" s="143"/>
      <c r="J876" s="131">
        <f>SUM(J877:J885)</f>
        <v>15451394.796850514</v>
      </c>
    </row>
    <row r="877" spans="1:10">
      <c r="A877" s="584"/>
      <c r="B877" s="585"/>
      <c r="C877" s="586" t="s">
        <v>590</v>
      </c>
      <c r="D877" s="133" t="s">
        <v>640</v>
      </c>
      <c r="E877" s="587" t="str">
        <f>" - "&amp;'Giá Máy'!E35</f>
        <v xml:space="preserve"> - Máy cào bóc tái sinh Wirtgen 2400</v>
      </c>
      <c r="F877" s="585" t="str">
        <f>'Giá Máy'!F35</f>
        <v>ca</v>
      </c>
      <c r="G877" s="588">
        <f>PTVT!G425</f>
        <v>0.32400000000000001</v>
      </c>
      <c r="H877" s="589">
        <f>'Giá Máy'!O35</f>
        <v>40942317.600000001</v>
      </c>
      <c r="I877" s="603">
        <f>'5.Tiên lượng'!X118</f>
        <v>0.9</v>
      </c>
      <c r="J877" s="589">
        <f t="shared" ref="J877:J885" si="57">PRODUCT(G877,H877,I877)</f>
        <v>11938779.81216</v>
      </c>
    </row>
    <row r="878" spans="1:10">
      <c r="A878" s="584"/>
      <c r="B878" s="585"/>
      <c r="C878" s="586" t="s">
        <v>590</v>
      </c>
      <c r="D878" s="133" t="s">
        <v>641</v>
      </c>
      <c r="E878" s="587" t="str">
        <f>" - "&amp;'Giá Máy'!E43</f>
        <v xml:space="preserve"> - Máy rải xi măng SW16TC (16m3)</v>
      </c>
      <c r="F878" s="585" t="str">
        <f>'Giá Máy'!F43</f>
        <v>ca</v>
      </c>
      <c r="G878" s="588">
        <f>PTVT!G426</f>
        <v>0</v>
      </c>
      <c r="H878" s="589">
        <f>'Giá Máy'!O43</f>
        <v>10312616.668888887</v>
      </c>
      <c r="I878" s="603">
        <f>'5.Tiên lượng'!X118</f>
        <v>0.9</v>
      </c>
      <c r="J878" s="589">
        <f t="shared" si="57"/>
        <v>0</v>
      </c>
    </row>
    <row r="879" spans="1:10">
      <c r="A879" s="584"/>
      <c r="B879" s="585"/>
      <c r="C879" s="586" t="s">
        <v>590</v>
      </c>
      <c r="D879" s="133" t="s">
        <v>642</v>
      </c>
      <c r="E879" s="587" t="str">
        <f>" - "&amp;'Giá Máy'!E40</f>
        <v xml:space="preserve"> - Ô tô tưới nước 10m3</v>
      </c>
      <c r="F879" s="585" t="str">
        <f>'Giá Máy'!F40</f>
        <v>ca</v>
      </c>
      <c r="G879" s="588">
        <f>PTVT!G427</f>
        <v>0.63200000000000001</v>
      </c>
      <c r="H879" s="589">
        <f>'Giá Máy'!O40</f>
        <v>1491813.8923076922</v>
      </c>
      <c r="I879" s="603">
        <f>'5.Tiên lượng'!X118</f>
        <v>0.9</v>
      </c>
      <c r="J879" s="589">
        <f t="shared" si="57"/>
        <v>848543.74194461538</v>
      </c>
    </row>
    <row r="880" spans="1:10">
      <c r="A880" s="584"/>
      <c r="B880" s="585"/>
      <c r="C880" s="586" t="s">
        <v>590</v>
      </c>
      <c r="D880" s="133" t="s">
        <v>643</v>
      </c>
      <c r="E880" s="587" t="str">
        <f>" - "&amp;'Giá Máy'!E36</f>
        <v xml:space="preserve"> - Máy lu rung chân cừu 12T</v>
      </c>
      <c r="F880" s="585" t="str">
        <f>'Giá Máy'!F36</f>
        <v>ca</v>
      </c>
      <c r="G880" s="588">
        <f>PTVT!G428</f>
        <v>0.46600000000000003</v>
      </c>
      <c r="H880" s="589">
        <f>'Giá Máy'!O36</f>
        <v>1686285.1748148147</v>
      </c>
      <c r="I880" s="603">
        <f>'5.Tiên lượng'!X118</f>
        <v>0.9</v>
      </c>
      <c r="J880" s="589">
        <f t="shared" si="57"/>
        <v>707228.00231733336</v>
      </c>
    </row>
    <row r="881" spans="1:10">
      <c r="A881" s="584"/>
      <c r="B881" s="585"/>
      <c r="C881" s="586" t="s">
        <v>590</v>
      </c>
      <c r="D881" s="133" t="s">
        <v>644</v>
      </c>
      <c r="E881" s="587" t="str">
        <f>" - "&amp;'Giá Máy'!E44</f>
        <v xml:space="preserve"> - Máy lu bánh thép tự hành 12T</v>
      </c>
      <c r="F881" s="585" t="str">
        <f>'Giá Máy'!F44</f>
        <v>ca</v>
      </c>
      <c r="G881" s="588">
        <f>PTVT!G429</f>
        <v>0.46100000000000002</v>
      </c>
      <c r="H881" s="589">
        <f>'Giá Máy'!O44</f>
        <v>1270296.9466666668</v>
      </c>
      <c r="I881" s="603">
        <f>'5.Tiên lượng'!X118</f>
        <v>0.9</v>
      </c>
      <c r="J881" s="589">
        <f t="shared" si="57"/>
        <v>527046.20317200013</v>
      </c>
    </row>
    <row r="882" spans="1:10">
      <c r="A882" s="584"/>
      <c r="B882" s="585"/>
      <c r="C882" s="586" t="s">
        <v>590</v>
      </c>
      <c r="D882" s="133" t="s">
        <v>609</v>
      </c>
      <c r="E882" s="587" t="str">
        <f>" - "&amp;'Giá Máy'!E17</f>
        <v xml:space="preserve"> - Máy lu bánh thép 10T</v>
      </c>
      <c r="F882" s="585" t="str">
        <f>'Giá Máy'!F17</f>
        <v>ca</v>
      </c>
      <c r="G882" s="588">
        <f>PTVT!G430</f>
        <v>0.35699999999999998</v>
      </c>
      <c r="H882" s="589">
        <f>'Giá Máy'!O17</f>
        <v>1132157.2474074075</v>
      </c>
      <c r="I882" s="603">
        <f>'5.Tiên lượng'!X118</f>
        <v>0.9</v>
      </c>
      <c r="J882" s="589">
        <f t="shared" si="57"/>
        <v>363762.12359200005</v>
      </c>
    </row>
    <row r="883" spans="1:10">
      <c r="A883" s="584"/>
      <c r="B883" s="585"/>
      <c r="C883" s="586" t="s">
        <v>590</v>
      </c>
      <c r="D883" s="133" t="s">
        <v>608</v>
      </c>
      <c r="E883" s="587" t="str">
        <f>" - "&amp;'Giá Máy'!E38</f>
        <v xml:space="preserve"> - Máy lu bánh hơi tự hành 16T</v>
      </c>
      <c r="F883" s="585" t="str">
        <f>'Giá Máy'!F38</f>
        <v>ca</v>
      </c>
      <c r="G883" s="588">
        <f>PTVT!G431</f>
        <v>0.47399999999999998</v>
      </c>
      <c r="H883" s="589">
        <f>'Giá Máy'!O38</f>
        <v>1553246.5422222223</v>
      </c>
      <c r="I883" s="603">
        <f>'5.Tiên lượng'!X118</f>
        <v>0.9</v>
      </c>
      <c r="J883" s="589">
        <f t="shared" si="57"/>
        <v>662614.97491200001</v>
      </c>
    </row>
    <row r="884" spans="1:10">
      <c r="A884" s="584"/>
      <c r="B884" s="585"/>
      <c r="C884" s="586" t="s">
        <v>590</v>
      </c>
      <c r="D884" s="133" t="s">
        <v>645</v>
      </c>
      <c r="E884" s="587" t="str">
        <f>" - "&amp;'Giá Máy'!E26</f>
        <v xml:space="preserve"> - Máy san 110CV</v>
      </c>
      <c r="F884" s="585" t="str">
        <f>'Giá Máy'!F26</f>
        <v>ca</v>
      </c>
      <c r="G884" s="588">
        <f>PTVT!G432</f>
        <v>0.16300000000000001</v>
      </c>
      <c r="H884" s="589">
        <f>'Giá Máy'!O26</f>
        <v>1989485.4904347826</v>
      </c>
      <c r="I884" s="603">
        <f>'5.Tiên lượng'!X118</f>
        <v>0.9</v>
      </c>
      <c r="J884" s="589">
        <f t="shared" si="57"/>
        <v>291857.52144678263</v>
      </c>
    </row>
    <row r="885" spans="1:10">
      <c r="A885" s="584"/>
      <c r="B885" s="585"/>
      <c r="C885" s="586" t="s">
        <v>590</v>
      </c>
      <c r="D885" s="133" t="s">
        <v>611</v>
      </c>
      <c r="E885" s="587" t="s">
        <v>612</v>
      </c>
      <c r="F885" s="585" t="s">
        <v>37</v>
      </c>
      <c r="G885" s="588">
        <f>PTVT!G433</f>
        <v>0.72727272727272685</v>
      </c>
      <c r="H885" s="589">
        <f>IF('5.Tiên lượng'!X118&lt;&gt;0,SUM(J877:J884)/100/'5.Tiên lượng'!X118,0)</f>
        <v>170442.58199494149</v>
      </c>
      <c r="I885" s="603">
        <f>'5.Tiên lượng'!X118</f>
        <v>0.9</v>
      </c>
      <c r="J885" s="589">
        <f t="shared" si="57"/>
        <v>111562.41730577982</v>
      </c>
    </row>
    <row r="886" spans="1:10">
      <c r="A886" s="584"/>
      <c r="B886" s="585"/>
      <c r="C886" s="586" t="s">
        <v>590</v>
      </c>
      <c r="D886" s="133" t="s">
        <v>590</v>
      </c>
      <c r="E886" s="587" t="s">
        <v>269</v>
      </c>
      <c r="F886" s="585" t="s">
        <v>270</v>
      </c>
      <c r="G886" s="590"/>
      <c r="H886" s="589"/>
      <c r="I886" s="603"/>
      <c r="J886" s="589">
        <f>J868+J873+J876</f>
        <v>37106679.534435421</v>
      </c>
    </row>
    <row r="887" spans="1:10">
      <c r="A887" s="584"/>
      <c r="B887" s="585"/>
      <c r="C887" s="586" t="s">
        <v>590</v>
      </c>
      <c r="D887" s="133" t="s">
        <v>590</v>
      </c>
      <c r="E887" s="587" t="s">
        <v>273</v>
      </c>
      <c r="F887" s="585" t="s">
        <v>274</v>
      </c>
      <c r="G887" s="591">
        <f>'Thông tin'!E67</f>
        <v>6.2E-2</v>
      </c>
      <c r="H887" s="589"/>
      <c r="I887" s="603"/>
      <c r="J887" s="589">
        <f>(J886)*G887</f>
        <v>2300614.1311349962</v>
      </c>
    </row>
    <row r="888" spans="1:10">
      <c r="A888" s="584"/>
      <c r="B888" s="585"/>
      <c r="C888" s="586" t="s">
        <v>590</v>
      </c>
      <c r="D888" s="133" t="s">
        <v>590</v>
      </c>
      <c r="E888" s="587" t="s">
        <v>276</v>
      </c>
      <c r="F888" s="585" t="s">
        <v>277</v>
      </c>
      <c r="G888" s="591">
        <f>'Thông tin'!E60</f>
        <v>2.2000000000000002E-2</v>
      </c>
      <c r="H888" s="589"/>
      <c r="I888" s="603"/>
      <c r="J888" s="589">
        <f>(J886)*G888</f>
        <v>816346.94975757936</v>
      </c>
    </row>
    <row r="889" spans="1:10" ht="27.6">
      <c r="A889" s="584"/>
      <c r="B889" s="585"/>
      <c r="C889" s="586" t="s">
        <v>590</v>
      </c>
      <c r="D889" s="133" t="s">
        <v>590</v>
      </c>
      <c r="E889" s="587" t="s">
        <v>279</v>
      </c>
      <c r="F889" s="585" t="s">
        <v>142</v>
      </c>
      <c r="G889" s="591">
        <f>'Thông tin'!E65</f>
        <v>0.02</v>
      </c>
      <c r="H889" s="589"/>
      <c r="I889" s="603"/>
      <c r="J889" s="589">
        <f>(J886)*G889</f>
        <v>742133.59068870847</v>
      </c>
    </row>
    <row r="890" spans="1:10">
      <c r="A890" s="584"/>
      <c r="B890" s="585"/>
      <c r="C890" s="586" t="s">
        <v>590</v>
      </c>
      <c r="D890" s="133" t="s">
        <v>590</v>
      </c>
      <c r="E890" s="587" t="s">
        <v>281</v>
      </c>
      <c r="F890" s="585" t="s">
        <v>282</v>
      </c>
      <c r="G890" s="590"/>
      <c r="H890" s="589"/>
      <c r="I890" s="603"/>
      <c r="J890" s="589">
        <f>J887+J888+J889</f>
        <v>3859094.6715812841</v>
      </c>
    </row>
    <row r="891" spans="1:10">
      <c r="A891" s="584"/>
      <c r="B891" s="585"/>
      <c r="C891" s="586" t="s">
        <v>590</v>
      </c>
      <c r="D891" s="133" t="s">
        <v>590</v>
      </c>
      <c r="E891" s="587" t="s">
        <v>284</v>
      </c>
      <c r="F891" s="585" t="s">
        <v>285</v>
      </c>
      <c r="G891" s="591">
        <f>'Thông tin'!E63</f>
        <v>0.06</v>
      </c>
      <c r="H891" s="589"/>
      <c r="I891" s="603"/>
      <c r="J891" s="589">
        <f>(J886+J890)*G891</f>
        <v>2457946.4523610021</v>
      </c>
    </row>
    <row r="892" spans="1:10">
      <c r="A892" s="584"/>
      <c r="B892" s="585"/>
      <c r="C892" s="586" t="s">
        <v>590</v>
      </c>
      <c r="D892" s="133" t="s">
        <v>590</v>
      </c>
      <c r="E892" s="592" t="s">
        <v>287</v>
      </c>
      <c r="F892" s="593" t="s">
        <v>288</v>
      </c>
      <c r="G892" s="590"/>
      <c r="H892" s="589"/>
      <c r="I892" s="603"/>
      <c r="J892" s="604">
        <f>J886+J890+J891</f>
        <v>43423720.658377707</v>
      </c>
    </row>
    <row r="893" spans="1:10">
      <c r="A893" s="584"/>
      <c r="B893" s="585"/>
      <c r="C893" s="586" t="s">
        <v>590</v>
      </c>
      <c r="D893" s="133" t="s">
        <v>590</v>
      </c>
      <c r="E893" s="587" t="s">
        <v>290</v>
      </c>
      <c r="F893" s="585" t="s">
        <v>291</v>
      </c>
      <c r="G893" s="591">
        <f>'Thông tin'!E61</f>
        <v>0.1</v>
      </c>
      <c r="H893" s="589"/>
      <c r="I893" s="603"/>
      <c r="J893" s="589">
        <f>(J892)*G893</f>
        <v>4342372.0658377707</v>
      </c>
    </row>
    <row r="894" spans="1:10">
      <c r="A894" s="594"/>
      <c r="B894" s="595"/>
      <c r="C894" s="596" t="s">
        <v>590</v>
      </c>
      <c r="D894" s="137" t="s">
        <v>590</v>
      </c>
      <c r="E894" s="597" t="s">
        <v>293</v>
      </c>
      <c r="F894" s="598" t="s">
        <v>19</v>
      </c>
      <c r="G894" s="599"/>
      <c r="H894" s="600"/>
      <c r="I894" s="605"/>
      <c r="J894" s="606">
        <f>J892+J893</f>
        <v>47766092.724215478</v>
      </c>
    </row>
    <row r="895" spans="1:10" ht="27.6">
      <c r="A895" s="578"/>
      <c r="B895" s="579">
        <v>49</v>
      </c>
      <c r="C895" s="578" t="str">
        <f>'5.Tiên lượng'!C120</f>
        <v>AD.24223</v>
      </c>
      <c r="D895" s="578" t="str">
        <f>'5.Tiên lượng'!C120</f>
        <v>AD.24223</v>
      </c>
      <c r="E895" s="580" t="str">
        <f>'5.Tiên lượng'!D120</f>
        <v>Tưới lớp dính bám mặt đường, nhũ tương CSS1, lượng nhũ tương 1kg/m2</v>
      </c>
      <c r="F895" s="579" t="str">
        <f>'5.Tiên lượng'!E120</f>
        <v>100m2</v>
      </c>
      <c r="G895" s="581"/>
      <c r="H895" s="582"/>
      <c r="I895" s="602"/>
      <c r="J895" s="582"/>
    </row>
    <row r="896" spans="1:10">
      <c r="A896" s="126"/>
      <c r="B896" s="127"/>
      <c r="C896" s="128" t="s">
        <v>590</v>
      </c>
      <c r="D896" s="128" t="s">
        <v>590</v>
      </c>
      <c r="E896" s="583" t="s">
        <v>262</v>
      </c>
      <c r="F896" s="127" t="s">
        <v>263</v>
      </c>
      <c r="G896" s="130"/>
      <c r="H896" s="131"/>
      <c r="I896" s="143"/>
      <c r="J896" s="131">
        <f>SUM(J897:J897)</f>
        <v>1406043.8394685537</v>
      </c>
    </row>
    <row r="897" spans="1:10">
      <c r="A897" s="584"/>
      <c r="B897" s="585"/>
      <c r="C897" s="586" t="s">
        <v>590</v>
      </c>
      <c r="D897" s="133" t="s">
        <v>646</v>
      </c>
      <c r="E897" s="587" t="str">
        <f>" - "&amp;'Giá VL'!E32</f>
        <v xml:space="preserve"> - Nhựa nhũ tương gốc axít 60%</v>
      </c>
      <c r="F897" s="585" t="str">
        <f>'Giá VL'!F32</f>
        <v>kg</v>
      </c>
      <c r="G897" s="588">
        <f>PTVT!G436</f>
        <v>102.5</v>
      </c>
      <c r="H897" s="589">
        <f>'Giá VL'!V32</f>
        <v>13717.500872863939</v>
      </c>
      <c r="I897" s="603">
        <f>'5.Tiên lượng'!V120</f>
        <v>1</v>
      </c>
      <c r="J897" s="589">
        <f>PRODUCT(G897,H897,I897)</f>
        <v>1406043.8394685537</v>
      </c>
    </row>
    <row r="898" spans="1:10">
      <c r="A898" s="126"/>
      <c r="B898" s="127"/>
      <c r="C898" s="128" t="s">
        <v>590</v>
      </c>
      <c r="D898" s="128" t="s">
        <v>590</v>
      </c>
      <c r="E898" s="583" t="s">
        <v>265</v>
      </c>
      <c r="F898" s="127" t="s">
        <v>266</v>
      </c>
      <c r="G898" s="130"/>
      <c r="H898" s="131"/>
      <c r="I898" s="143"/>
      <c r="J898" s="131">
        <f>SUM(J899:J899)</f>
        <v>62100</v>
      </c>
    </row>
    <row r="899" spans="1:10">
      <c r="A899" s="584"/>
      <c r="B899" s="585"/>
      <c r="C899" s="586" t="s">
        <v>590</v>
      </c>
      <c r="D899" s="133" t="s">
        <v>622</v>
      </c>
      <c r="E899" s="587" t="str">
        <f>" - "&amp;'Giá NC'!E9</f>
        <v xml:space="preserve"> - Nhân công bậc 3,5/7 - Nhóm 2</v>
      </c>
      <c r="F899" s="585" t="str">
        <f>'Giá NC'!F9</f>
        <v>công</v>
      </c>
      <c r="G899" s="588">
        <f>PTVT!G438</f>
        <v>0.23</v>
      </c>
      <c r="H899" s="589">
        <f>'Giá NC'!K9</f>
        <v>270000</v>
      </c>
      <c r="I899" s="603">
        <f>'5.Tiên lượng'!W120</f>
        <v>1</v>
      </c>
      <c r="J899" s="589">
        <f>PRODUCT(G899,H899,I899)</f>
        <v>62100</v>
      </c>
    </row>
    <row r="900" spans="1:10">
      <c r="A900" s="126"/>
      <c r="B900" s="127"/>
      <c r="C900" s="128" t="s">
        <v>590</v>
      </c>
      <c r="D900" s="128" t="s">
        <v>590</v>
      </c>
      <c r="E900" s="583" t="s">
        <v>267</v>
      </c>
      <c r="F900" s="127" t="s">
        <v>268</v>
      </c>
      <c r="G900" s="130"/>
      <c r="H900" s="131"/>
      <c r="I900" s="143"/>
      <c r="J900" s="131">
        <f>SUM(J901:J903)</f>
        <v>259243.05535040001</v>
      </c>
    </row>
    <row r="901" spans="1:10">
      <c r="A901" s="584"/>
      <c r="B901" s="585"/>
      <c r="C901" s="586" t="s">
        <v>590</v>
      </c>
      <c r="D901" s="133" t="s">
        <v>647</v>
      </c>
      <c r="E901" s="587" t="str">
        <f>" - "&amp;'Giá Máy'!E23</f>
        <v xml:space="preserve"> - Máy phun nhựa đường 190CV</v>
      </c>
      <c r="F901" s="585" t="str">
        <f>'Giá Máy'!F23</f>
        <v>ca</v>
      </c>
      <c r="G901" s="588">
        <f>PTVT!G440</f>
        <v>6.8000000000000005E-2</v>
      </c>
      <c r="H901" s="589">
        <f>'Giá Máy'!O23</f>
        <v>2958321.8666666662</v>
      </c>
      <c r="I901" s="603">
        <f>'5.Tiên lượng'!X120</f>
        <v>1</v>
      </c>
      <c r="J901" s="589">
        <f t="shared" ref="J901:J903" si="58">PRODUCT(G901,H901,I901)</f>
        <v>201165.88693333333</v>
      </c>
    </row>
    <row r="902" spans="1:10">
      <c r="A902" s="584"/>
      <c r="B902" s="585"/>
      <c r="C902" s="586" t="s">
        <v>590</v>
      </c>
      <c r="D902" s="133" t="s">
        <v>634</v>
      </c>
      <c r="E902" s="587" t="str">
        <f>" - "&amp;'Giá Máy'!E22</f>
        <v xml:space="preserve"> - Máy nén khí diezel 600m3/h</v>
      </c>
      <c r="F902" s="585" t="str">
        <f>'Giá Máy'!F22</f>
        <v>ca</v>
      </c>
      <c r="G902" s="588">
        <f>PTVT!G441</f>
        <v>3.4000000000000002E-2</v>
      </c>
      <c r="H902" s="589">
        <f>'Giá Máy'!O22</f>
        <v>1558646.2133333334</v>
      </c>
      <c r="I902" s="603">
        <f>'5.Tiên lượng'!X120</f>
        <v>1</v>
      </c>
      <c r="J902" s="589">
        <f t="shared" si="58"/>
        <v>52993.971253333337</v>
      </c>
    </row>
    <row r="903" spans="1:10">
      <c r="A903" s="584"/>
      <c r="B903" s="585"/>
      <c r="C903" s="586" t="s">
        <v>590</v>
      </c>
      <c r="D903" s="133" t="s">
        <v>611</v>
      </c>
      <c r="E903" s="587" t="s">
        <v>612</v>
      </c>
      <c r="F903" s="585" t="s">
        <v>37</v>
      </c>
      <c r="G903" s="588">
        <f>PTVT!G442</f>
        <v>2</v>
      </c>
      <c r="H903" s="589">
        <f>IF('5.Tiên lượng'!X120&lt;&gt;0,SUM(J901:J902)/100/'5.Tiên lượng'!X120,0)</f>
        <v>2541.5985818666668</v>
      </c>
      <c r="I903" s="603">
        <f>'5.Tiên lượng'!X120</f>
        <v>1</v>
      </c>
      <c r="J903" s="589">
        <f t="shared" si="58"/>
        <v>5083.1971637333336</v>
      </c>
    </row>
    <row r="904" spans="1:10">
      <c r="A904" s="584"/>
      <c r="B904" s="585"/>
      <c r="C904" s="586" t="s">
        <v>590</v>
      </c>
      <c r="D904" s="133" t="s">
        <v>590</v>
      </c>
      <c r="E904" s="587" t="s">
        <v>269</v>
      </c>
      <c r="F904" s="585" t="s">
        <v>270</v>
      </c>
      <c r="G904" s="590"/>
      <c r="H904" s="589"/>
      <c r="I904" s="603"/>
      <c r="J904" s="589">
        <f>J896+J898+J900</f>
        <v>1727386.8948189537</v>
      </c>
    </row>
    <row r="905" spans="1:10">
      <c r="A905" s="584"/>
      <c r="B905" s="585"/>
      <c r="C905" s="586" t="s">
        <v>590</v>
      </c>
      <c r="D905" s="133" t="s">
        <v>590</v>
      </c>
      <c r="E905" s="587" t="s">
        <v>273</v>
      </c>
      <c r="F905" s="585" t="s">
        <v>274</v>
      </c>
      <c r="G905" s="591">
        <f>'Thông tin'!E67</f>
        <v>6.2E-2</v>
      </c>
      <c r="H905" s="589"/>
      <c r="I905" s="603"/>
      <c r="J905" s="589">
        <f>(J904)*G905</f>
        <v>107097.98747877513</v>
      </c>
    </row>
    <row r="906" spans="1:10">
      <c r="A906" s="584"/>
      <c r="B906" s="585"/>
      <c r="C906" s="586" t="s">
        <v>590</v>
      </c>
      <c r="D906" s="133" t="s">
        <v>590</v>
      </c>
      <c r="E906" s="587" t="s">
        <v>276</v>
      </c>
      <c r="F906" s="585" t="s">
        <v>277</v>
      </c>
      <c r="G906" s="591">
        <f>'Thông tin'!E60</f>
        <v>2.2000000000000002E-2</v>
      </c>
      <c r="H906" s="589"/>
      <c r="I906" s="603"/>
      <c r="J906" s="589">
        <f>(J904)*G906</f>
        <v>38002.511686016987</v>
      </c>
    </row>
    <row r="907" spans="1:10" ht="27.6">
      <c r="A907" s="584"/>
      <c r="B907" s="585"/>
      <c r="C907" s="586" t="s">
        <v>590</v>
      </c>
      <c r="D907" s="133" t="s">
        <v>590</v>
      </c>
      <c r="E907" s="587" t="s">
        <v>279</v>
      </c>
      <c r="F907" s="585" t="s">
        <v>142</v>
      </c>
      <c r="G907" s="591">
        <f>'Thông tin'!E65</f>
        <v>0.02</v>
      </c>
      <c r="H907" s="589"/>
      <c r="I907" s="603"/>
      <c r="J907" s="589">
        <f>(J904)*G907</f>
        <v>34547.737896379076</v>
      </c>
    </row>
    <row r="908" spans="1:10">
      <c r="A908" s="584"/>
      <c r="B908" s="585"/>
      <c r="C908" s="586" t="s">
        <v>590</v>
      </c>
      <c r="D908" s="133" t="s">
        <v>590</v>
      </c>
      <c r="E908" s="587" t="s">
        <v>281</v>
      </c>
      <c r="F908" s="585" t="s">
        <v>282</v>
      </c>
      <c r="G908" s="590"/>
      <c r="H908" s="589"/>
      <c r="I908" s="603"/>
      <c r="J908" s="589">
        <f>J905+J906+J907</f>
        <v>179648.23706117121</v>
      </c>
    </row>
    <row r="909" spans="1:10">
      <c r="A909" s="584"/>
      <c r="B909" s="585"/>
      <c r="C909" s="586" t="s">
        <v>590</v>
      </c>
      <c r="D909" s="133" t="s">
        <v>590</v>
      </c>
      <c r="E909" s="587" t="s">
        <v>284</v>
      </c>
      <c r="F909" s="585" t="s">
        <v>285</v>
      </c>
      <c r="G909" s="591">
        <f>'Thông tin'!E63</f>
        <v>0.06</v>
      </c>
      <c r="H909" s="589"/>
      <c r="I909" s="603"/>
      <c r="J909" s="589">
        <f>(J904+J908)*G909</f>
        <v>114422.10791280749</v>
      </c>
    </row>
    <row r="910" spans="1:10">
      <c r="A910" s="584"/>
      <c r="B910" s="585"/>
      <c r="C910" s="586" t="s">
        <v>590</v>
      </c>
      <c r="D910" s="133" t="s">
        <v>590</v>
      </c>
      <c r="E910" s="592" t="s">
        <v>287</v>
      </c>
      <c r="F910" s="593" t="s">
        <v>288</v>
      </c>
      <c r="G910" s="590"/>
      <c r="H910" s="589"/>
      <c r="I910" s="603"/>
      <c r="J910" s="604">
        <f>J904+J908+J909</f>
        <v>2021457.2397929325</v>
      </c>
    </row>
    <row r="911" spans="1:10">
      <c r="A911" s="584"/>
      <c r="B911" s="585"/>
      <c r="C911" s="586" t="s">
        <v>590</v>
      </c>
      <c r="D911" s="133" t="s">
        <v>590</v>
      </c>
      <c r="E911" s="587" t="s">
        <v>290</v>
      </c>
      <c r="F911" s="585" t="s">
        <v>291</v>
      </c>
      <c r="G911" s="591">
        <f>'Thông tin'!E61</f>
        <v>0.1</v>
      </c>
      <c r="H911" s="589"/>
      <c r="I911" s="603"/>
      <c r="J911" s="589">
        <f>(J910)*G911</f>
        <v>202145.72397929325</v>
      </c>
    </row>
    <row r="912" spans="1:10">
      <c r="A912" s="594"/>
      <c r="B912" s="595"/>
      <c r="C912" s="596" t="s">
        <v>590</v>
      </c>
      <c r="D912" s="137" t="s">
        <v>590</v>
      </c>
      <c r="E912" s="597" t="s">
        <v>293</v>
      </c>
      <c r="F912" s="598" t="s">
        <v>19</v>
      </c>
      <c r="G912" s="599"/>
      <c r="H912" s="600"/>
      <c r="I912" s="605"/>
      <c r="J912" s="606">
        <f>J910+J911</f>
        <v>2223602.9637722257</v>
      </c>
    </row>
    <row r="913" spans="1:10" ht="27.6">
      <c r="A913" s="578"/>
      <c r="B913" s="579">
        <v>50</v>
      </c>
      <c r="C913" s="578" t="str">
        <f>'5.Tiên lượng'!C122</f>
        <v>AD.24132</v>
      </c>
      <c r="D913" s="578" t="str">
        <f>'5.Tiên lượng'!C122</f>
        <v>AD.24132</v>
      </c>
      <c r="E913" s="580" t="str">
        <f>'5.Tiên lượng'!D122</f>
        <v>Thi công mặt đường láng nhũ tương 03 lớp - Tiêu chuẩn nhựa 4,5kg/m2</v>
      </c>
      <c r="F913" s="579" t="str">
        <f>'5.Tiên lượng'!E122</f>
        <v>100m2</v>
      </c>
      <c r="G913" s="581"/>
      <c r="H913" s="582"/>
      <c r="I913" s="602"/>
      <c r="J913" s="582"/>
    </row>
    <row r="914" spans="1:10">
      <c r="A914" s="126"/>
      <c r="B914" s="127"/>
      <c r="C914" s="128" t="s">
        <v>590</v>
      </c>
      <c r="D914" s="128" t="s">
        <v>590</v>
      </c>
      <c r="E914" s="583" t="s">
        <v>262</v>
      </c>
      <c r="F914" s="127" t="s">
        <v>263</v>
      </c>
      <c r="G914" s="130"/>
      <c r="H914" s="131"/>
      <c r="I914" s="143"/>
      <c r="J914" s="131">
        <f>SUM(J915:J918)</f>
        <v>7572500.995428551</v>
      </c>
    </row>
    <row r="915" spans="1:10">
      <c r="A915" s="584"/>
      <c r="B915" s="585"/>
      <c r="C915" s="586" t="s">
        <v>590</v>
      </c>
      <c r="D915" s="133" t="s">
        <v>648</v>
      </c>
      <c r="E915" s="587" t="str">
        <f>" - "&amp;'Giá VL'!E46</f>
        <v xml:space="preserve"> - Đá 4,75÷9,5 (mm)</v>
      </c>
      <c r="F915" s="585" t="str">
        <f>'Giá VL'!F46</f>
        <v>m3</v>
      </c>
      <c r="G915" s="588">
        <f>PTVT!G445</f>
        <v>0.67</v>
      </c>
      <c r="H915" s="589">
        <f>'Giá VL'!V46</f>
        <v>280458.0547558713</v>
      </c>
      <c r="I915" s="603">
        <f>'5.Tiên lượng'!V122</f>
        <v>1</v>
      </c>
      <c r="J915" s="589">
        <f t="shared" ref="J915:J918" si="59">PRODUCT(G915,H915,I915)</f>
        <v>187906.89668643379</v>
      </c>
    </row>
    <row r="916" spans="1:10">
      <c r="A916" s="584"/>
      <c r="B916" s="585"/>
      <c r="C916" s="586" t="s">
        <v>590</v>
      </c>
      <c r="D916" s="133" t="s">
        <v>649</v>
      </c>
      <c r="E916" s="587" t="str">
        <f>" - "&amp;'Giá VL'!E47</f>
        <v xml:space="preserve"> - Đá 9,5÷12,5 (mm)</v>
      </c>
      <c r="F916" s="585" t="str">
        <f>'Giá VL'!F47</f>
        <v>m3</v>
      </c>
      <c r="G916" s="588">
        <f>PTVT!G446</f>
        <v>1.21</v>
      </c>
      <c r="H916" s="589">
        <f>'Giá VL'!V47</f>
        <v>280458.0547558713</v>
      </c>
      <c r="I916" s="603">
        <f>'5.Tiên lượng'!V122</f>
        <v>1</v>
      </c>
      <c r="J916" s="589">
        <f t="shared" si="59"/>
        <v>339354.24625460425</v>
      </c>
    </row>
    <row r="917" spans="1:10">
      <c r="A917" s="584"/>
      <c r="B917" s="585"/>
      <c r="C917" s="586" t="s">
        <v>590</v>
      </c>
      <c r="D917" s="133" t="s">
        <v>650</v>
      </c>
      <c r="E917" s="587" t="str">
        <f>" - "&amp;'Giá VL'!E48</f>
        <v xml:space="preserve"> - Đá 12,5÷19 (mm)</v>
      </c>
      <c r="F917" s="585" t="str">
        <f>'Giá VL'!F48</f>
        <v>m3</v>
      </c>
      <c r="G917" s="588">
        <f>PTVT!G447</f>
        <v>2.0099999999999998</v>
      </c>
      <c r="H917" s="589">
        <f>'Giá VL'!V48</f>
        <v>280458.0547558713</v>
      </c>
      <c r="I917" s="603">
        <f>'5.Tiên lượng'!V122</f>
        <v>1</v>
      </c>
      <c r="J917" s="589">
        <f t="shared" si="59"/>
        <v>563720.69005930121</v>
      </c>
    </row>
    <row r="918" spans="1:10">
      <c r="A918" s="584"/>
      <c r="B918" s="585"/>
      <c r="C918" s="586" t="s">
        <v>590</v>
      </c>
      <c r="D918" s="133" t="s">
        <v>646</v>
      </c>
      <c r="E918" s="587" t="str">
        <f>" - "&amp;'Giá VL'!E32</f>
        <v xml:space="preserve"> - Nhựa nhũ tương gốc axít 60%</v>
      </c>
      <c r="F918" s="585" t="str">
        <f>'Giá VL'!F32</f>
        <v>kg</v>
      </c>
      <c r="G918" s="588">
        <f>PTVT!G448</f>
        <v>472.5</v>
      </c>
      <c r="H918" s="589">
        <f>'Giá VL'!V32</f>
        <v>13717.500872863939</v>
      </c>
      <c r="I918" s="603">
        <f>'5.Tiên lượng'!V122</f>
        <v>1</v>
      </c>
      <c r="J918" s="589">
        <f t="shared" si="59"/>
        <v>6481519.1624282114</v>
      </c>
    </row>
    <row r="919" spans="1:10">
      <c r="A919" s="126"/>
      <c r="B919" s="127"/>
      <c r="C919" s="128" t="s">
        <v>590</v>
      </c>
      <c r="D919" s="128" t="s">
        <v>590</v>
      </c>
      <c r="E919" s="583" t="s">
        <v>265</v>
      </c>
      <c r="F919" s="127" t="s">
        <v>266</v>
      </c>
      <c r="G919" s="130"/>
      <c r="H919" s="131"/>
      <c r="I919" s="143"/>
      <c r="J919" s="131">
        <f>SUM(J920:J920)</f>
        <v>1166400</v>
      </c>
    </row>
    <row r="920" spans="1:10">
      <c r="A920" s="584"/>
      <c r="B920" s="585"/>
      <c r="C920" s="586" t="s">
        <v>590</v>
      </c>
      <c r="D920" s="133" t="s">
        <v>622</v>
      </c>
      <c r="E920" s="587" t="str">
        <f>" - "&amp;'Giá NC'!E9</f>
        <v xml:space="preserve"> - Nhân công bậc 3,5/7 - Nhóm 2</v>
      </c>
      <c r="F920" s="585" t="str">
        <f>'Giá NC'!F9</f>
        <v>công</v>
      </c>
      <c r="G920" s="588">
        <f>PTVT!G450</f>
        <v>4.32</v>
      </c>
      <c r="H920" s="589">
        <f>'Giá NC'!K9</f>
        <v>270000</v>
      </c>
      <c r="I920" s="603">
        <f>'5.Tiên lượng'!W122</f>
        <v>1</v>
      </c>
      <c r="J920" s="589">
        <f>PRODUCT(G920,H920,I920)</f>
        <v>1166400</v>
      </c>
    </row>
    <row r="921" spans="1:10">
      <c r="A921" s="126"/>
      <c r="B921" s="127"/>
      <c r="C921" s="128" t="s">
        <v>590</v>
      </c>
      <c r="D921" s="128" t="s">
        <v>590</v>
      </c>
      <c r="E921" s="583" t="s">
        <v>267</v>
      </c>
      <c r="F921" s="127" t="s">
        <v>268</v>
      </c>
      <c r="G921" s="130"/>
      <c r="H921" s="131"/>
      <c r="I921" s="143"/>
      <c r="J921" s="131">
        <f>SUM(J922:J924)</f>
        <v>821220.38320153835</v>
      </c>
    </row>
    <row r="922" spans="1:10">
      <c r="A922" s="584"/>
      <c r="B922" s="585"/>
      <c r="C922" s="586" t="s">
        <v>590</v>
      </c>
      <c r="D922" s="133" t="s">
        <v>651</v>
      </c>
      <c r="E922" s="587" t="str">
        <f>" - "&amp;'Giá Máy'!E39</f>
        <v xml:space="preserve"> - Máy lu bánh thép tự hành 8,5T</v>
      </c>
      <c r="F922" s="585" t="str">
        <f>'Giá Máy'!F39</f>
        <v>ca</v>
      </c>
      <c r="G922" s="588">
        <f>PTVT!G452</f>
        <v>0.25800000000000001</v>
      </c>
      <c r="H922" s="589">
        <f>'Giá Máy'!O39</f>
        <v>1009475.96</v>
      </c>
      <c r="I922" s="603">
        <f>'5.Tiên lượng'!X122</f>
        <v>1</v>
      </c>
      <c r="J922" s="589">
        <f t="shared" ref="J922:J924" si="60">PRODUCT(G922,H922,I922)</f>
        <v>260444.79767999999</v>
      </c>
    </row>
    <row r="923" spans="1:10">
      <c r="A923" s="584"/>
      <c r="B923" s="585"/>
      <c r="C923" s="586" t="s">
        <v>590</v>
      </c>
      <c r="D923" s="133" t="s">
        <v>647</v>
      </c>
      <c r="E923" s="587" t="str">
        <f>" - "&amp;'Giá Máy'!E23</f>
        <v xml:space="preserve"> - Máy phun nhựa đường 190CV</v>
      </c>
      <c r="F923" s="585" t="str">
        <f>'Giá Máy'!F23</f>
        <v>ca</v>
      </c>
      <c r="G923" s="588">
        <f>PTVT!G453</f>
        <v>0.126</v>
      </c>
      <c r="H923" s="589">
        <f>'Giá Máy'!O23</f>
        <v>2958321.8666666662</v>
      </c>
      <c r="I923" s="603">
        <f>'5.Tiên lượng'!X122</f>
        <v>1</v>
      </c>
      <c r="J923" s="589">
        <f t="shared" si="60"/>
        <v>372748.55519999994</v>
      </c>
    </row>
    <row r="924" spans="1:10">
      <c r="A924" s="584"/>
      <c r="B924" s="585"/>
      <c r="C924" s="586" t="s">
        <v>590</v>
      </c>
      <c r="D924" s="133" t="s">
        <v>652</v>
      </c>
      <c r="E924" s="587" t="str">
        <f>" - "&amp;'Giá Máy'!E32</f>
        <v xml:space="preserve"> - Ô tô tự đổ 5T</v>
      </c>
      <c r="F924" s="585" t="str">
        <f>'Giá Máy'!F32</f>
        <v>ca</v>
      </c>
      <c r="G924" s="588">
        <f>PTVT!G454</f>
        <v>0.129</v>
      </c>
      <c r="H924" s="589">
        <f>'Giá Máy'!O32</f>
        <v>1457573.8784615383</v>
      </c>
      <c r="I924" s="603">
        <f>'5.Tiên lượng'!X122</f>
        <v>1</v>
      </c>
      <c r="J924" s="589">
        <f t="shared" si="60"/>
        <v>188027.03032153845</v>
      </c>
    </row>
    <row r="925" spans="1:10">
      <c r="A925" s="584"/>
      <c r="B925" s="585"/>
      <c r="C925" s="586" t="s">
        <v>590</v>
      </c>
      <c r="D925" s="133" t="s">
        <v>590</v>
      </c>
      <c r="E925" s="587" t="s">
        <v>269</v>
      </c>
      <c r="F925" s="585" t="s">
        <v>270</v>
      </c>
      <c r="G925" s="590"/>
      <c r="H925" s="589"/>
      <c r="I925" s="603"/>
      <c r="J925" s="589">
        <f>J914+J919+J921</f>
        <v>9560121.3786300886</v>
      </c>
    </row>
    <row r="926" spans="1:10">
      <c r="A926" s="584"/>
      <c r="B926" s="585"/>
      <c r="C926" s="586" t="s">
        <v>590</v>
      </c>
      <c r="D926" s="133" t="s">
        <v>590</v>
      </c>
      <c r="E926" s="587" t="s">
        <v>273</v>
      </c>
      <c r="F926" s="585" t="s">
        <v>274</v>
      </c>
      <c r="G926" s="591">
        <f>'Thông tin'!E67</f>
        <v>6.2E-2</v>
      </c>
      <c r="H926" s="589"/>
      <c r="I926" s="603"/>
      <c r="J926" s="589">
        <f>(J925)*G926</f>
        <v>592727.52547506546</v>
      </c>
    </row>
    <row r="927" spans="1:10">
      <c r="A927" s="584"/>
      <c r="B927" s="585"/>
      <c r="C927" s="586" t="s">
        <v>590</v>
      </c>
      <c r="D927" s="133" t="s">
        <v>590</v>
      </c>
      <c r="E927" s="587" t="s">
        <v>276</v>
      </c>
      <c r="F927" s="585" t="s">
        <v>277</v>
      </c>
      <c r="G927" s="591">
        <f>'Thông tin'!E60</f>
        <v>2.2000000000000002E-2</v>
      </c>
      <c r="H927" s="589"/>
      <c r="I927" s="603"/>
      <c r="J927" s="589">
        <f>(J925)*G927</f>
        <v>210322.67032986198</v>
      </c>
    </row>
    <row r="928" spans="1:10" ht="27.6">
      <c r="A928" s="584"/>
      <c r="B928" s="585"/>
      <c r="C928" s="586" t="s">
        <v>590</v>
      </c>
      <c r="D928" s="133" t="s">
        <v>590</v>
      </c>
      <c r="E928" s="587" t="s">
        <v>279</v>
      </c>
      <c r="F928" s="585" t="s">
        <v>142</v>
      </c>
      <c r="G928" s="591">
        <f>'Thông tin'!E65</f>
        <v>0.02</v>
      </c>
      <c r="H928" s="589"/>
      <c r="I928" s="603"/>
      <c r="J928" s="589">
        <f>(J925)*G928</f>
        <v>191202.42757260177</v>
      </c>
    </row>
    <row r="929" spans="1:10">
      <c r="A929" s="584"/>
      <c r="B929" s="585"/>
      <c r="C929" s="586" t="s">
        <v>590</v>
      </c>
      <c r="D929" s="133" t="s">
        <v>590</v>
      </c>
      <c r="E929" s="587" t="s">
        <v>281</v>
      </c>
      <c r="F929" s="585" t="s">
        <v>282</v>
      </c>
      <c r="G929" s="590"/>
      <c r="H929" s="589"/>
      <c r="I929" s="603"/>
      <c r="J929" s="589">
        <f>J926+J927+J928</f>
        <v>994252.62337752921</v>
      </c>
    </row>
    <row r="930" spans="1:10">
      <c r="A930" s="584"/>
      <c r="B930" s="585"/>
      <c r="C930" s="586" t="s">
        <v>590</v>
      </c>
      <c r="D930" s="133" t="s">
        <v>590</v>
      </c>
      <c r="E930" s="587" t="s">
        <v>284</v>
      </c>
      <c r="F930" s="585" t="s">
        <v>285</v>
      </c>
      <c r="G930" s="591">
        <f>'Thông tin'!E63</f>
        <v>0.06</v>
      </c>
      <c r="H930" s="589"/>
      <c r="I930" s="603"/>
      <c r="J930" s="589">
        <f>(J925+J929)*G930</f>
        <v>633262.44012045709</v>
      </c>
    </row>
    <row r="931" spans="1:10">
      <c r="A931" s="584"/>
      <c r="B931" s="585"/>
      <c r="C931" s="586" t="s">
        <v>590</v>
      </c>
      <c r="D931" s="133" t="s">
        <v>590</v>
      </c>
      <c r="E931" s="592" t="s">
        <v>287</v>
      </c>
      <c r="F931" s="593" t="s">
        <v>288</v>
      </c>
      <c r="G931" s="590"/>
      <c r="H931" s="589"/>
      <c r="I931" s="603"/>
      <c r="J931" s="604">
        <f>J925+J929+J930</f>
        <v>11187636.442128075</v>
      </c>
    </row>
    <row r="932" spans="1:10">
      <c r="A932" s="584"/>
      <c r="B932" s="585"/>
      <c r="C932" s="586" t="s">
        <v>590</v>
      </c>
      <c r="D932" s="133" t="s">
        <v>590</v>
      </c>
      <c r="E932" s="587" t="s">
        <v>290</v>
      </c>
      <c r="F932" s="585" t="s">
        <v>291</v>
      </c>
      <c r="G932" s="591">
        <f>'Thông tin'!E61</f>
        <v>0.1</v>
      </c>
      <c r="H932" s="589"/>
      <c r="I932" s="603"/>
      <c r="J932" s="589">
        <f>(J931)*G932</f>
        <v>1118763.6442128075</v>
      </c>
    </row>
    <row r="933" spans="1:10">
      <c r="A933" s="594"/>
      <c r="B933" s="595"/>
      <c r="C933" s="596" t="s">
        <v>590</v>
      </c>
      <c r="D933" s="137" t="s">
        <v>590</v>
      </c>
      <c r="E933" s="597" t="s">
        <v>293</v>
      </c>
      <c r="F933" s="598" t="s">
        <v>19</v>
      </c>
      <c r="G933" s="599"/>
      <c r="H933" s="600"/>
      <c r="I933" s="605"/>
      <c r="J933" s="606">
        <f>J931+J932</f>
        <v>12306400.086340882</v>
      </c>
    </row>
    <row r="934" spans="1:10">
      <c r="A934" s="572"/>
      <c r="B934" s="573"/>
      <c r="C934" s="574" t="s">
        <v>339</v>
      </c>
      <c r="D934" s="117" t="s">
        <v>339</v>
      </c>
      <c r="E934" s="575" t="s">
        <v>457</v>
      </c>
      <c r="F934" s="573"/>
      <c r="G934" s="576"/>
      <c r="H934" s="577"/>
      <c r="I934" s="601"/>
      <c r="J934" s="577" t="s">
        <v>597</v>
      </c>
    </row>
    <row r="935" spans="1:10">
      <c r="A935" s="572"/>
      <c r="B935" s="573"/>
      <c r="C935" s="574" t="s">
        <v>339</v>
      </c>
      <c r="D935" s="117" t="s">
        <v>339</v>
      </c>
      <c r="E935" s="575" t="s">
        <v>458</v>
      </c>
      <c r="F935" s="573"/>
      <c r="G935" s="576"/>
      <c r="H935" s="577"/>
      <c r="I935" s="601"/>
      <c r="J935" s="577" t="s">
        <v>597</v>
      </c>
    </row>
    <row r="936" spans="1:10">
      <c r="A936" s="578"/>
      <c r="B936" s="579">
        <v>51</v>
      </c>
      <c r="C936" s="578" t="str">
        <f>'5.Tiên lượng'!C127</f>
        <v>AK.98110(VD)</v>
      </c>
      <c r="D936" s="578" t="str">
        <f>'5.Tiên lượng'!C127</f>
        <v>AK.98110(VD)</v>
      </c>
      <c r="E936" s="580" t="str">
        <f>'5.Tiên lượng'!D127</f>
        <v>Đá dăm đệm rãnh, đá (1x2)cm, dày 10cm</v>
      </c>
      <c r="F936" s="579" t="str">
        <f>'5.Tiên lượng'!E127</f>
        <v>m3</v>
      </c>
      <c r="G936" s="581"/>
      <c r="H936" s="582"/>
      <c r="I936" s="602"/>
      <c r="J936" s="582"/>
    </row>
    <row r="937" spans="1:10">
      <c r="A937" s="126"/>
      <c r="B937" s="127"/>
      <c r="C937" s="128" t="s">
        <v>590</v>
      </c>
      <c r="D937" s="128" t="s">
        <v>590</v>
      </c>
      <c r="E937" s="583" t="s">
        <v>262</v>
      </c>
      <c r="F937" s="127" t="s">
        <v>263</v>
      </c>
      <c r="G937" s="130"/>
      <c r="H937" s="131"/>
      <c r="I937" s="143"/>
      <c r="J937" s="131">
        <f>SUM(J938:J939)</f>
        <v>396549.66570704553</v>
      </c>
    </row>
    <row r="938" spans="1:10">
      <c r="A938" s="584"/>
      <c r="B938" s="585"/>
      <c r="C938" s="586" t="s">
        <v>590</v>
      </c>
      <c r="D938" s="133" t="s">
        <v>653</v>
      </c>
      <c r="E938" s="587" t="str">
        <f>" - "&amp;'Giá VL'!E20</f>
        <v xml:space="preserve"> - Đá cấp phối dmax ≤ 4</v>
      </c>
      <c r="F938" s="585" t="str">
        <f>'Giá VL'!F20</f>
        <v>m3</v>
      </c>
      <c r="G938" s="588">
        <f>PTVT!G459</f>
        <v>1.2</v>
      </c>
      <c r="H938" s="589">
        <f>'Giá VL'!V20</f>
        <v>330458.0547558713</v>
      </c>
      <c r="I938" s="603">
        <f>'5.Tiên lượng'!V127</f>
        <v>1</v>
      </c>
      <c r="J938" s="589">
        <f t="shared" ref="J938" si="61">PRODUCT(G938,H938,I938)</f>
        <v>396549.66570704553</v>
      </c>
    </row>
    <row r="939" spans="1:10">
      <c r="A939" s="584"/>
      <c r="B939" s="585"/>
      <c r="C939" s="586" t="s">
        <v>590</v>
      </c>
      <c r="D939" s="133" t="s">
        <v>654</v>
      </c>
      <c r="E939" s="587"/>
      <c r="F939" s="585"/>
      <c r="G939" s="588"/>
      <c r="H939" s="589"/>
      <c r="I939" s="603"/>
      <c r="J939" s="589"/>
    </row>
    <row r="940" spans="1:10">
      <c r="A940" s="126"/>
      <c r="B940" s="127"/>
      <c r="C940" s="128" t="s">
        <v>590</v>
      </c>
      <c r="D940" s="128" t="s">
        <v>590</v>
      </c>
      <c r="E940" s="583" t="s">
        <v>265</v>
      </c>
      <c r="F940" s="127" t="s">
        <v>266</v>
      </c>
      <c r="G940" s="130"/>
      <c r="H940" s="131"/>
      <c r="I940" s="143"/>
      <c r="J940" s="131">
        <f>SUM(J941:J941)</f>
        <v>347020.92800000001</v>
      </c>
    </row>
    <row r="941" spans="1:10">
      <c r="A941" s="584"/>
      <c r="B941" s="585"/>
      <c r="C941" s="586" t="s">
        <v>590</v>
      </c>
      <c r="D941" s="133" t="s">
        <v>629</v>
      </c>
      <c r="E941" s="587" t="str">
        <f>" - "&amp;'Giá NC'!E10</f>
        <v xml:space="preserve"> - Nhân công bậc 4,0/7 - Nhóm 2</v>
      </c>
      <c r="F941" s="585" t="str">
        <f>'Giá NC'!F10</f>
        <v>công</v>
      </c>
      <c r="G941" s="588">
        <f>PTVT!G462</f>
        <v>1.48</v>
      </c>
      <c r="H941" s="589">
        <f>'Giá NC'!K10</f>
        <v>293092</v>
      </c>
      <c r="I941" s="603">
        <f>'5.Tiên lượng'!W127</f>
        <v>0.8</v>
      </c>
      <c r="J941" s="589">
        <f>PRODUCT(G941,H941,I941)</f>
        <v>347020.92800000001</v>
      </c>
    </row>
    <row r="942" spans="1:10">
      <c r="A942" s="126"/>
      <c r="B942" s="127"/>
      <c r="C942" s="128" t="s">
        <v>590</v>
      </c>
      <c r="D942" s="128" t="s">
        <v>590</v>
      </c>
      <c r="E942" s="583" t="s">
        <v>267</v>
      </c>
      <c r="F942" s="127" t="s">
        <v>268</v>
      </c>
      <c r="G942" s="130"/>
      <c r="H942" s="131"/>
      <c r="I942" s="143"/>
      <c r="J942" s="131">
        <v>0</v>
      </c>
    </row>
    <row r="943" spans="1:10">
      <c r="A943" s="584"/>
      <c r="B943" s="585"/>
      <c r="C943" s="586" t="s">
        <v>590</v>
      </c>
      <c r="D943" s="133" t="s">
        <v>590</v>
      </c>
      <c r="E943" s="587" t="s">
        <v>269</v>
      </c>
      <c r="F943" s="585" t="s">
        <v>270</v>
      </c>
      <c r="G943" s="590"/>
      <c r="H943" s="589"/>
      <c r="I943" s="603"/>
      <c r="J943" s="589">
        <f>J937+J940+J942</f>
        <v>743570.59370704554</v>
      </c>
    </row>
    <row r="944" spans="1:10">
      <c r="A944" s="584"/>
      <c r="B944" s="585"/>
      <c r="C944" s="586" t="s">
        <v>590</v>
      </c>
      <c r="D944" s="133" t="s">
        <v>590</v>
      </c>
      <c r="E944" s="587" t="s">
        <v>273</v>
      </c>
      <c r="F944" s="585" t="s">
        <v>274</v>
      </c>
      <c r="G944" s="591">
        <f>'Thông tin'!E67</f>
        <v>6.2E-2</v>
      </c>
      <c r="H944" s="589"/>
      <c r="I944" s="603"/>
      <c r="J944" s="589">
        <f>(J943)*G944</f>
        <v>46101.376809836824</v>
      </c>
    </row>
    <row r="945" spans="1:10">
      <c r="A945" s="584"/>
      <c r="B945" s="585"/>
      <c r="C945" s="586" t="s">
        <v>590</v>
      </c>
      <c r="D945" s="133" t="s">
        <v>590</v>
      </c>
      <c r="E945" s="587" t="s">
        <v>276</v>
      </c>
      <c r="F945" s="585" t="s">
        <v>277</v>
      </c>
      <c r="G945" s="591">
        <f>'Thông tin'!E60</f>
        <v>2.2000000000000002E-2</v>
      </c>
      <c r="H945" s="589"/>
      <c r="I945" s="603"/>
      <c r="J945" s="589">
        <f>(J943)*G945</f>
        <v>16358.553061555003</v>
      </c>
    </row>
    <row r="946" spans="1:10" ht="27.6">
      <c r="A946" s="584"/>
      <c r="B946" s="585"/>
      <c r="C946" s="586" t="s">
        <v>590</v>
      </c>
      <c r="D946" s="133" t="s">
        <v>590</v>
      </c>
      <c r="E946" s="587" t="s">
        <v>279</v>
      </c>
      <c r="F946" s="585" t="s">
        <v>142</v>
      </c>
      <c r="G946" s="591">
        <f>'Thông tin'!E65</f>
        <v>0.02</v>
      </c>
      <c r="H946" s="589"/>
      <c r="I946" s="603"/>
      <c r="J946" s="589">
        <f>(J943)*G946</f>
        <v>14871.411874140911</v>
      </c>
    </row>
    <row r="947" spans="1:10">
      <c r="A947" s="584"/>
      <c r="B947" s="585"/>
      <c r="C947" s="586" t="s">
        <v>590</v>
      </c>
      <c r="D947" s="133" t="s">
        <v>590</v>
      </c>
      <c r="E947" s="587" t="s">
        <v>281</v>
      </c>
      <c r="F947" s="585" t="s">
        <v>282</v>
      </c>
      <c r="G947" s="590"/>
      <c r="H947" s="589"/>
      <c r="I947" s="603"/>
      <c r="J947" s="589">
        <f>J944+J945+J946</f>
        <v>77331.341745532729</v>
      </c>
    </row>
    <row r="948" spans="1:10">
      <c r="A948" s="584"/>
      <c r="B948" s="585"/>
      <c r="C948" s="586" t="s">
        <v>590</v>
      </c>
      <c r="D948" s="133" t="s">
        <v>590</v>
      </c>
      <c r="E948" s="587" t="s">
        <v>284</v>
      </c>
      <c r="F948" s="585" t="s">
        <v>285</v>
      </c>
      <c r="G948" s="591">
        <f>'Thông tin'!E63</f>
        <v>0.06</v>
      </c>
      <c r="H948" s="589"/>
      <c r="I948" s="603"/>
      <c r="J948" s="589">
        <f>(J943+J947)*G948</f>
        <v>49254.116127154695</v>
      </c>
    </row>
    <row r="949" spans="1:10">
      <c r="A949" s="584"/>
      <c r="B949" s="585"/>
      <c r="C949" s="586" t="s">
        <v>590</v>
      </c>
      <c r="D949" s="133" t="s">
        <v>590</v>
      </c>
      <c r="E949" s="592" t="s">
        <v>287</v>
      </c>
      <c r="F949" s="593" t="s">
        <v>288</v>
      </c>
      <c r="G949" s="590"/>
      <c r="H949" s="589"/>
      <c r="I949" s="603"/>
      <c r="J949" s="604">
        <f>J943+J947+J948</f>
        <v>870156.05157973291</v>
      </c>
    </row>
    <row r="950" spans="1:10">
      <c r="A950" s="584"/>
      <c r="B950" s="585"/>
      <c r="C950" s="586" t="s">
        <v>590</v>
      </c>
      <c r="D950" s="133" t="s">
        <v>590</v>
      </c>
      <c r="E950" s="587" t="s">
        <v>290</v>
      </c>
      <c r="F950" s="585" t="s">
        <v>291</v>
      </c>
      <c r="G950" s="591">
        <f>'Thông tin'!E61</f>
        <v>0.1</v>
      </c>
      <c r="H950" s="589"/>
      <c r="I950" s="603"/>
      <c r="J950" s="589">
        <f>(J949)*G950</f>
        <v>87015.605157973303</v>
      </c>
    </row>
    <row r="951" spans="1:10">
      <c r="A951" s="594"/>
      <c r="B951" s="595"/>
      <c r="C951" s="596" t="s">
        <v>590</v>
      </c>
      <c r="D951" s="137" t="s">
        <v>590</v>
      </c>
      <c r="E951" s="597" t="s">
        <v>293</v>
      </c>
      <c r="F951" s="598" t="s">
        <v>19</v>
      </c>
      <c r="G951" s="599"/>
      <c r="H951" s="600"/>
      <c r="I951" s="605"/>
      <c r="J951" s="606">
        <f>J949+J950</f>
        <v>957171.65673770616</v>
      </c>
    </row>
    <row r="952" spans="1:10">
      <c r="A952" s="578"/>
      <c r="B952" s="579">
        <v>52</v>
      </c>
      <c r="C952" s="578" t="str">
        <f>'5.Tiên lượng'!C128</f>
        <v>AF.11231</v>
      </c>
      <c r="D952" s="578" t="str">
        <f>'5.Tiên lượng'!C128</f>
        <v>AF.11231</v>
      </c>
      <c r="E952" s="580" t="str">
        <f>'5.Tiên lượng'!D128</f>
        <v>BTXM móng rãnh, M150, đá 2x4, PCB40</v>
      </c>
      <c r="F952" s="579" t="str">
        <f>'5.Tiên lượng'!E128</f>
        <v>m3</v>
      </c>
      <c r="G952" s="581"/>
      <c r="H952" s="582"/>
      <c r="I952" s="602"/>
      <c r="J952" s="582"/>
    </row>
    <row r="953" spans="1:10">
      <c r="A953" s="126"/>
      <c r="B953" s="127"/>
      <c r="C953" s="128" t="s">
        <v>590</v>
      </c>
      <c r="D953" s="128" t="s">
        <v>590</v>
      </c>
      <c r="E953" s="583" t="s">
        <v>262</v>
      </c>
      <c r="F953" s="127" t="s">
        <v>263</v>
      </c>
      <c r="G953" s="130"/>
      <c r="H953" s="131"/>
      <c r="I953" s="143"/>
      <c r="J953" s="131">
        <f>SUM(J954:J958)</f>
        <v>1030429.0629510203</v>
      </c>
    </row>
    <row r="954" spans="1:10">
      <c r="A954" s="584"/>
      <c r="B954" s="585"/>
      <c r="C954" s="586" t="s">
        <v>590</v>
      </c>
      <c r="D954" s="133" t="s">
        <v>614</v>
      </c>
      <c r="E954" s="587" t="str">
        <f>" - "&amp;'Giá VL'!E45</f>
        <v xml:space="preserve"> - Xi măng PCB40</v>
      </c>
      <c r="F954" s="585" t="str">
        <f>'Giá VL'!F45</f>
        <v>kg</v>
      </c>
      <c r="G954" s="588">
        <f>PTVT!G465</f>
        <v>210.125</v>
      </c>
      <c r="H954" s="589">
        <f>'Giá VL'!V45</f>
        <v>1730</v>
      </c>
      <c r="I954" s="603">
        <f>'5.Tiên lượng'!V128</f>
        <v>1</v>
      </c>
      <c r="J954" s="589">
        <f t="shared" ref="J954:J958" si="62">PRODUCT(G954,H954,I954)</f>
        <v>363516.25</v>
      </c>
    </row>
    <row r="955" spans="1:10">
      <c r="A955" s="584"/>
      <c r="B955" s="585"/>
      <c r="C955" s="586" t="s">
        <v>590</v>
      </c>
      <c r="D955" s="133" t="s">
        <v>615</v>
      </c>
      <c r="E955" s="587" t="str">
        <f>" - "&amp;'Giá VL'!E17</f>
        <v xml:space="preserve"> - Cát vàng</v>
      </c>
      <c r="F955" s="585" t="str">
        <f>'Giá VL'!F17</f>
        <v>m3</v>
      </c>
      <c r="G955" s="588">
        <f>PTVT!G466</f>
        <v>0.56272500000000003</v>
      </c>
      <c r="H955" s="589">
        <f>'Giá VL'!V17</f>
        <v>659026.49526849983</v>
      </c>
      <c r="I955" s="603">
        <f>'5.Tiên lượng'!V128</f>
        <v>1</v>
      </c>
      <c r="J955" s="589">
        <f t="shared" si="62"/>
        <v>370850.68454996659</v>
      </c>
    </row>
    <row r="956" spans="1:10">
      <c r="A956" s="584"/>
      <c r="B956" s="585"/>
      <c r="C956" s="586" t="s">
        <v>590</v>
      </c>
      <c r="D956" s="133" t="s">
        <v>616</v>
      </c>
      <c r="E956" s="587" t="str">
        <f>" - "&amp;'Giá VL'!E19</f>
        <v xml:space="preserve"> - Đá 2x4</v>
      </c>
      <c r="F956" s="585" t="str">
        <f>'Giá VL'!F19</f>
        <v>m3</v>
      </c>
      <c r="G956" s="588">
        <f>PTVT!G467</f>
        <v>0.91225000000000001</v>
      </c>
      <c r="H956" s="589">
        <f>'Giá VL'!V19</f>
        <v>310458.0547558713</v>
      </c>
      <c r="I956" s="603">
        <f>'5.Tiên lượng'!V128</f>
        <v>1</v>
      </c>
      <c r="J956" s="589">
        <f t="shared" si="62"/>
        <v>283215.36045104358</v>
      </c>
    </row>
    <row r="957" spans="1:10">
      <c r="A957" s="584"/>
      <c r="B957" s="585"/>
      <c r="C957" s="586" t="s">
        <v>590</v>
      </c>
      <c r="D957" s="133" t="s">
        <v>617</v>
      </c>
      <c r="E957" s="587" t="str">
        <f>" - "&amp;'Giá VL'!E33</f>
        <v xml:space="preserve"> - Nước</v>
      </c>
      <c r="F957" s="585" t="str">
        <f>'Giá VL'!F33</f>
        <v>lít</v>
      </c>
      <c r="G957" s="588">
        <f>PTVT!G468</f>
        <v>176.3</v>
      </c>
      <c r="H957" s="589">
        <f>'Giá VL'!V33</f>
        <v>15</v>
      </c>
      <c r="I957" s="603">
        <f>'5.Tiên lượng'!V128</f>
        <v>1</v>
      </c>
      <c r="J957" s="589">
        <f t="shared" si="62"/>
        <v>2644.5</v>
      </c>
    </row>
    <row r="958" spans="1:10">
      <c r="A958" s="584"/>
      <c r="B958" s="585"/>
      <c r="C958" s="586" t="s">
        <v>590</v>
      </c>
      <c r="D958" s="133" t="s">
        <v>620</v>
      </c>
      <c r="E958" s="587" t="s">
        <v>621</v>
      </c>
      <c r="F958" s="585" t="s">
        <v>37</v>
      </c>
      <c r="G958" s="588">
        <f>PTVT!G469</f>
        <v>1</v>
      </c>
      <c r="H958" s="589">
        <f>IF('5.Tiên lượng'!V128&lt;&gt;0,SUM(J954:J957)/100/'5.Tiên lượng'!V128,0)</f>
        <v>10202.267950010102</v>
      </c>
      <c r="I958" s="603">
        <f>'5.Tiên lượng'!V128</f>
        <v>1</v>
      </c>
      <c r="J958" s="589">
        <f t="shared" si="62"/>
        <v>10202.267950010102</v>
      </c>
    </row>
    <row r="959" spans="1:10">
      <c r="A959" s="126"/>
      <c r="B959" s="127"/>
      <c r="C959" s="128" t="s">
        <v>590</v>
      </c>
      <c r="D959" s="128" t="s">
        <v>590</v>
      </c>
      <c r="E959" s="583" t="s">
        <v>265</v>
      </c>
      <c r="F959" s="127" t="s">
        <v>266</v>
      </c>
      <c r="G959" s="130"/>
      <c r="H959" s="131"/>
      <c r="I959" s="143"/>
      <c r="J959" s="131">
        <f>SUM(J960:J960)</f>
        <v>303696.83999999997</v>
      </c>
    </row>
    <row r="960" spans="1:10">
      <c r="A960" s="584"/>
      <c r="B960" s="585"/>
      <c r="C960" s="586" t="s">
        <v>590</v>
      </c>
      <c r="D960" s="133" t="s">
        <v>605</v>
      </c>
      <c r="E960" s="587" t="str">
        <f>" - "&amp;'Giá NC'!E8</f>
        <v xml:space="preserve"> - Nhân công bậc 3,0/7 - Nhóm 2</v>
      </c>
      <c r="F960" s="585" t="str">
        <f>'Giá NC'!F8</f>
        <v>công</v>
      </c>
      <c r="G960" s="588">
        <f>PTVT!G471</f>
        <v>1.23</v>
      </c>
      <c r="H960" s="589">
        <f>'Giá NC'!K8</f>
        <v>246908</v>
      </c>
      <c r="I960" s="603">
        <f>'5.Tiên lượng'!W128</f>
        <v>1</v>
      </c>
      <c r="J960" s="589">
        <f>PRODUCT(G960,H960,I960)</f>
        <v>303696.83999999997</v>
      </c>
    </row>
    <row r="961" spans="1:10">
      <c r="A961" s="126"/>
      <c r="B961" s="127"/>
      <c r="C961" s="128" t="s">
        <v>590</v>
      </c>
      <c r="D961" s="128" t="s">
        <v>590</v>
      </c>
      <c r="E961" s="583" t="s">
        <v>267</v>
      </c>
      <c r="F961" s="127" t="s">
        <v>268</v>
      </c>
      <c r="G961" s="130"/>
      <c r="H961" s="131"/>
      <c r="I961" s="143"/>
      <c r="J961" s="131">
        <f>SUM(J962:J963)</f>
        <v>56032.926787260003</v>
      </c>
    </row>
    <row r="962" spans="1:10">
      <c r="A962" s="584"/>
      <c r="B962" s="585"/>
      <c r="C962" s="586" t="s">
        <v>590</v>
      </c>
      <c r="D962" s="133" t="s">
        <v>623</v>
      </c>
      <c r="E962" s="587" t="str">
        <f>" - "&amp;'Giá Máy'!E27</f>
        <v xml:space="preserve"> - Máy trộn bê tông 250 lít</v>
      </c>
      <c r="F962" s="585" t="str">
        <f>'Giá Máy'!F27</f>
        <v>ca</v>
      </c>
      <c r="G962" s="588">
        <f>PTVT!G473</f>
        <v>9.5000000000000001E-2</v>
      </c>
      <c r="H962" s="589">
        <f>'Giá Máy'!O27</f>
        <v>326305.98864499998</v>
      </c>
      <c r="I962" s="603">
        <f>'5.Tiên lượng'!X128</f>
        <v>1</v>
      </c>
      <c r="J962" s="589">
        <f t="shared" ref="J962:J963" si="63">PRODUCT(G962,H962,I962)</f>
        <v>30999.068921274997</v>
      </c>
    </row>
    <row r="963" spans="1:10">
      <c r="A963" s="584"/>
      <c r="B963" s="585"/>
      <c r="C963" s="586" t="s">
        <v>590</v>
      </c>
      <c r="D963" s="133" t="s">
        <v>625</v>
      </c>
      <c r="E963" s="587" t="str">
        <f>" - "&amp;'Giá Máy'!E12</f>
        <v xml:space="preserve"> - Máy đầm dùi 1,5kW</v>
      </c>
      <c r="F963" s="585" t="str">
        <f>'Giá Máy'!F12</f>
        <v>ca</v>
      </c>
      <c r="G963" s="588">
        <f>PTVT!G474</f>
        <v>8.8999999999999996E-2</v>
      </c>
      <c r="H963" s="589">
        <f>'Giá Máy'!O12</f>
        <v>281279.30186500004</v>
      </c>
      <c r="I963" s="603">
        <f>'5.Tiên lượng'!X128</f>
        <v>1</v>
      </c>
      <c r="J963" s="589">
        <f t="shared" si="63"/>
        <v>25033.857865985003</v>
      </c>
    </row>
    <row r="964" spans="1:10">
      <c r="A964" s="584"/>
      <c r="B964" s="585"/>
      <c r="C964" s="586" t="s">
        <v>590</v>
      </c>
      <c r="D964" s="133" t="s">
        <v>590</v>
      </c>
      <c r="E964" s="587" t="s">
        <v>269</v>
      </c>
      <c r="F964" s="585" t="s">
        <v>270</v>
      </c>
      <c r="G964" s="590"/>
      <c r="H964" s="589"/>
      <c r="I964" s="603"/>
      <c r="J964" s="589">
        <f>J953+J959+J961</f>
        <v>1390158.8297382803</v>
      </c>
    </row>
    <row r="965" spans="1:10">
      <c r="A965" s="584"/>
      <c r="B965" s="585"/>
      <c r="C965" s="586" t="s">
        <v>590</v>
      </c>
      <c r="D965" s="133" t="s">
        <v>590</v>
      </c>
      <c r="E965" s="587" t="s">
        <v>273</v>
      </c>
      <c r="F965" s="585" t="s">
        <v>274</v>
      </c>
      <c r="G965" s="591">
        <f>'Thông tin'!E67</f>
        <v>6.2E-2</v>
      </c>
      <c r="H965" s="589"/>
      <c r="I965" s="603"/>
      <c r="J965" s="589">
        <f>(J964)*G965</f>
        <v>86189.847443773382</v>
      </c>
    </row>
    <row r="966" spans="1:10">
      <c r="A966" s="584"/>
      <c r="B966" s="585"/>
      <c r="C966" s="586" t="s">
        <v>590</v>
      </c>
      <c r="D966" s="133" t="s">
        <v>590</v>
      </c>
      <c r="E966" s="587" t="s">
        <v>276</v>
      </c>
      <c r="F966" s="585" t="s">
        <v>277</v>
      </c>
      <c r="G966" s="591">
        <f>'Thông tin'!E60</f>
        <v>2.2000000000000002E-2</v>
      </c>
      <c r="H966" s="589"/>
      <c r="I966" s="603"/>
      <c r="J966" s="589">
        <f>(J964)*G966</f>
        <v>30583.49425424217</v>
      </c>
    </row>
    <row r="967" spans="1:10" ht="27.6">
      <c r="A967" s="584"/>
      <c r="B967" s="585"/>
      <c r="C967" s="586" t="s">
        <v>590</v>
      </c>
      <c r="D967" s="133" t="s">
        <v>590</v>
      </c>
      <c r="E967" s="587" t="s">
        <v>279</v>
      </c>
      <c r="F967" s="585" t="s">
        <v>142</v>
      </c>
      <c r="G967" s="591">
        <f>'Thông tin'!E65</f>
        <v>0.02</v>
      </c>
      <c r="H967" s="589"/>
      <c r="I967" s="603"/>
      <c r="J967" s="589">
        <f>(J964)*G967</f>
        <v>27803.176594765606</v>
      </c>
    </row>
    <row r="968" spans="1:10">
      <c r="A968" s="584"/>
      <c r="B968" s="585"/>
      <c r="C968" s="586" t="s">
        <v>590</v>
      </c>
      <c r="D968" s="133" t="s">
        <v>590</v>
      </c>
      <c r="E968" s="587" t="s">
        <v>281</v>
      </c>
      <c r="F968" s="585" t="s">
        <v>282</v>
      </c>
      <c r="G968" s="590"/>
      <c r="H968" s="589"/>
      <c r="I968" s="603"/>
      <c r="J968" s="589">
        <f>J965+J966+J967</f>
        <v>144576.51829278114</v>
      </c>
    </row>
    <row r="969" spans="1:10">
      <c r="A969" s="584"/>
      <c r="B969" s="585"/>
      <c r="C969" s="586" t="s">
        <v>590</v>
      </c>
      <c r="D969" s="133" t="s">
        <v>590</v>
      </c>
      <c r="E969" s="587" t="s">
        <v>284</v>
      </c>
      <c r="F969" s="585" t="s">
        <v>285</v>
      </c>
      <c r="G969" s="591">
        <f>'Thông tin'!E63</f>
        <v>0.06</v>
      </c>
      <c r="H969" s="589"/>
      <c r="I969" s="603"/>
      <c r="J969" s="589">
        <f>(J964+J968)*G969</f>
        <v>92084.120881863681</v>
      </c>
    </row>
    <row r="970" spans="1:10">
      <c r="A970" s="584"/>
      <c r="B970" s="585"/>
      <c r="C970" s="586" t="s">
        <v>590</v>
      </c>
      <c r="D970" s="133" t="s">
        <v>590</v>
      </c>
      <c r="E970" s="592" t="s">
        <v>287</v>
      </c>
      <c r="F970" s="593" t="s">
        <v>288</v>
      </c>
      <c r="G970" s="590"/>
      <c r="H970" s="589"/>
      <c r="I970" s="603"/>
      <c r="J970" s="604">
        <f>J964+J968+J969</f>
        <v>1626819.4689129251</v>
      </c>
    </row>
    <row r="971" spans="1:10">
      <c r="A971" s="584"/>
      <c r="B971" s="585"/>
      <c r="C971" s="586" t="s">
        <v>590</v>
      </c>
      <c r="D971" s="133" t="s">
        <v>590</v>
      </c>
      <c r="E971" s="587" t="s">
        <v>290</v>
      </c>
      <c r="F971" s="585" t="s">
        <v>291</v>
      </c>
      <c r="G971" s="591">
        <f>'Thông tin'!E61</f>
        <v>0.1</v>
      </c>
      <c r="H971" s="589"/>
      <c r="I971" s="603"/>
      <c r="J971" s="589">
        <f>(J970)*G971</f>
        <v>162681.94689129252</v>
      </c>
    </row>
    <row r="972" spans="1:10">
      <c r="A972" s="594"/>
      <c r="B972" s="595"/>
      <c r="C972" s="596" t="s">
        <v>590</v>
      </c>
      <c r="D972" s="137" t="s">
        <v>590</v>
      </c>
      <c r="E972" s="597" t="s">
        <v>293</v>
      </c>
      <c r="F972" s="598" t="s">
        <v>19</v>
      </c>
      <c r="G972" s="599"/>
      <c r="H972" s="600"/>
      <c r="I972" s="605"/>
      <c r="J972" s="606">
        <f>J970+J971</f>
        <v>1789501.4158042176</v>
      </c>
    </row>
    <row r="973" spans="1:10" ht="27.6">
      <c r="A973" s="578"/>
      <c r="B973" s="579">
        <v>53</v>
      </c>
      <c r="C973" s="578" t="str">
        <f>'5.Tiên lượng'!C129</f>
        <v>AE.26313</v>
      </c>
      <c r="D973" s="578" t="str">
        <f>'5.Tiên lượng'!C129</f>
        <v>AE.26313</v>
      </c>
      <c r="E973" s="580" t="str">
        <f>'5.Tiên lượng'!D129</f>
        <v>Xây rãnh thoát nước bằng gạch KN 6,5x10,5x22cm, vữa XM M75, PCB40</v>
      </c>
      <c r="F973" s="579" t="str">
        <f>'5.Tiên lượng'!E129</f>
        <v>m3</v>
      </c>
      <c r="G973" s="581"/>
      <c r="H973" s="582"/>
      <c r="I973" s="602"/>
      <c r="J973" s="582"/>
    </row>
    <row r="974" spans="1:10">
      <c r="A974" s="126"/>
      <c r="B974" s="127"/>
      <c r="C974" s="128" t="s">
        <v>590</v>
      </c>
      <c r="D974" s="128" t="s">
        <v>590</v>
      </c>
      <c r="E974" s="583" t="s">
        <v>262</v>
      </c>
      <c r="F974" s="127" t="s">
        <v>263</v>
      </c>
      <c r="G974" s="130"/>
      <c r="H974" s="131"/>
      <c r="I974" s="143"/>
      <c r="J974" s="131">
        <f>SUM(J975:J979)</f>
        <v>1194550.9401206358</v>
      </c>
    </row>
    <row r="975" spans="1:10">
      <c r="A975" s="584"/>
      <c r="B975" s="585"/>
      <c r="C975" s="586" t="s">
        <v>590</v>
      </c>
      <c r="D975" s="133" t="s">
        <v>655</v>
      </c>
      <c r="E975" s="587" t="str">
        <f>" - "&amp;'Giá VL'!E49</f>
        <v xml:space="preserve"> - Gạch đất sét nung 6,5 x 10,5 x 22cm</v>
      </c>
      <c r="F975" s="585" t="str">
        <f>'Giá VL'!F49</f>
        <v>viên</v>
      </c>
      <c r="G975" s="588">
        <f>PTVT!G477</f>
        <v>550</v>
      </c>
      <c r="H975" s="589">
        <f>'Giá VL'!V49</f>
        <v>1506.5773788111758</v>
      </c>
      <c r="I975" s="603">
        <f>'5.Tiên lượng'!V129</f>
        <v>1</v>
      </c>
      <c r="J975" s="589">
        <f t="shared" ref="J975:J979" si="64">PRODUCT(G975,H975,I975)</f>
        <v>828617.55834614672</v>
      </c>
    </row>
    <row r="976" spans="1:10">
      <c r="A976" s="584"/>
      <c r="B976" s="585"/>
      <c r="C976" s="586" t="s">
        <v>590</v>
      </c>
      <c r="D976" s="133" t="s">
        <v>614</v>
      </c>
      <c r="E976" s="587" t="str">
        <f>" - "&amp;'Giá VL'!E45</f>
        <v xml:space="preserve"> - Xi măng PCB40</v>
      </c>
      <c r="F976" s="585" t="str">
        <f>'Giá VL'!F45</f>
        <v>kg</v>
      </c>
      <c r="G976" s="588">
        <f>PTVT!G478</f>
        <v>87.912000000000006</v>
      </c>
      <c r="H976" s="589">
        <f>'Giá VL'!V45</f>
        <v>1730</v>
      </c>
      <c r="I976" s="603">
        <f>'5.Tiên lượng'!V129</f>
        <v>1</v>
      </c>
      <c r="J976" s="589">
        <f t="shared" si="64"/>
        <v>152087.76</v>
      </c>
    </row>
    <row r="977" spans="1:10">
      <c r="A977" s="584"/>
      <c r="B977" s="585"/>
      <c r="C977" s="586" t="s">
        <v>590</v>
      </c>
      <c r="D977" s="133" t="s">
        <v>656</v>
      </c>
      <c r="E977" s="587" t="str">
        <f>" - "&amp;'Giá VL'!E16</f>
        <v xml:space="preserve"> - Cát mịn ML=1,5÷2,0</v>
      </c>
      <c r="F977" s="585" t="str">
        <f>'Giá VL'!F16</f>
        <v>m3</v>
      </c>
      <c r="G977" s="588">
        <f>PTVT!G479</f>
        <v>0.39627000000000001</v>
      </c>
      <c r="H977" s="589">
        <f>'Giá VL'!V16</f>
        <v>379026.49526849983</v>
      </c>
      <c r="I977" s="603">
        <f>'5.Tiên lượng'!V129</f>
        <v>1</v>
      </c>
      <c r="J977" s="589">
        <f t="shared" si="64"/>
        <v>150196.82928004843</v>
      </c>
    </row>
    <row r="978" spans="1:10">
      <c r="A978" s="584"/>
      <c r="B978" s="585"/>
      <c r="C978" s="586" t="s">
        <v>590</v>
      </c>
      <c r="D978" s="133" t="s">
        <v>617</v>
      </c>
      <c r="E978" s="587" t="str">
        <f>" - "&amp;'Giá VL'!E33</f>
        <v xml:space="preserve"> - Nước</v>
      </c>
      <c r="F978" s="585" t="str">
        <f>'Giá VL'!F33</f>
        <v>lít</v>
      </c>
      <c r="G978" s="588">
        <f>PTVT!G480</f>
        <v>91.575000000000003</v>
      </c>
      <c r="H978" s="589">
        <f>'Giá VL'!V33</f>
        <v>15</v>
      </c>
      <c r="I978" s="603">
        <f>'5.Tiên lượng'!V129</f>
        <v>1</v>
      </c>
      <c r="J978" s="589">
        <f t="shared" si="64"/>
        <v>1373.625</v>
      </c>
    </row>
    <row r="979" spans="1:10">
      <c r="A979" s="584"/>
      <c r="B979" s="585"/>
      <c r="C979" s="586" t="s">
        <v>590</v>
      </c>
      <c r="D979" s="133" t="s">
        <v>620</v>
      </c>
      <c r="E979" s="587" t="s">
        <v>621</v>
      </c>
      <c r="F979" s="585" t="s">
        <v>37</v>
      </c>
      <c r="G979" s="588">
        <f>PTVT!G481</f>
        <v>5.5</v>
      </c>
      <c r="H979" s="589">
        <f>IF('5.Tiên lượng'!V129&lt;&gt;0,SUM(J975:J978)/100/'5.Tiên lượng'!V129,0)</f>
        <v>11322.757726261951</v>
      </c>
      <c r="I979" s="603">
        <f>'5.Tiên lượng'!V129</f>
        <v>1</v>
      </c>
      <c r="J979" s="589">
        <f t="shared" si="64"/>
        <v>62275.167494440728</v>
      </c>
    </row>
    <row r="980" spans="1:10">
      <c r="A980" s="126"/>
      <c r="B980" s="127"/>
      <c r="C980" s="128" t="s">
        <v>590</v>
      </c>
      <c r="D980" s="128" t="s">
        <v>590</v>
      </c>
      <c r="E980" s="583" t="s">
        <v>265</v>
      </c>
      <c r="F980" s="127" t="s">
        <v>266</v>
      </c>
      <c r="G980" s="130"/>
      <c r="H980" s="131"/>
      <c r="I980" s="143"/>
      <c r="J980" s="131">
        <f>SUM(J981:J981)</f>
        <v>1215000</v>
      </c>
    </row>
    <row r="981" spans="1:10">
      <c r="A981" s="584"/>
      <c r="B981" s="585"/>
      <c r="C981" s="586" t="s">
        <v>590</v>
      </c>
      <c r="D981" s="133" t="s">
        <v>622</v>
      </c>
      <c r="E981" s="587" t="str">
        <f>" - "&amp;'Giá NC'!E9</f>
        <v xml:space="preserve"> - Nhân công bậc 3,5/7 - Nhóm 2</v>
      </c>
      <c r="F981" s="585" t="str">
        <f>'Giá NC'!F9</f>
        <v>công</v>
      </c>
      <c r="G981" s="588">
        <f>PTVT!G483</f>
        <v>4.5</v>
      </c>
      <c r="H981" s="589">
        <f>'Giá NC'!K9</f>
        <v>270000</v>
      </c>
      <c r="I981" s="603">
        <f>'5.Tiên lượng'!W129</f>
        <v>1</v>
      </c>
      <c r="J981" s="589">
        <f>PRODUCT(G981,H981,I981)</f>
        <v>1215000</v>
      </c>
    </row>
    <row r="982" spans="1:10">
      <c r="A982" s="126"/>
      <c r="B982" s="127"/>
      <c r="C982" s="128" t="s">
        <v>590</v>
      </c>
      <c r="D982" s="128" t="s">
        <v>590</v>
      </c>
      <c r="E982" s="583" t="s">
        <v>267</v>
      </c>
      <c r="F982" s="127" t="s">
        <v>268</v>
      </c>
      <c r="G982" s="130"/>
      <c r="H982" s="131"/>
      <c r="I982" s="143"/>
      <c r="J982" s="131">
        <f>SUM(J983:J983)</f>
        <v>11685.075274722354</v>
      </c>
    </row>
    <row r="983" spans="1:10">
      <c r="A983" s="584"/>
      <c r="B983" s="585"/>
      <c r="C983" s="586" t="s">
        <v>590</v>
      </c>
      <c r="D983" s="133" t="s">
        <v>657</v>
      </c>
      <c r="E983" s="587" t="str">
        <f>" - "&amp;'Giá Máy'!E28</f>
        <v xml:space="preserve"> - Máy trộn vữa 150l</v>
      </c>
      <c r="F983" s="585" t="str">
        <f>'Giá Máy'!F28</f>
        <v>ca</v>
      </c>
      <c r="G983" s="588">
        <f>PTVT!G485</f>
        <v>3.9E-2</v>
      </c>
      <c r="H983" s="589">
        <f>'Giá Máy'!O28</f>
        <v>299617.31473647064</v>
      </c>
      <c r="I983" s="603">
        <f>'5.Tiên lượng'!X129</f>
        <v>1</v>
      </c>
      <c r="J983" s="589">
        <f>PRODUCT(G983,H983,I983)</f>
        <v>11685.075274722354</v>
      </c>
    </row>
    <row r="984" spans="1:10">
      <c r="A984" s="584"/>
      <c r="B984" s="585"/>
      <c r="C984" s="586" t="s">
        <v>590</v>
      </c>
      <c r="D984" s="133" t="s">
        <v>590</v>
      </c>
      <c r="E984" s="587" t="s">
        <v>269</v>
      </c>
      <c r="F984" s="585" t="s">
        <v>270</v>
      </c>
      <c r="G984" s="590"/>
      <c r="H984" s="589"/>
      <c r="I984" s="603"/>
      <c r="J984" s="589">
        <f>J974+J980+J982</f>
        <v>2421236.0153953577</v>
      </c>
    </row>
    <row r="985" spans="1:10">
      <c r="A985" s="584"/>
      <c r="B985" s="585"/>
      <c r="C985" s="586" t="s">
        <v>590</v>
      </c>
      <c r="D985" s="133" t="s">
        <v>590</v>
      </c>
      <c r="E985" s="587" t="s">
        <v>273</v>
      </c>
      <c r="F985" s="585" t="s">
        <v>274</v>
      </c>
      <c r="G985" s="591">
        <f>'Thông tin'!E67</f>
        <v>6.2E-2</v>
      </c>
      <c r="H985" s="589"/>
      <c r="I985" s="603"/>
      <c r="J985" s="589">
        <f>(J984)*G985</f>
        <v>150116.63295451217</v>
      </c>
    </row>
    <row r="986" spans="1:10">
      <c r="A986" s="584"/>
      <c r="B986" s="585"/>
      <c r="C986" s="586" t="s">
        <v>590</v>
      </c>
      <c r="D986" s="133" t="s">
        <v>590</v>
      </c>
      <c r="E986" s="587" t="s">
        <v>276</v>
      </c>
      <c r="F986" s="585" t="s">
        <v>277</v>
      </c>
      <c r="G986" s="591">
        <f>'Thông tin'!E60</f>
        <v>2.2000000000000002E-2</v>
      </c>
      <c r="H986" s="589"/>
      <c r="I986" s="603"/>
      <c r="J986" s="589">
        <f>(J984)*G986</f>
        <v>53267.192338697874</v>
      </c>
    </row>
    <row r="987" spans="1:10" ht="27.6">
      <c r="A987" s="584"/>
      <c r="B987" s="585"/>
      <c r="C987" s="586" t="s">
        <v>590</v>
      </c>
      <c r="D987" s="133" t="s">
        <v>590</v>
      </c>
      <c r="E987" s="587" t="s">
        <v>279</v>
      </c>
      <c r="F987" s="585" t="s">
        <v>142</v>
      </c>
      <c r="G987" s="591">
        <f>'Thông tin'!E65</f>
        <v>0.02</v>
      </c>
      <c r="H987" s="589"/>
      <c r="I987" s="603"/>
      <c r="J987" s="589">
        <f>(J984)*G987</f>
        <v>48424.720307907155</v>
      </c>
    </row>
    <row r="988" spans="1:10">
      <c r="A988" s="584"/>
      <c r="B988" s="585"/>
      <c r="C988" s="586" t="s">
        <v>590</v>
      </c>
      <c r="D988" s="133" t="s">
        <v>590</v>
      </c>
      <c r="E988" s="587" t="s">
        <v>281</v>
      </c>
      <c r="F988" s="585" t="s">
        <v>282</v>
      </c>
      <c r="G988" s="590"/>
      <c r="H988" s="589"/>
      <c r="I988" s="603"/>
      <c r="J988" s="589">
        <f>J985+J986+J987</f>
        <v>251808.54560111719</v>
      </c>
    </row>
    <row r="989" spans="1:10">
      <c r="A989" s="584"/>
      <c r="B989" s="585"/>
      <c r="C989" s="586" t="s">
        <v>590</v>
      </c>
      <c r="D989" s="133" t="s">
        <v>590</v>
      </c>
      <c r="E989" s="587" t="s">
        <v>284</v>
      </c>
      <c r="F989" s="585" t="s">
        <v>285</v>
      </c>
      <c r="G989" s="591">
        <f>'Thông tin'!E63</f>
        <v>0.06</v>
      </c>
      <c r="H989" s="589"/>
      <c r="I989" s="603"/>
      <c r="J989" s="589">
        <f>(J984+J988)*G989</f>
        <v>160382.67365978847</v>
      </c>
    </row>
    <row r="990" spans="1:10">
      <c r="A990" s="584"/>
      <c r="B990" s="585"/>
      <c r="C990" s="586" t="s">
        <v>590</v>
      </c>
      <c r="D990" s="133" t="s">
        <v>590</v>
      </c>
      <c r="E990" s="592" t="s">
        <v>287</v>
      </c>
      <c r="F990" s="593" t="s">
        <v>288</v>
      </c>
      <c r="G990" s="590"/>
      <c r="H990" s="589"/>
      <c r="I990" s="603"/>
      <c r="J990" s="604">
        <f>J984+J988+J989</f>
        <v>2833427.2346562631</v>
      </c>
    </row>
    <row r="991" spans="1:10">
      <c r="A991" s="584"/>
      <c r="B991" s="585"/>
      <c r="C991" s="586" t="s">
        <v>590</v>
      </c>
      <c r="D991" s="133" t="s">
        <v>590</v>
      </c>
      <c r="E991" s="587" t="s">
        <v>290</v>
      </c>
      <c r="F991" s="585" t="s">
        <v>291</v>
      </c>
      <c r="G991" s="591">
        <f>'Thông tin'!E61</f>
        <v>0.1</v>
      </c>
      <c r="H991" s="589"/>
      <c r="I991" s="603"/>
      <c r="J991" s="589">
        <f>(J990)*G991</f>
        <v>283342.7234656263</v>
      </c>
    </row>
    <row r="992" spans="1:10">
      <c r="A992" s="594"/>
      <c r="B992" s="595"/>
      <c r="C992" s="596" t="s">
        <v>590</v>
      </c>
      <c r="D992" s="137" t="s">
        <v>590</v>
      </c>
      <c r="E992" s="597" t="s">
        <v>293</v>
      </c>
      <c r="F992" s="598" t="s">
        <v>19</v>
      </c>
      <c r="G992" s="599"/>
      <c r="H992" s="600"/>
      <c r="I992" s="605"/>
      <c r="J992" s="606">
        <f>J990+J991</f>
        <v>3116769.9581218893</v>
      </c>
    </row>
    <row r="993" spans="1:10" ht="27.6">
      <c r="A993" s="578"/>
      <c r="B993" s="579">
        <v>54</v>
      </c>
      <c r="C993" s="578" t="str">
        <f>'5.Tiên lượng'!C130</f>
        <v>AK.21113</v>
      </c>
      <c r="D993" s="578" t="str">
        <f>'5.Tiên lượng'!C130</f>
        <v>AK.21113</v>
      </c>
      <c r="E993" s="580" t="str">
        <f>'5.Tiên lượng'!D130</f>
        <v>Trát tường ngoài dày 1cm, vữa XM M75, PCB40</v>
      </c>
      <c r="F993" s="579" t="str">
        <f>'5.Tiên lượng'!E130</f>
        <v>m2</v>
      </c>
      <c r="G993" s="581"/>
      <c r="H993" s="582"/>
      <c r="I993" s="602"/>
      <c r="J993" s="582"/>
    </row>
    <row r="994" spans="1:10">
      <c r="A994" s="126"/>
      <c r="B994" s="127"/>
      <c r="C994" s="128" t="s">
        <v>590</v>
      </c>
      <c r="D994" s="128" t="s">
        <v>590</v>
      </c>
      <c r="E994" s="583" t="s">
        <v>262</v>
      </c>
      <c r="F994" s="127" t="s">
        <v>263</v>
      </c>
      <c r="G994" s="130"/>
      <c r="H994" s="131"/>
      <c r="I994" s="143"/>
      <c r="J994" s="131">
        <f>SUM(J995:J998)</f>
        <v>10929.274998675268</v>
      </c>
    </row>
    <row r="995" spans="1:10">
      <c r="A995" s="584"/>
      <c r="B995" s="585"/>
      <c r="C995" s="586" t="s">
        <v>590</v>
      </c>
      <c r="D995" s="133" t="s">
        <v>614</v>
      </c>
      <c r="E995" s="587" t="str">
        <f>" - "&amp;'Giá VL'!E45</f>
        <v xml:space="preserve"> - Xi măng PCB40</v>
      </c>
      <c r="F995" s="585" t="str">
        <f>'Giá VL'!F45</f>
        <v>kg</v>
      </c>
      <c r="G995" s="588">
        <f>PTVT!G488</f>
        <v>3.6120000000000001</v>
      </c>
      <c r="H995" s="589">
        <f>'Giá VL'!V45</f>
        <v>1730</v>
      </c>
      <c r="I995" s="603">
        <f>'5.Tiên lượng'!V130</f>
        <v>1</v>
      </c>
      <c r="J995" s="589">
        <f t="shared" ref="J995:J998" si="65">PRODUCT(G995,H995,I995)</f>
        <v>6248.76</v>
      </c>
    </row>
    <row r="996" spans="1:10">
      <c r="A996" s="584"/>
      <c r="B996" s="585"/>
      <c r="C996" s="586" t="s">
        <v>590</v>
      </c>
      <c r="D996" s="133" t="s">
        <v>658</v>
      </c>
      <c r="E996" s="587" t="str">
        <f>" - "&amp;'Giá VL'!E15</f>
        <v xml:space="preserve"> - Cát mịn ML=0,7÷1,4</v>
      </c>
      <c r="F996" s="585" t="str">
        <f>'Giá VL'!F15</f>
        <v>m3</v>
      </c>
      <c r="G996" s="588">
        <f>PTVT!G489</f>
        <v>1.3908E-2</v>
      </c>
      <c r="H996" s="589">
        <f>'Giá VL'!V14</f>
        <v>329026.49526849983</v>
      </c>
      <c r="I996" s="603">
        <f>'5.Tiên lượng'!V130</f>
        <v>1</v>
      </c>
      <c r="J996" s="589">
        <f t="shared" si="65"/>
        <v>4576.1004961942954</v>
      </c>
    </row>
    <row r="997" spans="1:10">
      <c r="A997" s="584"/>
      <c r="B997" s="585"/>
      <c r="C997" s="586" t="s">
        <v>590</v>
      </c>
      <c r="D997" s="133" t="s">
        <v>617</v>
      </c>
      <c r="E997" s="587" t="str">
        <f>" - "&amp;'Giá VL'!E33</f>
        <v xml:space="preserve"> - Nước</v>
      </c>
      <c r="F997" s="585" t="str">
        <f>'Giá VL'!F33</f>
        <v>lít</v>
      </c>
      <c r="G997" s="588">
        <f>PTVT!G490</f>
        <v>3.3359999999999999</v>
      </c>
      <c r="H997" s="589">
        <f>'Giá VL'!V33</f>
        <v>15</v>
      </c>
      <c r="I997" s="603">
        <f>'5.Tiên lượng'!V130</f>
        <v>1</v>
      </c>
      <c r="J997" s="589">
        <f t="shared" si="65"/>
        <v>50.04</v>
      </c>
    </row>
    <row r="998" spans="1:10">
      <c r="A998" s="584"/>
      <c r="B998" s="585"/>
      <c r="C998" s="586" t="s">
        <v>590</v>
      </c>
      <c r="D998" s="133" t="s">
        <v>620</v>
      </c>
      <c r="E998" s="587" t="s">
        <v>621</v>
      </c>
      <c r="F998" s="585" t="s">
        <v>37</v>
      </c>
      <c r="G998" s="588">
        <f>PTVT!G491</f>
        <v>0.5</v>
      </c>
      <c r="H998" s="589">
        <f>IF('5.Tiên lượng'!V130&lt;&gt;0,SUM(J995:J997)/100/'5.Tiên lượng'!V130,0)</f>
        <v>108.74900496194296</v>
      </c>
      <c r="I998" s="603">
        <f>'5.Tiên lượng'!V130</f>
        <v>1</v>
      </c>
      <c r="J998" s="589">
        <f t="shared" si="65"/>
        <v>54.374502480971479</v>
      </c>
    </row>
    <row r="999" spans="1:10">
      <c r="A999" s="126"/>
      <c r="B999" s="127"/>
      <c r="C999" s="128" t="s">
        <v>590</v>
      </c>
      <c r="D999" s="128" t="s">
        <v>590</v>
      </c>
      <c r="E999" s="583" t="s">
        <v>265</v>
      </c>
      <c r="F999" s="127" t="s">
        <v>266</v>
      </c>
      <c r="G999" s="130"/>
      <c r="H999" s="131"/>
      <c r="I999" s="143"/>
      <c r="J999" s="131">
        <f>SUM(J1000:J1000)</f>
        <v>59400</v>
      </c>
    </row>
    <row r="1000" spans="1:10">
      <c r="A1000" s="584"/>
      <c r="B1000" s="585"/>
      <c r="C1000" s="586" t="s">
        <v>590</v>
      </c>
      <c r="D1000" s="133" t="s">
        <v>622</v>
      </c>
      <c r="E1000" s="587" t="str">
        <f>" - "&amp;'Giá NC'!E9</f>
        <v xml:space="preserve"> - Nhân công bậc 3,5/7 - Nhóm 2</v>
      </c>
      <c r="F1000" s="585" t="str">
        <f>'Giá NC'!F9</f>
        <v>công</v>
      </c>
      <c r="G1000" s="588">
        <f>PTVT!G493</f>
        <v>0.22</v>
      </c>
      <c r="H1000" s="589">
        <f>'Giá NC'!K9</f>
        <v>270000</v>
      </c>
      <c r="I1000" s="603">
        <f>'5.Tiên lượng'!W130</f>
        <v>1</v>
      </c>
      <c r="J1000" s="589">
        <f>PRODUCT(G1000,H1000,I1000)</f>
        <v>59400</v>
      </c>
    </row>
    <row r="1001" spans="1:10">
      <c r="A1001" s="126"/>
      <c r="B1001" s="127"/>
      <c r="C1001" s="128" t="s">
        <v>590</v>
      </c>
      <c r="D1001" s="128" t="s">
        <v>590</v>
      </c>
      <c r="E1001" s="583" t="s">
        <v>267</v>
      </c>
      <c r="F1001" s="127" t="s">
        <v>268</v>
      </c>
      <c r="G1001" s="130"/>
      <c r="H1001" s="131"/>
      <c r="I1001" s="143"/>
      <c r="J1001" s="131">
        <f>SUM(J1002:J1002)</f>
        <v>599.23462947294126</v>
      </c>
    </row>
    <row r="1002" spans="1:10">
      <c r="A1002" s="584"/>
      <c r="B1002" s="585"/>
      <c r="C1002" s="586" t="s">
        <v>590</v>
      </c>
      <c r="D1002" s="133" t="s">
        <v>657</v>
      </c>
      <c r="E1002" s="587" t="str">
        <f>" - "&amp;'Giá Máy'!E28</f>
        <v xml:space="preserve"> - Máy trộn vữa 150l</v>
      </c>
      <c r="F1002" s="585" t="str">
        <f>'Giá Máy'!F28</f>
        <v>ca</v>
      </c>
      <c r="G1002" s="588">
        <f>PTVT!G495</f>
        <v>2E-3</v>
      </c>
      <c r="H1002" s="589">
        <f>'Giá Máy'!O28</f>
        <v>299617.31473647064</v>
      </c>
      <c r="I1002" s="603">
        <f>'5.Tiên lượng'!X130</f>
        <v>1</v>
      </c>
      <c r="J1002" s="589">
        <f>PRODUCT(G1002,H1002,I1002)</f>
        <v>599.23462947294126</v>
      </c>
    </row>
    <row r="1003" spans="1:10">
      <c r="A1003" s="584"/>
      <c r="B1003" s="585"/>
      <c r="C1003" s="586" t="s">
        <v>590</v>
      </c>
      <c r="D1003" s="133" t="s">
        <v>590</v>
      </c>
      <c r="E1003" s="587" t="s">
        <v>269</v>
      </c>
      <c r="F1003" s="585" t="s">
        <v>270</v>
      </c>
      <c r="G1003" s="590"/>
      <c r="H1003" s="589"/>
      <c r="I1003" s="603"/>
      <c r="J1003" s="589">
        <f>J994+J999+J1001</f>
        <v>70928.509628148211</v>
      </c>
    </row>
    <row r="1004" spans="1:10">
      <c r="A1004" s="584"/>
      <c r="B1004" s="585"/>
      <c r="C1004" s="586" t="s">
        <v>590</v>
      </c>
      <c r="D1004" s="133" t="s">
        <v>590</v>
      </c>
      <c r="E1004" s="587" t="s">
        <v>273</v>
      </c>
      <c r="F1004" s="585" t="s">
        <v>274</v>
      </c>
      <c r="G1004" s="591">
        <f>'Thông tin'!E67</f>
        <v>6.2E-2</v>
      </c>
      <c r="H1004" s="589"/>
      <c r="I1004" s="603"/>
      <c r="J1004" s="589">
        <f>(J1003)*G1004</f>
        <v>4397.5675969451895</v>
      </c>
    </row>
    <row r="1005" spans="1:10">
      <c r="A1005" s="584"/>
      <c r="B1005" s="585"/>
      <c r="C1005" s="586" t="s">
        <v>590</v>
      </c>
      <c r="D1005" s="133" t="s">
        <v>590</v>
      </c>
      <c r="E1005" s="587" t="s">
        <v>276</v>
      </c>
      <c r="F1005" s="585" t="s">
        <v>277</v>
      </c>
      <c r="G1005" s="591">
        <f>'Thông tin'!E60</f>
        <v>2.2000000000000002E-2</v>
      </c>
      <c r="H1005" s="589"/>
      <c r="I1005" s="603"/>
      <c r="J1005" s="589">
        <f>(J1003)*G1005</f>
        <v>1560.4272118192607</v>
      </c>
    </row>
    <row r="1006" spans="1:10" ht="27.6">
      <c r="A1006" s="584"/>
      <c r="B1006" s="585"/>
      <c r="C1006" s="586" t="s">
        <v>590</v>
      </c>
      <c r="D1006" s="133" t="s">
        <v>590</v>
      </c>
      <c r="E1006" s="587" t="s">
        <v>279</v>
      </c>
      <c r="F1006" s="585" t="s">
        <v>142</v>
      </c>
      <c r="G1006" s="591">
        <f>'Thông tin'!E65</f>
        <v>0.02</v>
      </c>
      <c r="H1006" s="589"/>
      <c r="I1006" s="603"/>
      <c r="J1006" s="589">
        <f>(J1003)*G1006</f>
        <v>1418.5701925629642</v>
      </c>
    </row>
    <row r="1007" spans="1:10">
      <c r="A1007" s="584"/>
      <c r="B1007" s="585"/>
      <c r="C1007" s="586" t="s">
        <v>590</v>
      </c>
      <c r="D1007" s="133" t="s">
        <v>590</v>
      </c>
      <c r="E1007" s="587" t="s">
        <v>281</v>
      </c>
      <c r="F1007" s="585" t="s">
        <v>282</v>
      </c>
      <c r="G1007" s="590"/>
      <c r="H1007" s="589"/>
      <c r="I1007" s="603"/>
      <c r="J1007" s="589">
        <f>J1004+J1005+J1006</f>
        <v>7376.5650013274135</v>
      </c>
    </row>
    <row r="1008" spans="1:10">
      <c r="A1008" s="584"/>
      <c r="B1008" s="585"/>
      <c r="C1008" s="586" t="s">
        <v>590</v>
      </c>
      <c r="D1008" s="133" t="s">
        <v>590</v>
      </c>
      <c r="E1008" s="587" t="s">
        <v>284</v>
      </c>
      <c r="F1008" s="585" t="s">
        <v>285</v>
      </c>
      <c r="G1008" s="591">
        <f>'Thông tin'!E63</f>
        <v>0.06</v>
      </c>
      <c r="H1008" s="589"/>
      <c r="I1008" s="603"/>
      <c r="J1008" s="589">
        <f>(J1003+J1007)*G1008</f>
        <v>4698.3044777685373</v>
      </c>
    </row>
    <row r="1009" spans="1:10">
      <c r="A1009" s="584"/>
      <c r="B1009" s="585"/>
      <c r="C1009" s="586" t="s">
        <v>590</v>
      </c>
      <c r="D1009" s="133" t="s">
        <v>590</v>
      </c>
      <c r="E1009" s="592" t="s">
        <v>287</v>
      </c>
      <c r="F1009" s="593" t="s">
        <v>288</v>
      </c>
      <c r="G1009" s="590"/>
      <c r="H1009" s="589"/>
      <c r="I1009" s="603"/>
      <c r="J1009" s="604">
        <f>J1003+J1007+J1008</f>
        <v>83003.379107244167</v>
      </c>
    </row>
    <row r="1010" spans="1:10">
      <c r="A1010" s="584"/>
      <c r="B1010" s="585"/>
      <c r="C1010" s="586" t="s">
        <v>590</v>
      </c>
      <c r="D1010" s="133" t="s">
        <v>590</v>
      </c>
      <c r="E1010" s="587" t="s">
        <v>290</v>
      </c>
      <c r="F1010" s="585" t="s">
        <v>291</v>
      </c>
      <c r="G1010" s="591">
        <f>'Thông tin'!E61</f>
        <v>0.1</v>
      </c>
      <c r="H1010" s="589"/>
      <c r="I1010" s="603"/>
      <c r="J1010" s="589">
        <f>(J1009)*G1010</f>
        <v>8300.3379107244164</v>
      </c>
    </row>
    <row r="1011" spans="1:10">
      <c r="A1011" s="594"/>
      <c r="B1011" s="595"/>
      <c r="C1011" s="596" t="s">
        <v>590</v>
      </c>
      <c r="D1011" s="137" t="s">
        <v>590</v>
      </c>
      <c r="E1011" s="597" t="s">
        <v>293</v>
      </c>
      <c r="F1011" s="598" t="s">
        <v>19</v>
      </c>
      <c r="G1011" s="599"/>
      <c r="H1011" s="600"/>
      <c r="I1011" s="605"/>
      <c r="J1011" s="606">
        <f>J1009+J1010</f>
        <v>91303.717017968578</v>
      </c>
    </row>
    <row r="1012" spans="1:10" ht="41.4">
      <c r="A1012" s="578"/>
      <c r="B1012" s="579">
        <v>55</v>
      </c>
      <c r="C1012" s="578" t="str">
        <f>'5.Tiên lượng'!C132</f>
        <v>AF.14212</v>
      </c>
      <c r="D1012" s="578" t="str">
        <f>'5.Tiên lượng'!C132</f>
        <v>AF.14212</v>
      </c>
      <c r="E1012" s="580" t="str">
        <f>'5.Tiên lượng'!D132</f>
        <v>Bê tông mũ mố, mũ trụ trên cạn SX bằng máy trộn, đổ bằng thủ công, bê tông M200, đá 1x2, PCB40</v>
      </c>
      <c r="F1012" s="579" t="str">
        <f>'5.Tiên lượng'!E132</f>
        <v>m3</v>
      </c>
      <c r="G1012" s="581"/>
      <c r="H1012" s="582"/>
      <c r="I1012" s="602"/>
      <c r="J1012" s="582"/>
    </row>
    <row r="1013" spans="1:10">
      <c r="A1013" s="126"/>
      <c r="B1013" s="127"/>
      <c r="C1013" s="128" t="s">
        <v>590</v>
      </c>
      <c r="D1013" s="128" t="s">
        <v>590</v>
      </c>
      <c r="E1013" s="583" t="s">
        <v>262</v>
      </c>
      <c r="F1013" s="127" t="s">
        <v>263</v>
      </c>
      <c r="G1013" s="130"/>
      <c r="H1013" s="131"/>
      <c r="I1013" s="143"/>
      <c r="J1013" s="131">
        <f>SUM(J1014:J1018)</f>
        <v>1136050.7081554648</v>
      </c>
    </row>
    <row r="1014" spans="1:10">
      <c r="A1014" s="584"/>
      <c r="B1014" s="585"/>
      <c r="C1014" s="586" t="s">
        <v>590</v>
      </c>
      <c r="D1014" s="133" t="s">
        <v>614</v>
      </c>
      <c r="E1014" s="587" t="str">
        <f>" - "&amp;'Giá VL'!E45</f>
        <v xml:space="preserve"> - Xi măng PCB40</v>
      </c>
      <c r="F1014" s="585" t="str">
        <f>'Giá VL'!F45</f>
        <v>kg</v>
      </c>
      <c r="G1014" s="588">
        <f>PTVT!G498</f>
        <v>265.47500000000002</v>
      </c>
      <c r="H1014" s="589">
        <f>'Giá VL'!V45</f>
        <v>1730</v>
      </c>
      <c r="I1014" s="603">
        <f>'5.Tiên lượng'!V132</f>
        <v>1</v>
      </c>
      <c r="J1014" s="589">
        <f t="shared" ref="J1014:J1018" si="66">PRODUCT(G1014,H1014,I1014)</f>
        <v>459271.75000000006</v>
      </c>
    </row>
    <row r="1015" spans="1:10">
      <c r="A1015" s="584"/>
      <c r="B1015" s="585"/>
      <c r="C1015" s="586" t="s">
        <v>590</v>
      </c>
      <c r="D1015" s="133" t="s">
        <v>615</v>
      </c>
      <c r="E1015" s="587" t="str">
        <f>" - "&amp;'Giá VL'!E17</f>
        <v xml:space="preserve"> - Cát vàng</v>
      </c>
      <c r="F1015" s="585" t="str">
        <f>'Giá VL'!F17</f>
        <v>m3</v>
      </c>
      <c r="G1015" s="588">
        <f>PTVT!G499</f>
        <v>0.54120000000000001</v>
      </c>
      <c r="H1015" s="589">
        <f>'Giá VL'!V17</f>
        <v>659026.49526849983</v>
      </c>
      <c r="I1015" s="603">
        <f>'5.Tiên lượng'!V132</f>
        <v>1</v>
      </c>
      <c r="J1015" s="589">
        <f t="shared" si="66"/>
        <v>356665.13923931209</v>
      </c>
    </row>
    <row r="1016" spans="1:10">
      <c r="A1016" s="584"/>
      <c r="B1016" s="585"/>
      <c r="C1016" s="586" t="s">
        <v>590</v>
      </c>
      <c r="D1016" s="133" t="s">
        <v>659</v>
      </c>
      <c r="E1016" s="587" t="str">
        <f>" - "&amp;'Giá VL'!E18</f>
        <v xml:space="preserve"> - Đá 1x2</v>
      </c>
      <c r="F1016" s="585" t="str">
        <f>'Giá VL'!F18</f>
        <v>m3</v>
      </c>
      <c r="G1016" s="588">
        <f>PTVT!G500</f>
        <v>0.89277499999999999</v>
      </c>
      <c r="H1016" s="589">
        <f>'Giá VL'!V18</f>
        <v>330458.0547558713</v>
      </c>
      <c r="I1016" s="603">
        <f>'5.Tiên lượng'!V132</f>
        <v>1</v>
      </c>
      <c r="J1016" s="589">
        <f t="shared" si="66"/>
        <v>295024.68983467302</v>
      </c>
    </row>
    <row r="1017" spans="1:10">
      <c r="A1017" s="584"/>
      <c r="B1017" s="585"/>
      <c r="C1017" s="586" t="s">
        <v>590</v>
      </c>
      <c r="D1017" s="133" t="s">
        <v>617</v>
      </c>
      <c r="E1017" s="587" t="str">
        <f>" - "&amp;'Giá VL'!E33</f>
        <v xml:space="preserve"> - Nước</v>
      </c>
      <c r="F1017" s="585" t="str">
        <f>'Giá VL'!F33</f>
        <v>lít</v>
      </c>
      <c r="G1017" s="588">
        <f>PTVT!G501</f>
        <v>187.57499999999999</v>
      </c>
      <c r="H1017" s="589">
        <f>'Giá VL'!V33</f>
        <v>15</v>
      </c>
      <c r="I1017" s="603">
        <f>'5.Tiên lượng'!V132</f>
        <v>1</v>
      </c>
      <c r="J1017" s="589">
        <f t="shared" si="66"/>
        <v>2813.625</v>
      </c>
    </row>
    <row r="1018" spans="1:10">
      <c r="A1018" s="584"/>
      <c r="B1018" s="585"/>
      <c r="C1018" s="586" t="s">
        <v>590</v>
      </c>
      <c r="D1018" s="133" t="s">
        <v>620</v>
      </c>
      <c r="E1018" s="587" t="s">
        <v>621</v>
      </c>
      <c r="F1018" s="585" t="s">
        <v>37</v>
      </c>
      <c r="G1018" s="588">
        <f>PTVT!G502</f>
        <v>2</v>
      </c>
      <c r="H1018" s="589">
        <f>IF('5.Tiên lượng'!V132&lt;&gt;0,SUM(J1014:J1017)/100/'5.Tiên lượng'!V132,0)</f>
        <v>11137.752040739852</v>
      </c>
      <c r="I1018" s="603">
        <f>'5.Tiên lượng'!V132</f>
        <v>1</v>
      </c>
      <c r="J1018" s="589">
        <f t="shared" si="66"/>
        <v>22275.504081479703</v>
      </c>
    </row>
    <row r="1019" spans="1:10">
      <c r="A1019" s="126"/>
      <c r="B1019" s="127"/>
      <c r="C1019" s="128" t="s">
        <v>590</v>
      </c>
      <c r="D1019" s="128" t="s">
        <v>590</v>
      </c>
      <c r="E1019" s="583" t="s">
        <v>265</v>
      </c>
      <c r="F1019" s="127" t="s">
        <v>266</v>
      </c>
      <c r="G1019" s="130"/>
      <c r="H1019" s="131"/>
      <c r="I1019" s="143"/>
      <c r="J1019" s="131">
        <f>SUM(J1020:J1020)</f>
        <v>696600</v>
      </c>
    </row>
    <row r="1020" spans="1:10">
      <c r="A1020" s="584"/>
      <c r="B1020" s="585"/>
      <c r="C1020" s="586" t="s">
        <v>590</v>
      </c>
      <c r="D1020" s="133" t="s">
        <v>622</v>
      </c>
      <c r="E1020" s="587" t="str">
        <f>" - "&amp;'Giá NC'!E9</f>
        <v xml:space="preserve"> - Nhân công bậc 3,5/7 - Nhóm 2</v>
      </c>
      <c r="F1020" s="585" t="str">
        <f>'Giá NC'!F9</f>
        <v>công</v>
      </c>
      <c r="G1020" s="588">
        <f>PTVT!G504</f>
        <v>2.58</v>
      </c>
      <c r="H1020" s="589">
        <f>'Giá NC'!K9</f>
        <v>270000</v>
      </c>
      <c r="I1020" s="603">
        <f>'5.Tiên lượng'!W132</f>
        <v>1</v>
      </c>
      <c r="J1020" s="589">
        <f>PRODUCT(G1020,H1020,I1020)</f>
        <v>696600</v>
      </c>
    </row>
    <row r="1021" spans="1:10">
      <c r="A1021" s="126"/>
      <c r="B1021" s="127"/>
      <c r="C1021" s="128" t="s">
        <v>590</v>
      </c>
      <c r="D1021" s="128" t="s">
        <v>590</v>
      </c>
      <c r="E1021" s="583" t="s">
        <v>267</v>
      </c>
      <c r="F1021" s="127" t="s">
        <v>268</v>
      </c>
      <c r="G1021" s="130"/>
      <c r="H1021" s="131"/>
      <c r="I1021" s="143"/>
      <c r="J1021" s="131">
        <f>SUM(J1022:J1025)</f>
        <v>149696.7062941326</v>
      </c>
    </row>
    <row r="1022" spans="1:10">
      <c r="A1022" s="584"/>
      <c r="B1022" s="585"/>
      <c r="C1022" s="586" t="s">
        <v>590</v>
      </c>
      <c r="D1022" s="133" t="s">
        <v>623</v>
      </c>
      <c r="E1022" s="587" t="str">
        <f>" - "&amp;'Giá Máy'!E27</f>
        <v xml:space="preserve"> - Máy trộn bê tông 250 lít</v>
      </c>
      <c r="F1022" s="585" t="str">
        <f>'Giá Máy'!F27</f>
        <v>ca</v>
      </c>
      <c r="G1022" s="588">
        <f>PTVT!G506</f>
        <v>9.5000000000000001E-2</v>
      </c>
      <c r="H1022" s="589">
        <f>'Giá Máy'!O27</f>
        <v>326305.98864499998</v>
      </c>
      <c r="I1022" s="603">
        <f>'5.Tiên lượng'!X132</f>
        <v>1</v>
      </c>
      <c r="J1022" s="589">
        <f t="shared" ref="J1022:J1025" si="67">PRODUCT(G1022,H1022,I1022)</f>
        <v>30999.068921274997</v>
      </c>
    </row>
    <row r="1023" spans="1:10">
      <c r="A1023" s="584"/>
      <c r="B1023" s="585"/>
      <c r="C1023" s="586" t="s">
        <v>590</v>
      </c>
      <c r="D1023" s="133" t="s">
        <v>625</v>
      </c>
      <c r="E1023" s="587" t="str">
        <f>" - "&amp;'Giá Máy'!E12</f>
        <v xml:space="preserve"> - Máy đầm dùi 1,5kW</v>
      </c>
      <c r="F1023" s="585" t="str">
        <f>'Giá Máy'!F12</f>
        <v>ca</v>
      </c>
      <c r="G1023" s="588">
        <f>PTVT!G507</f>
        <v>8.8999999999999996E-2</v>
      </c>
      <c r="H1023" s="589">
        <f>'Giá Máy'!O12</f>
        <v>281279.30186500004</v>
      </c>
      <c r="I1023" s="603">
        <f>'5.Tiên lượng'!X132</f>
        <v>1</v>
      </c>
      <c r="J1023" s="589">
        <f t="shared" si="67"/>
        <v>25033.857865985003</v>
      </c>
    </row>
    <row r="1024" spans="1:10">
      <c r="A1024" s="584"/>
      <c r="B1024" s="585"/>
      <c r="C1024" s="586" t="s">
        <v>590</v>
      </c>
      <c r="D1024" s="133" t="s">
        <v>660</v>
      </c>
      <c r="E1024" s="587" t="str">
        <f>" - "&amp;'Giá Máy'!E7</f>
        <v xml:space="preserve"> - Cần cẩu bánh hơi 16T</v>
      </c>
      <c r="F1024" s="585" t="str">
        <f>'Giá Máy'!F7</f>
        <v>ca</v>
      </c>
      <c r="G1024" s="588">
        <f>PTVT!G508</f>
        <v>4.4999999999999998E-2</v>
      </c>
      <c r="H1024" s="589">
        <f>'Giá Máy'!O7</f>
        <v>2048480.7533333334</v>
      </c>
      <c r="I1024" s="603">
        <f>'5.Tiên lượng'!X132</f>
        <v>1</v>
      </c>
      <c r="J1024" s="589">
        <f t="shared" si="67"/>
        <v>92181.633900000001</v>
      </c>
    </row>
    <row r="1025" spans="1:10">
      <c r="A1025" s="584"/>
      <c r="B1025" s="585"/>
      <c r="C1025" s="586" t="s">
        <v>590</v>
      </c>
      <c r="D1025" s="133" t="s">
        <v>611</v>
      </c>
      <c r="E1025" s="587" t="s">
        <v>612</v>
      </c>
      <c r="F1025" s="585" t="s">
        <v>37</v>
      </c>
      <c r="G1025" s="588">
        <f>PTVT!G509</f>
        <v>1</v>
      </c>
      <c r="H1025" s="589">
        <f>IF('5.Tiên lượng'!X132&lt;&gt;0,SUM(J1022:J1024)/100/'5.Tiên lượng'!X132,0)</f>
        <v>1482.1456068726</v>
      </c>
      <c r="I1025" s="603">
        <f>'5.Tiên lượng'!X132</f>
        <v>1</v>
      </c>
      <c r="J1025" s="589">
        <f t="shared" si="67"/>
        <v>1482.1456068726</v>
      </c>
    </row>
    <row r="1026" spans="1:10">
      <c r="A1026" s="584"/>
      <c r="B1026" s="585"/>
      <c r="C1026" s="586" t="s">
        <v>590</v>
      </c>
      <c r="D1026" s="133" t="s">
        <v>590</v>
      </c>
      <c r="E1026" s="587" t="s">
        <v>269</v>
      </c>
      <c r="F1026" s="585" t="s">
        <v>270</v>
      </c>
      <c r="G1026" s="590"/>
      <c r="H1026" s="589"/>
      <c r="I1026" s="603"/>
      <c r="J1026" s="589">
        <f>J1013+J1019+J1021</f>
        <v>1982347.4144495975</v>
      </c>
    </row>
    <row r="1027" spans="1:10">
      <c r="A1027" s="584"/>
      <c r="B1027" s="585"/>
      <c r="C1027" s="586" t="s">
        <v>590</v>
      </c>
      <c r="D1027" s="133" t="s">
        <v>590</v>
      </c>
      <c r="E1027" s="587" t="s">
        <v>273</v>
      </c>
      <c r="F1027" s="585" t="s">
        <v>274</v>
      </c>
      <c r="G1027" s="591">
        <f>'Thông tin'!E67</f>
        <v>6.2E-2</v>
      </c>
      <c r="H1027" s="589"/>
      <c r="I1027" s="603"/>
      <c r="J1027" s="589">
        <f>(J1026)*G1027</f>
        <v>122905.53969587505</v>
      </c>
    </row>
    <row r="1028" spans="1:10">
      <c r="A1028" s="584"/>
      <c r="B1028" s="585"/>
      <c r="C1028" s="586" t="s">
        <v>590</v>
      </c>
      <c r="D1028" s="133" t="s">
        <v>590</v>
      </c>
      <c r="E1028" s="587" t="s">
        <v>276</v>
      </c>
      <c r="F1028" s="585" t="s">
        <v>277</v>
      </c>
      <c r="G1028" s="591">
        <f>'Thông tin'!E60</f>
        <v>2.2000000000000002E-2</v>
      </c>
      <c r="H1028" s="589"/>
      <c r="I1028" s="603"/>
      <c r="J1028" s="589">
        <f>(J1026)*G1028</f>
        <v>43611.643117891152</v>
      </c>
    </row>
    <row r="1029" spans="1:10" ht="27.6">
      <c r="A1029" s="584"/>
      <c r="B1029" s="585"/>
      <c r="C1029" s="586" t="s">
        <v>590</v>
      </c>
      <c r="D1029" s="133" t="s">
        <v>590</v>
      </c>
      <c r="E1029" s="587" t="s">
        <v>279</v>
      </c>
      <c r="F1029" s="585" t="s">
        <v>142</v>
      </c>
      <c r="G1029" s="591">
        <f>'Thông tin'!E65</f>
        <v>0.02</v>
      </c>
      <c r="H1029" s="589"/>
      <c r="I1029" s="603"/>
      <c r="J1029" s="589">
        <f>(J1026)*G1029</f>
        <v>39646.948288991953</v>
      </c>
    </row>
    <row r="1030" spans="1:10">
      <c r="A1030" s="584"/>
      <c r="B1030" s="585"/>
      <c r="C1030" s="586" t="s">
        <v>590</v>
      </c>
      <c r="D1030" s="133" t="s">
        <v>590</v>
      </c>
      <c r="E1030" s="587" t="s">
        <v>281</v>
      </c>
      <c r="F1030" s="585" t="s">
        <v>282</v>
      </c>
      <c r="G1030" s="590"/>
      <c r="H1030" s="589"/>
      <c r="I1030" s="603"/>
      <c r="J1030" s="589">
        <f>J1027+J1028+J1029</f>
        <v>206164.13110275817</v>
      </c>
    </row>
    <row r="1031" spans="1:10">
      <c r="A1031" s="584"/>
      <c r="B1031" s="585"/>
      <c r="C1031" s="586" t="s">
        <v>590</v>
      </c>
      <c r="D1031" s="133" t="s">
        <v>590</v>
      </c>
      <c r="E1031" s="587" t="s">
        <v>284</v>
      </c>
      <c r="F1031" s="585" t="s">
        <v>285</v>
      </c>
      <c r="G1031" s="591">
        <f>'Thông tin'!E63</f>
        <v>0.06</v>
      </c>
      <c r="H1031" s="589"/>
      <c r="I1031" s="603"/>
      <c r="J1031" s="589">
        <f>(J1026+J1030)*G1031</f>
        <v>131310.69273314133</v>
      </c>
    </row>
    <row r="1032" spans="1:10">
      <c r="A1032" s="584"/>
      <c r="B1032" s="585"/>
      <c r="C1032" s="586" t="s">
        <v>590</v>
      </c>
      <c r="D1032" s="133" t="s">
        <v>590</v>
      </c>
      <c r="E1032" s="592" t="s">
        <v>287</v>
      </c>
      <c r="F1032" s="593" t="s">
        <v>288</v>
      </c>
      <c r="G1032" s="590"/>
      <c r="H1032" s="589"/>
      <c r="I1032" s="603"/>
      <c r="J1032" s="604">
        <f>J1026+J1030+J1031</f>
        <v>2319822.2382854968</v>
      </c>
    </row>
    <row r="1033" spans="1:10">
      <c r="A1033" s="584"/>
      <c r="B1033" s="585"/>
      <c r="C1033" s="586" t="s">
        <v>590</v>
      </c>
      <c r="D1033" s="133" t="s">
        <v>590</v>
      </c>
      <c r="E1033" s="587" t="s">
        <v>290</v>
      </c>
      <c r="F1033" s="585" t="s">
        <v>291</v>
      </c>
      <c r="G1033" s="591">
        <f>'Thông tin'!E61</f>
        <v>0.1</v>
      </c>
      <c r="H1033" s="589"/>
      <c r="I1033" s="603"/>
      <c r="J1033" s="589">
        <f>(J1032)*G1033</f>
        <v>231982.2238285497</v>
      </c>
    </row>
    <row r="1034" spans="1:10">
      <c r="A1034" s="594"/>
      <c r="B1034" s="595"/>
      <c r="C1034" s="596" t="s">
        <v>590</v>
      </c>
      <c r="D1034" s="137" t="s">
        <v>590</v>
      </c>
      <c r="E1034" s="597" t="s">
        <v>293</v>
      </c>
      <c r="F1034" s="598" t="s">
        <v>19</v>
      </c>
      <c r="G1034" s="599"/>
      <c r="H1034" s="600"/>
      <c r="I1034" s="605"/>
      <c r="J1034" s="606">
        <f>J1032+J1033</f>
        <v>2551804.4621140463</v>
      </c>
    </row>
    <row r="1035" spans="1:10">
      <c r="A1035" s="578"/>
      <c r="B1035" s="579">
        <v>56</v>
      </c>
      <c r="C1035" s="578" t="str">
        <f>'5.Tiên lượng'!C133</f>
        <v>AF.61110</v>
      </c>
      <c r="D1035" s="578" t="str">
        <f>'5.Tiên lượng'!C133</f>
        <v>AF.61110</v>
      </c>
      <c r="E1035" s="580" t="str">
        <f>'5.Tiên lượng'!D133</f>
        <v>Lắp dựng cốt thép móng, ĐK ≤10mm</v>
      </c>
      <c r="F1035" s="579" t="str">
        <f>'5.Tiên lượng'!E133</f>
        <v>tấn</v>
      </c>
      <c r="G1035" s="581"/>
      <c r="H1035" s="582"/>
      <c r="I1035" s="602"/>
      <c r="J1035" s="582"/>
    </row>
    <row r="1036" spans="1:10">
      <c r="A1036" s="126"/>
      <c r="B1036" s="127"/>
      <c r="C1036" s="128" t="s">
        <v>590</v>
      </c>
      <c r="D1036" s="128" t="s">
        <v>590</v>
      </c>
      <c r="E1036" s="583" t="s">
        <v>262</v>
      </c>
      <c r="F1036" s="127" t="s">
        <v>263</v>
      </c>
      <c r="G1036" s="130"/>
      <c r="H1036" s="131"/>
      <c r="I1036" s="143"/>
      <c r="J1036" s="131">
        <f>SUM(J1037:J1038)</f>
        <v>17997032.851846885</v>
      </c>
    </row>
    <row r="1037" spans="1:10">
      <c r="A1037" s="584"/>
      <c r="B1037" s="585"/>
      <c r="C1037" s="586" t="s">
        <v>590</v>
      </c>
      <c r="D1037" s="133" t="s">
        <v>661</v>
      </c>
      <c r="E1037" s="587" t="str">
        <f>" - "&amp;'Giá VL'!E43</f>
        <v xml:space="preserve"> - Thép tròn Fi ≤10mm</v>
      </c>
      <c r="F1037" s="585" t="str">
        <f>'Giá VL'!F43</f>
        <v>kg</v>
      </c>
      <c r="G1037" s="588">
        <f>PTVT!G512</f>
        <v>1005</v>
      </c>
      <c r="H1037" s="589">
        <f>'Giá VL'!V43</f>
        <v>17587.694379947148</v>
      </c>
      <c r="I1037" s="603">
        <f>'5.Tiên lượng'!V133</f>
        <v>1</v>
      </c>
      <c r="J1037" s="589">
        <f t="shared" ref="J1037:J1038" si="68">PRODUCT(G1037,H1037,I1037)</f>
        <v>17675632.851846885</v>
      </c>
    </row>
    <row r="1038" spans="1:10">
      <c r="A1038" s="584"/>
      <c r="B1038" s="585"/>
      <c r="C1038" s="586" t="s">
        <v>590</v>
      </c>
      <c r="D1038" s="133" t="s">
        <v>662</v>
      </c>
      <c r="E1038" s="587" t="str">
        <f>" - "&amp;'Giá VL'!E23</f>
        <v xml:space="preserve"> - Dây thép</v>
      </c>
      <c r="F1038" s="585" t="str">
        <f>'Giá VL'!F23</f>
        <v>kg</v>
      </c>
      <c r="G1038" s="588">
        <f>PTVT!G513</f>
        <v>16.07</v>
      </c>
      <c r="H1038" s="589">
        <f>'Giá VL'!V23</f>
        <v>20000</v>
      </c>
      <c r="I1038" s="603">
        <f>'5.Tiên lượng'!V133</f>
        <v>1</v>
      </c>
      <c r="J1038" s="589">
        <f t="shared" si="68"/>
        <v>321400</v>
      </c>
    </row>
    <row r="1039" spans="1:10">
      <c r="A1039" s="126"/>
      <c r="B1039" s="127"/>
      <c r="C1039" s="128" t="s">
        <v>590</v>
      </c>
      <c r="D1039" s="128" t="s">
        <v>590</v>
      </c>
      <c r="E1039" s="583" t="s">
        <v>265</v>
      </c>
      <c r="F1039" s="127" t="s">
        <v>266</v>
      </c>
      <c r="G1039" s="130"/>
      <c r="H1039" s="131"/>
      <c r="I1039" s="143"/>
      <c r="J1039" s="131">
        <f>SUM(J1040:J1040)</f>
        <v>2902500</v>
      </c>
    </row>
    <row r="1040" spans="1:10">
      <c r="A1040" s="584"/>
      <c r="B1040" s="585"/>
      <c r="C1040" s="586" t="s">
        <v>590</v>
      </c>
      <c r="D1040" s="133" t="s">
        <v>622</v>
      </c>
      <c r="E1040" s="587" t="str">
        <f>" - "&amp;'Giá NC'!E9</f>
        <v xml:space="preserve"> - Nhân công bậc 3,5/7 - Nhóm 2</v>
      </c>
      <c r="F1040" s="585" t="str">
        <f>'Giá NC'!F9</f>
        <v>công</v>
      </c>
      <c r="G1040" s="588">
        <f>PTVT!G515</f>
        <v>10.75</v>
      </c>
      <c r="H1040" s="589">
        <f>'Giá NC'!K9</f>
        <v>270000</v>
      </c>
      <c r="I1040" s="603">
        <f>'5.Tiên lượng'!W133</f>
        <v>1</v>
      </c>
      <c r="J1040" s="589">
        <f>PRODUCT(G1040,H1040,I1040)</f>
        <v>2902500</v>
      </c>
    </row>
    <row r="1041" spans="1:10">
      <c r="A1041" s="126"/>
      <c r="B1041" s="127"/>
      <c r="C1041" s="128" t="s">
        <v>590</v>
      </c>
      <c r="D1041" s="128" t="s">
        <v>590</v>
      </c>
      <c r="E1041" s="583" t="s">
        <v>267</v>
      </c>
      <c r="F1041" s="127" t="s">
        <v>268</v>
      </c>
      <c r="G1041" s="130"/>
      <c r="H1041" s="131"/>
      <c r="I1041" s="143"/>
      <c r="J1041" s="131">
        <f>SUM(J1042:J1042)</f>
        <v>114513.84476866666</v>
      </c>
    </row>
    <row r="1042" spans="1:10">
      <c r="A1042" s="584"/>
      <c r="B1042" s="585"/>
      <c r="C1042" s="586" t="s">
        <v>590</v>
      </c>
      <c r="D1042" s="133" t="s">
        <v>633</v>
      </c>
      <c r="E1042" s="587" t="str">
        <f>" - "&amp;'Giá Máy'!E9</f>
        <v xml:space="preserve"> - Máy cắt uốn cốt thép 5kW</v>
      </c>
      <c r="F1042" s="585" t="str">
        <f>'Giá Máy'!F9</f>
        <v>ca</v>
      </c>
      <c r="G1042" s="588">
        <f>PTVT!G517</f>
        <v>0.4</v>
      </c>
      <c r="H1042" s="589">
        <f>'Giá Máy'!O9</f>
        <v>286284.61192166666</v>
      </c>
      <c r="I1042" s="603">
        <f>'5.Tiên lượng'!X133</f>
        <v>1</v>
      </c>
      <c r="J1042" s="589">
        <f>PRODUCT(G1042,H1042,I1042)</f>
        <v>114513.84476866666</v>
      </c>
    </row>
    <row r="1043" spans="1:10">
      <c r="A1043" s="584"/>
      <c r="B1043" s="585"/>
      <c r="C1043" s="586" t="s">
        <v>590</v>
      </c>
      <c r="D1043" s="133" t="s">
        <v>590</v>
      </c>
      <c r="E1043" s="587" t="s">
        <v>269</v>
      </c>
      <c r="F1043" s="585" t="s">
        <v>270</v>
      </c>
      <c r="G1043" s="590"/>
      <c r="H1043" s="589"/>
      <c r="I1043" s="603"/>
      <c r="J1043" s="589">
        <f>J1036+J1039+J1041</f>
        <v>21014046.696615551</v>
      </c>
    </row>
    <row r="1044" spans="1:10">
      <c r="A1044" s="584"/>
      <c r="B1044" s="585"/>
      <c r="C1044" s="586" t="s">
        <v>590</v>
      </c>
      <c r="D1044" s="133" t="s">
        <v>590</v>
      </c>
      <c r="E1044" s="587" t="s">
        <v>273</v>
      </c>
      <c r="F1044" s="585" t="s">
        <v>274</v>
      </c>
      <c r="G1044" s="591">
        <f>'Thông tin'!E67</f>
        <v>6.2E-2</v>
      </c>
      <c r="H1044" s="589"/>
      <c r="I1044" s="603"/>
      <c r="J1044" s="589">
        <f>(J1043)*G1044</f>
        <v>1302870.8951901642</v>
      </c>
    </row>
    <row r="1045" spans="1:10">
      <c r="A1045" s="584"/>
      <c r="B1045" s="585"/>
      <c r="C1045" s="586" t="s">
        <v>590</v>
      </c>
      <c r="D1045" s="133" t="s">
        <v>590</v>
      </c>
      <c r="E1045" s="587" t="s">
        <v>276</v>
      </c>
      <c r="F1045" s="585" t="s">
        <v>277</v>
      </c>
      <c r="G1045" s="591">
        <f>'Thông tin'!E60</f>
        <v>2.2000000000000002E-2</v>
      </c>
      <c r="H1045" s="589"/>
      <c r="I1045" s="603"/>
      <c r="J1045" s="589">
        <f>(J1043)*G1045</f>
        <v>462309.02732554218</v>
      </c>
    </row>
    <row r="1046" spans="1:10" ht="27.6">
      <c r="A1046" s="584"/>
      <c r="B1046" s="585"/>
      <c r="C1046" s="586" t="s">
        <v>590</v>
      </c>
      <c r="D1046" s="133" t="s">
        <v>590</v>
      </c>
      <c r="E1046" s="587" t="s">
        <v>279</v>
      </c>
      <c r="F1046" s="585" t="s">
        <v>142</v>
      </c>
      <c r="G1046" s="591">
        <f>'Thông tin'!E65</f>
        <v>0.02</v>
      </c>
      <c r="H1046" s="589"/>
      <c r="I1046" s="603"/>
      <c r="J1046" s="589">
        <f>(J1043)*G1046</f>
        <v>420280.93393231102</v>
      </c>
    </row>
    <row r="1047" spans="1:10">
      <c r="A1047" s="584"/>
      <c r="B1047" s="585"/>
      <c r="C1047" s="586" t="s">
        <v>590</v>
      </c>
      <c r="D1047" s="133" t="s">
        <v>590</v>
      </c>
      <c r="E1047" s="587" t="s">
        <v>281</v>
      </c>
      <c r="F1047" s="585" t="s">
        <v>282</v>
      </c>
      <c r="G1047" s="590"/>
      <c r="H1047" s="589"/>
      <c r="I1047" s="603"/>
      <c r="J1047" s="589">
        <f>J1044+J1045+J1046</f>
        <v>2185460.8564480175</v>
      </c>
    </row>
    <row r="1048" spans="1:10">
      <c r="A1048" s="584"/>
      <c r="B1048" s="585"/>
      <c r="C1048" s="586" t="s">
        <v>590</v>
      </c>
      <c r="D1048" s="133" t="s">
        <v>590</v>
      </c>
      <c r="E1048" s="587" t="s">
        <v>284</v>
      </c>
      <c r="F1048" s="585" t="s">
        <v>285</v>
      </c>
      <c r="G1048" s="591">
        <f>'Thông tin'!E63</f>
        <v>0.06</v>
      </c>
      <c r="H1048" s="589"/>
      <c r="I1048" s="603"/>
      <c r="J1048" s="589">
        <f>(J1043+J1047)*G1048</f>
        <v>1391970.453183814</v>
      </c>
    </row>
    <row r="1049" spans="1:10">
      <c r="A1049" s="584"/>
      <c r="B1049" s="585"/>
      <c r="C1049" s="586" t="s">
        <v>590</v>
      </c>
      <c r="D1049" s="133" t="s">
        <v>590</v>
      </c>
      <c r="E1049" s="592" t="s">
        <v>287</v>
      </c>
      <c r="F1049" s="593" t="s">
        <v>288</v>
      </c>
      <c r="G1049" s="590"/>
      <c r="H1049" s="589"/>
      <c r="I1049" s="603"/>
      <c r="J1049" s="604">
        <f>J1043+J1047+J1048</f>
        <v>24591478.006247383</v>
      </c>
    </row>
    <row r="1050" spans="1:10">
      <c r="A1050" s="584"/>
      <c r="B1050" s="585"/>
      <c r="C1050" s="586" t="s">
        <v>590</v>
      </c>
      <c r="D1050" s="133" t="s">
        <v>590</v>
      </c>
      <c r="E1050" s="587" t="s">
        <v>290</v>
      </c>
      <c r="F1050" s="585" t="s">
        <v>291</v>
      </c>
      <c r="G1050" s="591">
        <f>'Thông tin'!E61</f>
        <v>0.1</v>
      </c>
      <c r="H1050" s="589"/>
      <c r="I1050" s="603"/>
      <c r="J1050" s="589">
        <f>(J1049)*G1050</f>
        <v>2459147.8006247384</v>
      </c>
    </row>
    <row r="1051" spans="1:10">
      <c r="A1051" s="594"/>
      <c r="B1051" s="595"/>
      <c r="C1051" s="596" t="s">
        <v>590</v>
      </c>
      <c r="D1051" s="137" t="s">
        <v>590</v>
      </c>
      <c r="E1051" s="597" t="s">
        <v>293</v>
      </c>
      <c r="F1051" s="598" t="s">
        <v>19</v>
      </c>
      <c r="G1051" s="599"/>
      <c r="H1051" s="600"/>
      <c r="I1051" s="605"/>
      <c r="J1051" s="606">
        <f>J1049+J1050</f>
        <v>27050625.806872122</v>
      </c>
    </row>
    <row r="1052" spans="1:10">
      <c r="A1052" s="578"/>
      <c r="B1052" s="579">
        <v>57</v>
      </c>
      <c r="C1052" s="578" t="str">
        <f>'5.Tiên lượng'!C135</f>
        <v>AF.82511</v>
      </c>
      <c r="D1052" s="578" t="str">
        <f>'5.Tiên lượng'!C135</f>
        <v>AF.82511</v>
      </c>
      <c r="E1052" s="580" t="str">
        <f>'5.Tiên lượng'!D135</f>
        <v>Ván khuôn thép mũ  mố</v>
      </c>
      <c r="F1052" s="579" t="str">
        <f>'5.Tiên lượng'!E135</f>
        <v>100m2</v>
      </c>
      <c r="G1052" s="581"/>
      <c r="H1052" s="582"/>
      <c r="I1052" s="602"/>
      <c r="J1052" s="582"/>
    </row>
    <row r="1053" spans="1:10">
      <c r="A1053" s="126"/>
      <c r="B1053" s="127"/>
      <c r="C1053" s="128" t="s">
        <v>590</v>
      </c>
      <c r="D1053" s="128" t="s">
        <v>590</v>
      </c>
      <c r="E1053" s="583" t="s">
        <v>262</v>
      </c>
      <c r="F1053" s="127" t="s">
        <v>263</v>
      </c>
      <c r="G1053" s="130"/>
      <c r="H1053" s="131"/>
      <c r="I1053" s="143"/>
      <c r="J1053" s="131">
        <f>SUM(J1054:J1057)</f>
        <v>1623401.2408645179</v>
      </c>
    </row>
    <row r="1054" spans="1:10">
      <c r="A1054" s="584"/>
      <c r="B1054" s="585"/>
      <c r="C1054" s="586" t="s">
        <v>590</v>
      </c>
      <c r="D1054" s="133" t="s">
        <v>663</v>
      </c>
      <c r="E1054" s="587" t="str">
        <f>" - "&amp;'Giá VL'!E41</f>
        <v xml:space="preserve"> - Thép tấm</v>
      </c>
      <c r="F1054" s="585" t="str">
        <f>'Giá VL'!F41</f>
        <v>kg</v>
      </c>
      <c r="G1054" s="588">
        <f>PTVT!G520</f>
        <v>51.81</v>
      </c>
      <c r="H1054" s="589">
        <f>'Giá VL'!V41</f>
        <v>17587.694379947148</v>
      </c>
      <c r="I1054" s="603">
        <f>'5.Tiên lượng'!V135</f>
        <v>1</v>
      </c>
      <c r="J1054" s="589">
        <f t="shared" ref="J1054:J1057" si="69">PRODUCT(G1054,H1054,I1054)</f>
        <v>911218.44582506176</v>
      </c>
    </row>
    <row r="1055" spans="1:10">
      <c r="A1055" s="584"/>
      <c r="B1055" s="585"/>
      <c r="C1055" s="586" t="s">
        <v>590</v>
      </c>
      <c r="D1055" s="133" t="s">
        <v>664</v>
      </c>
      <c r="E1055" s="587" t="str">
        <f>" - "&amp;'Giá VL'!E39</f>
        <v xml:space="preserve"> - Thép hình</v>
      </c>
      <c r="F1055" s="585" t="str">
        <f>'Giá VL'!F39</f>
        <v>kg</v>
      </c>
      <c r="G1055" s="588">
        <f>PTVT!G521</f>
        <v>32.020000000000003</v>
      </c>
      <c r="H1055" s="589">
        <f>'Giá VL'!V39</f>
        <v>17587.694379947148</v>
      </c>
      <c r="I1055" s="603">
        <f>'5.Tiên lượng'!V135</f>
        <v>1</v>
      </c>
      <c r="J1055" s="589">
        <f t="shared" si="69"/>
        <v>563157.97404590773</v>
      </c>
    </row>
    <row r="1056" spans="1:10">
      <c r="A1056" s="584"/>
      <c r="B1056" s="585"/>
      <c r="C1056" s="586" t="s">
        <v>590</v>
      </c>
      <c r="D1056" s="133" t="s">
        <v>628</v>
      </c>
      <c r="E1056" s="587" t="str">
        <f>" - "&amp;'Giá VL'!E37</f>
        <v xml:space="preserve"> - Que hàn</v>
      </c>
      <c r="F1056" s="585" t="str">
        <f>'Giá VL'!F37</f>
        <v>kg</v>
      </c>
      <c r="G1056" s="588">
        <f>PTVT!G522</f>
        <v>3.26</v>
      </c>
      <c r="H1056" s="589">
        <f>'Giá VL'!V37</f>
        <v>22000</v>
      </c>
      <c r="I1056" s="603">
        <f>'5.Tiên lượng'!V135</f>
        <v>1</v>
      </c>
      <c r="J1056" s="589">
        <f t="shared" si="69"/>
        <v>71720</v>
      </c>
    </row>
    <row r="1057" spans="1:10">
      <c r="A1057" s="584"/>
      <c r="B1057" s="585"/>
      <c r="C1057" s="586" t="s">
        <v>590</v>
      </c>
      <c r="D1057" s="133" t="s">
        <v>620</v>
      </c>
      <c r="E1057" s="587" t="s">
        <v>621</v>
      </c>
      <c r="F1057" s="585" t="s">
        <v>37</v>
      </c>
      <c r="G1057" s="588">
        <f>PTVT!G523</f>
        <v>5</v>
      </c>
      <c r="H1057" s="589">
        <f>IF('5.Tiên lượng'!V135&lt;&gt;0,SUM(J1054:J1056)/100/'5.Tiên lượng'!V135,0)</f>
        <v>15460.964198709693</v>
      </c>
      <c r="I1057" s="603">
        <f>'5.Tiên lượng'!V135</f>
        <v>1</v>
      </c>
      <c r="J1057" s="589">
        <f t="shared" si="69"/>
        <v>77304.820993548463</v>
      </c>
    </row>
    <row r="1058" spans="1:10">
      <c r="A1058" s="126"/>
      <c r="B1058" s="127"/>
      <c r="C1058" s="128" t="s">
        <v>590</v>
      </c>
      <c r="D1058" s="128" t="s">
        <v>590</v>
      </c>
      <c r="E1058" s="583" t="s">
        <v>265</v>
      </c>
      <c r="F1058" s="127" t="s">
        <v>266</v>
      </c>
      <c r="G1058" s="130"/>
      <c r="H1058" s="131"/>
      <c r="I1058" s="143"/>
      <c r="J1058" s="131">
        <f>SUM(J1059:J1059)</f>
        <v>3590377</v>
      </c>
    </row>
    <row r="1059" spans="1:10">
      <c r="A1059" s="584"/>
      <c r="B1059" s="585"/>
      <c r="C1059" s="586" t="s">
        <v>590</v>
      </c>
      <c r="D1059" s="133" t="s">
        <v>629</v>
      </c>
      <c r="E1059" s="587" t="str">
        <f>" - "&amp;'Giá NC'!E10</f>
        <v xml:space="preserve"> - Nhân công bậc 4,0/7 - Nhóm 2</v>
      </c>
      <c r="F1059" s="585" t="str">
        <f>'Giá NC'!F10</f>
        <v>công</v>
      </c>
      <c r="G1059" s="588">
        <f>PTVT!G525</f>
        <v>12.25</v>
      </c>
      <c r="H1059" s="589">
        <f>'Giá NC'!K10</f>
        <v>293092</v>
      </c>
      <c r="I1059" s="603">
        <f>'5.Tiên lượng'!W135</f>
        <v>1</v>
      </c>
      <c r="J1059" s="589">
        <f>PRODUCT(G1059,H1059,I1059)</f>
        <v>3590377</v>
      </c>
    </row>
    <row r="1060" spans="1:10">
      <c r="A1060" s="126"/>
      <c r="B1060" s="127"/>
      <c r="C1060" s="128" t="s">
        <v>590</v>
      </c>
      <c r="D1060" s="128" t="s">
        <v>590</v>
      </c>
      <c r="E1060" s="583" t="s">
        <v>267</v>
      </c>
      <c r="F1060" s="127" t="s">
        <v>268</v>
      </c>
      <c r="G1060" s="130"/>
      <c r="H1060" s="131"/>
      <c r="I1060" s="143"/>
      <c r="J1060" s="131">
        <f>SUM(J1061:J1062)</f>
        <v>357131.12499350397</v>
      </c>
    </row>
    <row r="1061" spans="1:10">
      <c r="A1061" s="584"/>
      <c r="B1061" s="585"/>
      <c r="C1061" s="586" t="s">
        <v>590</v>
      </c>
      <c r="D1061" s="133" t="s">
        <v>630</v>
      </c>
      <c r="E1061" s="587" t="str">
        <f>" - "&amp;'Giá Máy'!E16</f>
        <v xml:space="preserve"> - Máy hàn điện 23kW</v>
      </c>
      <c r="F1061" s="585" t="str">
        <f>'Giá Máy'!F16</f>
        <v>ca</v>
      </c>
      <c r="G1061" s="588">
        <f>PTVT!G527</f>
        <v>0.82</v>
      </c>
      <c r="H1061" s="589">
        <f>'Giá Máy'!O16</f>
        <v>426986.04135999997</v>
      </c>
      <c r="I1061" s="603">
        <f>'5.Tiên lượng'!X135</f>
        <v>1</v>
      </c>
      <c r="J1061" s="589">
        <f t="shared" ref="J1061:J1062" si="70">PRODUCT(G1061,H1061,I1061)</f>
        <v>350128.55391519994</v>
      </c>
    </row>
    <row r="1062" spans="1:10">
      <c r="A1062" s="584"/>
      <c r="B1062" s="585"/>
      <c r="C1062" s="586" t="s">
        <v>590</v>
      </c>
      <c r="D1062" s="133" t="s">
        <v>611</v>
      </c>
      <c r="E1062" s="587" t="s">
        <v>612</v>
      </c>
      <c r="F1062" s="585" t="s">
        <v>37</v>
      </c>
      <c r="G1062" s="588">
        <f>PTVT!G528</f>
        <v>2</v>
      </c>
      <c r="H1062" s="589">
        <f>IF('5.Tiên lượng'!X135&lt;&gt;0,SUM(J1061:J1061)/100/'5.Tiên lượng'!X135,0)</f>
        <v>3501.2855391519993</v>
      </c>
      <c r="I1062" s="603">
        <f>'5.Tiên lượng'!X135</f>
        <v>1</v>
      </c>
      <c r="J1062" s="589">
        <f t="shared" si="70"/>
        <v>7002.5710783039985</v>
      </c>
    </row>
    <row r="1063" spans="1:10">
      <c r="A1063" s="584"/>
      <c r="B1063" s="585"/>
      <c r="C1063" s="586" t="s">
        <v>590</v>
      </c>
      <c r="D1063" s="133" t="s">
        <v>590</v>
      </c>
      <c r="E1063" s="587" t="s">
        <v>269</v>
      </c>
      <c r="F1063" s="585" t="s">
        <v>270</v>
      </c>
      <c r="G1063" s="590"/>
      <c r="H1063" s="589"/>
      <c r="I1063" s="603"/>
      <c r="J1063" s="589">
        <f>J1053+J1058+J1060</f>
        <v>5570909.3658580221</v>
      </c>
    </row>
    <row r="1064" spans="1:10">
      <c r="A1064" s="584"/>
      <c r="B1064" s="585"/>
      <c r="C1064" s="586" t="s">
        <v>590</v>
      </c>
      <c r="D1064" s="133" t="s">
        <v>590</v>
      </c>
      <c r="E1064" s="587" t="s">
        <v>273</v>
      </c>
      <c r="F1064" s="585" t="s">
        <v>274</v>
      </c>
      <c r="G1064" s="591">
        <f>'Thông tin'!E67</f>
        <v>6.2E-2</v>
      </c>
      <c r="H1064" s="589"/>
      <c r="I1064" s="603"/>
      <c r="J1064" s="589">
        <f>(J1063)*G1064</f>
        <v>345396.38068319735</v>
      </c>
    </row>
    <row r="1065" spans="1:10">
      <c r="A1065" s="584"/>
      <c r="B1065" s="585"/>
      <c r="C1065" s="586" t="s">
        <v>590</v>
      </c>
      <c r="D1065" s="133" t="s">
        <v>590</v>
      </c>
      <c r="E1065" s="587" t="s">
        <v>276</v>
      </c>
      <c r="F1065" s="585" t="s">
        <v>277</v>
      </c>
      <c r="G1065" s="591">
        <f>'Thông tin'!E60</f>
        <v>2.2000000000000002E-2</v>
      </c>
      <c r="H1065" s="589"/>
      <c r="I1065" s="603"/>
      <c r="J1065" s="589">
        <f>(J1063)*G1065</f>
        <v>122560.0060488765</v>
      </c>
    </row>
    <row r="1066" spans="1:10" ht="27.6">
      <c r="A1066" s="584"/>
      <c r="B1066" s="585"/>
      <c r="C1066" s="586" t="s">
        <v>590</v>
      </c>
      <c r="D1066" s="133" t="s">
        <v>590</v>
      </c>
      <c r="E1066" s="587" t="s">
        <v>279</v>
      </c>
      <c r="F1066" s="585" t="s">
        <v>142</v>
      </c>
      <c r="G1066" s="591">
        <f>'Thông tin'!E65</f>
        <v>0.02</v>
      </c>
      <c r="H1066" s="589"/>
      <c r="I1066" s="603"/>
      <c r="J1066" s="589">
        <f>(J1063)*G1066</f>
        <v>111418.18731716044</v>
      </c>
    </row>
    <row r="1067" spans="1:10">
      <c r="A1067" s="584"/>
      <c r="B1067" s="585"/>
      <c r="C1067" s="586" t="s">
        <v>590</v>
      </c>
      <c r="D1067" s="133" t="s">
        <v>590</v>
      </c>
      <c r="E1067" s="587" t="s">
        <v>281</v>
      </c>
      <c r="F1067" s="585" t="s">
        <v>282</v>
      </c>
      <c r="G1067" s="590"/>
      <c r="H1067" s="589"/>
      <c r="I1067" s="603"/>
      <c r="J1067" s="589">
        <f>J1064+J1065+J1066</f>
        <v>579374.57404923427</v>
      </c>
    </row>
    <row r="1068" spans="1:10">
      <c r="A1068" s="584"/>
      <c r="B1068" s="585"/>
      <c r="C1068" s="586" t="s">
        <v>590</v>
      </c>
      <c r="D1068" s="133" t="s">
        <v>590</v>
      </c>
      <c r="E1068" s="587" t="s">
        <v>284</v>
      </c>
      <c r="F1068" s="585" t="s">
        <v>285</v>
      </c>
      <c r="G1068" s="591">
        <f>'Thông tin'!E63</f>
        <v>0.06</v>
      </c>
      <c r="H1068" s="589"/>
      <c r="I1068" s="603"/>
      <c r="J1068" s="589">
        <f>(J1063+J1067)*G1068</f>
        <v>369017.03639443539</v>
      </c>
    </row>
    <row r="1069" spans="1:10">
      <c r="A1069" s="584"/>
      <c r="B1069" s="585"/>
      <c r="C1069" s="586" t="s">
        <v>590</v>
      </c>
      <c r="D1069" s="133" t="s">
        <v>590</v>
      </c>
      <c r="E1069" s="592" t="s">
        <v>287</v>
      </c>
      <c r="F1069" s="593" t="s">
        <v>288</v>
      </c>
      <c r="G1069" s="590"/>
      <c r="H1069" s="589"/>
      <c r="I1069" s="603"/>
      <c r="J1069" s="604">
        <f>J1063+J1067+J1068</f>
        <v>6519300.9763016915</v>
      </c>
    </row>
    <row r="1070" spans="1:10">
      <c r="A1070" s="584"/>
      <c r="B1070" s="585"/>
      <c r="C1070" s="586" t="s">
        <v>590</v>
      </c>
      <c r="D1070" s="133" t="s">
        <v>590</v>
      </c>
      <c r="E1070" s="587" t="s">
        <v>290</v>
      </c>
      <c r="F1070" s="585" t="s">
        <v>291</v>
      </c>
      <c r="G1070" s="591">
        <f>'Thông tin'!E61</f>
        <v>0.1</v>
      </c>
      <c r="H1070" s="589"/>
      <c r="I1070" s="603"/>
      <c r="J1070" s="589">
        <f>(J1069)*G1070</f>
        <v>651930.09763016924</v>
      </c>
    </row>
    <row r="1071" spans="1:10">
      <c r="A1071" s="594"/>
      <c r="B1071" s="595"/>
      <c r="C1071" s="596" t="s">
        <v>590</v>
      </c>
      <c r="D1071" s="137" t="s">
        <v>590</v>
      </c>
      <c r="E1071" s="597" t="s">
        <v>293</v>
      </c>
      <c r="F1071" s="598" t="s">
        <v>19</v>
      </c>
      <c r="G1071" s="599"/>
      <c r="H1071" s="600"/>
      <c r="I1071" s="605"/>
      <c r="J1071" s="606">
        <f>J1069+J1070</f>
        <v>7171231.0739318607</v>
      </c>
    </row>
    <row r="1072" spans="1:10" ht="55.2">
      <c r="A1072" s="578"/>
      <c r="B1072" s="579">
        <v>58</v>
      </c>
      <c r="C1072" s="578" t="str">
        <f>'5.Tiên lượng'!C138</f>
        <v>AG.11413</v>
      </c>
      <c r="D1072" s="578" t="str">
        <f>'5.Tiên lượng'!C138</f>
        <v>AG.11413</v>
      </c>
      <c r="E1072" s="580" t="str">
        <f>'5.Tiên lượng'!D138</f>
        <v>Bê tông tấm đan, mái hắt, lanh tô, bê tông M250, đá 1x2, PCB40 - Đổ bê tông đúc sẵn bằng thủ công (vữa bê tông sản xuất bằng máy trộn)</v>
      </c>
      <c r="F1072" s="579" t="str">
        <f>'5.Tiên lượng'!E138</f>
        <v>m3</v>
      </c>
      <c r="G1072" s="581"/>
      <c r="H1072" s="582"/>
      <c r="I1072" s="602"/>
      <c r="J1072" s="582"/>
    </row>
    <row r="1073" spans="1:10">
      <c r="A1073" s="126"/>
      <c r="B1073" s="127"/>
      <c r="C1073" s="128" t="s">
        <v>590</v>
      </c>
      <c r="D1073" s="128" t="s">
        <v>590</v>
      </c>
      <c r="E1073" s="583" t="s">
        <v>262</v>
      </c>
      <c r="F1073" s="127" t="s">
        <v>263</v>
      </c>
      <c r="G1073" s="130"/>
      <c r="H1073" s="131"/>
      <c r="I1073" s="143"/>
      <c r="J1073" s="131">
        <f>SUM(J1074:J1078)</f>
        <v>1171098.5194719234</v>
      </c>
    </row>
    <row r="1074" spans="1:10">
      <c r="A1074" s="584"/>
      <c r="B1074" s="585"/>
      <c r="C1074" s="586" t="s">
        <v>590</v>
      </c>
      <c r="D1074" s="133" t="s">
        <v>614</v>
      </c>
      <c r="E1074" s="587" t="str">
        <f>" - "&amp;'Giá VL'!E45</f>
        <v xml:space="preserve"> - Xi măng PCB40</v>
      </c>
      <c r="F1074" s="585" t="str">
        <f>'Giá VL'!F45</f>
        <v>kg</v>
      </c>
      <c r="G1074" s="588">
        <f>PTVT!G531</f>
        <v>305.51499999999999</v>
      </c>
      <c r="H1074" s="589">
        <f>'Giá VL'!V45</f>
        <v>1730</v>
      </c>
      <c r="I1074" s="603">
        <f>'5.Tiên lượng'!V138</f>
        <v>1</v>
      </c>
      <c r="J1074" s="589">
        <f t="shared" ref="J1074:J1078" si="71">PRODUCT(G1074,H1074,I1074)</f>
        <v>528540.94999999995</v>
      </c>
    </row>
    <row r="1075" spans="1:10">
      <c r="A1075" s="584"/>
      <c r="B1075" s="585"/>
      <c r="C1075" s="586" t="s">
        <v>590</v>
      </c>
      <c r="D1075" s="133" t="s">
        <v>615</v>
      </c>
      <c r="E1075" s="587" t="str">
        <f>" - "&amp;'Giá VL'!E17</f>
        <v xml:space="preserve"> - Cát vàng</v>
      </c>
      <c r="F1075" s="585" t="str">
        <f>'Giá VL'!F17</f>
        <v>m3</v>
      </c>
      <c r="G1075" s="588">
        <f>PTVT!G532</f>
        <v>0.52678499999999995</v>
      </c>
      <c r="H1075" s="589">
        <f>'Giá VL'!V17</f>
        <v>659026.49526849983</v>
      </c>
      <c r="I1075" s="603">
        <f>'5.Tiên lượng'!V138</f>
        <v>1</v>
      </c>
      <c r="J1075" s="589">
        <f t="shared" si="71"/>
        <v>347165.27231001662</v>
      </c>
    </row>
    <row r="1076" spans="1:10">
      <c r="A1076" s="584"/>
      <c r="B1076" s="585"/>
      <c r="C1076" s="586" t="s">
        <v>590</v>
      </c>
      <c r="D1076" s="133" t="s">
        <v>659</v>
      </c>
      <c r="E1076" s="587" t="str">
        <f>" - "&amp;'Giá VL'!E18</f>
        <v xml:space="preserve"> - Đá 1x2</v>
      </c>
      <c r="F1076" s="585" t="str">
        <f>'Giá VL'!F18</f>
        <v>m3</v>
      </c>
      <c r="G1076" s="588">
        <f>PTVT!G533</f>
        <v>0.86782499999999996</v>
      </c>
      <c r="H1076" s="589">
        <f>'Giá VL'!V18</f>
        <v>330458.0547558713</v>
      </c>
      <c r="I1076" s="603">
        <f>'5.Tiên lượng'!V138</f>
        <v>1</v>
      </c>
      <c r="J1076" s="589">
        <f t="shared" si="71"/>
        <v>286779.76136851398</v>
      </c>
    </row>
    <row r="1077" spans="1:10">
      <c r="A1077" s="584"/>
      <c r="B1077" s="585"/>
      <c r="C1077" s="586" t="s">
        <v>590</v>
      </c>
      <c r="D1077" s="133" t="s">
        <v>617</v>
      </c>
      <c r="E1077" s="587" t="str">
        <f>" - "&amp;'Giá VL'!E33</f>
        <v xml:space="preserve"> - Nước</v>
      </c>
      <c r="F1077" s="585" t="str">
        <f>'Giá VL'!F33</f>
        <v>lít</v>
      </c>
      <c r="G1077" s="588">
        <f>PTVT!G534</f>
        <v>185.745</v>
      </c>
      <c r="H1077" s="589">
        <f>'Giá VL'!V33</f>
        <v>15</v>
      </c>
      <c r="I1077" s="603">
        <f>'5.Tiên lượng'!V138</f>
        <v>1</v>
      </c>
      <c r="J1077" s="589">
        <f t="shared" si="71"/>
        <v>2786.1750000000002</v>
      </c>
    </row>
    <row r="1078" spans="1:10">
      <c r="A1078" s="584"/>
      <c r="B1078" s="585"/>
      <c r="C1078" s="586" t="s">
        <v>590</v>
      </c>
      <c r="D1078" s="133" t="s">
        <v>620</v>
      </c>
      <c r="E1078" s="587" t="s">
        <v>621</v>
      </c>
      <c r="F1078" s="585" t="s">
        <v>37</v>
      </c>
      <c r="G1078" s="588">
        <f>PTVT!G535</f>
        <v>0.5</v>
      </c>
      <c r="H1078" s="589">
        <f>IF('5.Tiên lượng'!V138&lt;&gt;0,SUM(J1074:J1077)/100/'5.Tiên lượng'!V138,0)</f>
        <v>11652.721586785306</v>
      </c>
      <c r="I1078" s="603">
        <f>'5.Tiên lượng'!V138</f>
        <v>1</v>
      </c>
      <c r="J1078" s="589">
        <f t="shared" si="71"/>
        <v>5826.3607933926532</v>
      </c>
    </row>
    <row r="1079" spans="1:10">
      <c r="A1079" s="126"/>
      <c r="B1079" s="127"/>
      <c r="C1079" s="128" t="s">
        <v>590</v>
      </c>
      <c r="D1079" s="128" t="s">
        <v>590</v>
      </c>
      <c r="E1079" s="583" t="s">
        <v>265</v>
      </c>
      <c r="F1079" s="127" t="s">
        <v>266</v>
      </c>
      <c r="G1079" s="130"/>
      <c r="H1079" s="131"/>
      <c r="I1079" s="143"/>
      <c r="J1079" s="131">
        <f>SUM(J1080:J1080)</f>
        <v>476532.44</v>
      </c>
    </row>
    <row r="1080" spans="1:10">
      <c r="A1080" s="584"/>
      <c r="B1080" s="585"/>
      <c r="C1080" s="586" t="s">
        <v>590</v>
      </c>
      <c r="D1080" s="133" t="s">
        <v>605</v>
      </c>
      <c r="E1080" s="587" t="str">
        <f>" - "&amp;'Giá NC'!E8</f>
        <v xml:space="preserve"> - Nhân công bậc 3,0/7 - Nhóm 2</v>
      </c>
      <c r="F1080" s="585" t="str">
        <f>'Giá NC'!F8</f>
        <v>công</v>
      </c>
      <c r="G1080" s="588">
        <f>PTVT!G537</f>
        <v>1.93</v>
      </c>
      <c r="H1080" s="589">
        <f>'Giá NC'!K8</f>
        <v>246908</v>
      </c>
      <c r="I1080" s="603">
        <f>'5.Tiên lượng'!W138</f>
        <v>1</v>
      </c>
      <c r="J1080" s="589">
        <f>PRODUCT(G1080,H1080,I1080)</f>
        <v>476532.44</v>
      </c>
    </row>
    <row r="1081" spans="1:10">
      <c r="A1081" s="126"/>
      <c r="B1081" s="127"/>
      <c r="C1081" s="128" t="s">
        <v>590</v>
      </c>
      <c r="D1081" s="128" t="s">
        <v>590</v>
      </c>
      <c r="E1081" s="583" t="s">
        <v>267</v>
      </c>
      <c r="F1081" s="127" t="s">
        <v>268</v>
      </c>
      <c r="G1081" s="130"/>
      <c r="H1081" s="131"/>
      <c r="I1081" s="143"/>
      <c r="J1081" s="131">
        <f>SUM(J1082:J1082)</f>
        <v>30999.068921274997</v>
      </c>
    </row>
    <row r="1082" spans="1:10">
      <c r="A1082" s="584"/>
      <c r="B1082" s="585"/>
      <c r="C1082" s="586" t="s">
        <v>590</v>
      </c>
      <c r="D1082" s="133" t="s">
        <v>623</v>
      </c>
      <c r="E1082" s="587" t="str">
        <f>" - "&amp;'Giá Máy'!E27</f>
        <v xml:space="preserve"> - Máy trộn bê tông 250 lít</v>
      </c>
      <c r="F1082" s="585" t="str">
        <f>'Giá Máy'!F27</f>
        <v>ca</v>
      </c>
      <c r="G1082" s="588">
        <f>PTVT!G539</f>
        <v>9.5000000000000001E-2</v>
      </c>
      <c r="H1082" s="589">
        <f>'Giá Máy'!O27</f>
        <v>326305.98864499998</v>
      </c>
      <c r="I1082" s="603">
        <f>'5.Tiên lượng'!X138</f>
        <v>1</v>
      </c>
      <c r="J1082" s="589">
        <f>PRODUCT(G1082,H1082,I1082)</f>
        <v>30999.068921274997</v>
      </c>
    </row>
    <row r="1083" spans="1:10">
      <c r="A1083" s="584"/>
      <c r="B1083" s="585"/>
      <c r="C1083" s="586" t="s">
        <v>590</v>
      </c>
      <c r="D1083" s="133" t="s">
        <v>590</v>
      </c>
      <c r="E1083" s="587" t="s">
        <v>269</v>
      </c>
      <c r="F1083" s="585" t="s">
        <v>270</v>
      </c>
      <c r="G1083" s="590"/>
      <c r="H1083" s="589"/>
      <c r="I1083" s="603"/>
      <c r="J1083" s="589">
        <f>J1073+J1079+J1081</f>
        <v>1678630.0283931983</v>
      </c>
    </row>
    <row r="1084" spans="1:10">
      <c r="A1084" s="584"/>
      <c r="B1084" s="585"/>
      <c r="C1084" s="586" t="s">
        <v>590</v>
      </c>
      <c r="D1084" s="133" t="s">
        <v>590</v>
      </c>
      <c r="E1084" s="587" t="s">
        <v>273</v>
      </c>
      <c r="F1084" s="585" t="s">
        <v>274</v>
      </c>
      <c r="G1084" s="591">
        <f>'Thông tin'!E67</f>
        <v>6.2E-2</v>
      </c>
      <c r="H1084" s="589"/>
      <c r="I1084" s="603"/>
      <c r="J1084" s="589">
        <f>(J1083)*G1084</f>
        <v>104075.06176037829</v>
      </c>
    </row>
    <row r="1085" spans="1:10">
      <c r="A1085" s="584"/>
      <c r="B1085" s="585"/>
      <c r="C1085" s="586" t="s">
        <v>590</v>
      </c>
      <c r="D1085" s="133" t="s">
        <v>590</v>
      </c>
      <c r="E1085" s="587" t="s">
        <v>276</v>
      </c>
      <c r="F1085" s="585" t="s">
        <v>277</v>
      </c>
      <c r="G1085" s="591">
        <f>'Thông tin'!E60</f>
        <v>2.2000000000000002E-2</v>
      </c>
      <c r="H1085" s="589"/>
      <c r="I1085" s="603"/>
      <c r="J1085" s="589">
        <f>(J1083)*G1085</f>
        <v>36929.860624650362</v>
      </c>
    </row>
    <row r="1086" spans="1:10" ht="27.6">
      <c r="A1086" s="584"/>
      <c r="B1086" s="585"/>
      <c r="C1086" s="586" t="s">
        <v>590</v>
      </c>
      <c r="D1086" s="133" t="s">
        <v>590</v>
      </c>
      <c r="E1086" s="587" t="s">
        <v>279</v>
      </c>
      <c r="F1086" s="585" t="s">
        <v>142</v>
      </c>
      <c r="G1086" s="591">
        <f>'Thông tin'!E65</f>
        <v>0.02</v>
      </c>
      <c r="H1086" s="589"/>
      <c r="I1086" s="603"/>
      <c r="J1086" s="589">
        <f>(J1083)*G1086</f>
        <v>33572.600567863963</v>
      </c>
    </row>
    <row r="1087" spans="1:10">
      <c r="A1087" s="584"/>
      <c r="B1087" s="585"/>
      <c r="C1087" s="586" t="s">
        <v>590</v>
      </c>
      <c r="D1087" s="133" t="s">
        <v>590</v>
      </c>
      <c r="E1087" s="587" t="s">
        <v>281</v>
      </c>
      <c r="F1087" s="585" t="s">
        <v>282</v>
      </c>
      <c r="G1087" s="590"/>
      <c r="H1087" s="589"/>
      <c r="I1087" s="603"/>
      <c r="J1087" s="589">
        <f>J1084+J1085+J1086</f>
        <v>174577.52295289261</v>
      </c>
    </row>
    <row r="1088" spans="1:10">
      <c r="A1088" s="584"/>
      <c r="B1088" s="585"/>
      <c r="C1088" s="586" t="s">
        <v>590</v>
      </c>
      <c r="D1088" s="133" t="s">
        <v>590</v>
      </c>
      <c r="E1088" s="587" t="s">
        <v>284</v>
      </c>
      <c r="F1088" s="585" t="s">
        <v>285</v>
      </c>
      <c r="G1088" s="591">
        <f>'Thông tin'!E63</f>
        <v>0.06</v>
      </c>
      <c r="H1088" s="589"/>
      <c r="I1088" s="603"/>
      <c r="J1088" s="589">
        <f>(J1083+J1087)*G1088</f>
        <v>111192.45308076545</v>
      </c>
    </row>
    <row r="1089" spans="1:10">
      <c r="A1089" s="584"/>
      <c r="B1089" s="585"/>
      <c r="C1089" s="586" t="s">
        <v>590</v>
      </c>
      <c r="D1089" s="133" t="s">
        <v>590</v>
      </c>
      <c r="E1089" s="592" t="s">
        <v>287</v>
      </c>
      <c r="F1089" s="593" t="s">
        <v>288</v>
      </c>
      <c r="G1089" s="590"/>
      <c r="H1089" s="589"/>
      <c r="I1089" s="603"/>
      <c r="J1089" s="604">
        <f>J1083+J1087+J1088</f>
        <v>1964400.0044268563</v>
      </c>
    </row>
    <row r="1090" spans="1:10">
      <c r="A1090" s="584"/>
      <c r="B1090" s="585"/>
      <c r="C1090" s="586" t="s">
        <v>590</v>
      </c>
      <c r="D1090" s="133" t="s">
        <v>590</v>
      </c>
      <c r="E1090" s="587" t="s">
        <v>290</v>
      </c>
      <c r="F1090" s="585" t="s">
        <v>291</v>
      </c>
      <c r="G1090" s="591">
        <f>'Thông tin'!E61</f>
        <v>0.1</v>
      </c>
      <c r="H1090" s="589"/>
      <c r="I1090" s="603"/>
      <c r="J1090" s="589">
        <f>(J1089)*G1090</f>
        <v>196440.00044268565</v>
      </c>
    </row>
    <row r="1091" spans="1:10">
      <c r="A1091" s="594"/>
      <c r="B1091" s="595"/>
      <c r="C1091" s="596" t="s">
        <v>590</v>
      </c>
      <c r="D1091" s="137" t="s">
        <v>590</v>
      </c>
      <c r="E1091" s="597" t="s">
        <v>293</v>
      </c>
      <c r="F1091" s="598" t="s">
        <v>19</v>
      </c>
      <c r="G1091" s="599"/>
      <c r="H1091" s="600"/>
      <c r="I1091" s="605"/>
      <c r="J1091" s="606">
        <f>J1089+J1090</f>
        <v>2160840.0048695421</v>
      </c>
    </row>
    <row r="1092" spans="1:10" ht="27.6">
      <c r="A1092" s="578"/>
      <c r="B1092" s="579">
        <v>59</v>
      </c>
      <c r="C1092" s="578" t="str">
        <f>'5.Tiên lượng'!C139</f>
        <v>AG.41610</v>
      </c>
      <c r="D1092" s="578" t="str">
        <f>'5.Tiên lượng'!C139</f>
        <v>AG.41610</v>
      </c>
      <c r="E1092" s="580" t="str">
        <f>'5.Tiên lượng'!D139</f>
        <v>Lắp đặt cấu kiện bê tông đúc sẵn trọng lượng từ 50kg đến 200kg bằng cần cẩu</v>
      </c>
      <c r="F1092" s="579" t="str">
        <f>'5.Tiên lượng'!E139</f>
        <v>1cấu kiện</v>
      </c>
      <c r="G1092" s="581"/>
      <c r="H1092" s="582"/>
      <c r="I1092" s="602"/>
      <c r="J1092" s="582"/>
    </row>
    <row r="1093" spans="1:10">
      <c r="A1093" s="126"/>
      <c r="B1093" s="127"/>
      <c r="C1093" s="128" t="s">
        <v>590</v>
      </c>
      <c r="D1093" s="128" t="s">
        <v>590</v>
      </c>
      <c r="E1093" s="583" t="s">
        <v>262</v>
      </c>
      <c r="F1093" s="127" t="s">
        <v>263</v>
      </c>
      <c r="G1093" s="130"/>
      <c r="H1093" s="131"/>
      <c r="I1093" s="143"/>
      <c r="J1093" s="131">
        <v>0</v>
      </c>
    </row>
    <row r="1094" spans="1:10">
      <c r="A1094" s="126"/>
      <c r="B1094" s="127"/>
      <c r="C1094" s="128" t="s">
        <v>590</v>
      </c>
      <c r="D1094" s="128" t="s">
        <v>590</v>
      </c>
      <c r="E1094" s="583" t="s">
        <v>265</v>
      </c>
      <c r="F1094" s="127" t="s">
        <v>266</v>
      </c>
      <c r="G1094" s="130"/>
      <c r="H1094" s="131"/>
      <c r="I1094" s="143"/>
      <c r="J1094" s="131">
        <f>SUM(J1095:J1095)</f>
        <v>7407.24</v>
      </c>
    </row>
    <row r="1095" spans="1:10">
      <c r="A1095" s="584"/>
      <c r="B1095" s="585"/>
      <c r="C1095" s="586" t="s">
        <v>590</v>
      </c>
      <c r="D1095" s="133" t="s">
        <v>605</v>
      </c>
      <c r="E1095" s="587" t="str">
        <f>" - "&amp;'Giá NC'!E8</f>
        <v xml:space="preserve"> - Nhân công bậc 3,0/7 - Nhóm 2</v>
      </c>
      <c r="F1095" s="585" t="str">
        <f>'Giá NC'!F8</f>
        <v>công</v>
      </c>
      <c r="G1095" s="588">
        <f>PTVT!G542</f>
        <v>0.03</v>
      </c>
      <c r="H1095" s="589">
        <f>'Giá NC'!K8</f>
        <v>246908</v>
      </c>
      <c r="I1095" s="603">
        <f>'5.Tiên lượng'!W139</f>
        <v>1</v>
      </c>
      <c r="J1095" s="589">
        <f>PRODUCT(G1095,H1095,I1095)</f>
        <v>7407.24</v>
      </c>
    </row>
    <row r="1096" spans="1:10">
      <c r="A1096" s="126"/>
      <c r="B1096" s="127"/>
      <c r="C1096" s="128" t="s">
        <v>590</v>
      </c>
      <c r="D1096" s="128" t="s">
        <v>590</v>
      </c>
      <c r="E1096" s="583" t="s">
        <v>267</v>
      </c>
      <c r="F1096" s="127" t="s">
        <v>268</v>
      </c>
      <c r="G1096" s="130"/>
      <c r="H1096" s="131"/>
      <c r="I1096" s="143"/>
      <c r="J1096" s="131">
        <f>SUM(J1097:J1097)</f>
        <v>24177.150499999996</v>
      </c>
    </row>
    <row r="1097" spans="1:10">
      <c r="A1097" s="584"/>
      <c r="B1097" s="585"/>
      <c r="C1097" s="586" t="s">
        <v>590</v>
      </c>
      <c r="D1097" s="133" t="s">
        <v>665</v>
      </c>
      <c r="E1097" s="587" t="str">
        <f>" - "&amp;'Giá Máy'!E6</f>
        <v xml:space="preserve"> - Cần cẩu bánh hơi 6T</v>
      </c>
      <c r="F1097" s="585" t="str">
        <f>'Giá Máy'!F6</f>
        <v>ca</v>
      </c>
      <c r="G1097" s="588">
        <f>PTVT!G544</f>
        <v>1.4999999999999999E-2</v>
      </c>
      <c r="H1097" s="589">
        <f>'Giá Máy'!O6</f>
        <v>1611810.0333333332</v>
      </c>
      <c r="I1097" s="603">
        <f>'5.Tiên lượng'!X139</f>
        <v>1</v>
      </c>
      <c r="J1097" s="589">
        <f>PRODUCT(G1097,H1097,I1097)</f>
        <v>24177.150499999996</v>
      </c>
    </row>
    <row r="1098" spans="1:10">
      <c r="A1098" s="584"/>
      <c r="B1098" s="585"/>
      <c r="C1098" s="586" t="s">
        <v>590</v>
      </c>
      <c r="D1098" s="133" t="s">
        <v>590</v>
      </c>
      <c r="E1098" s="587" t="s">
        <v>269</v>
      </c>
      <c r="F1098" s="585" t="s">
        <v>270</v>
      </c>
      <c r="G1098" s="590"/>
      <c r="H1098" s="589"/>
      <c r="I1098" s="603"/>
      <c r="J1098" s="589">
        <f>J1093+J1094+J1096</f>
        <v>31584.390499999994</v>
      </c>
    </row>
    <row r="1099" spans="1:10">
      <c r="A1099" s="584"/>
      <c r="B1099" s="585"/>
      <c r="C1099" s="586" t="s">
        <v>590</v>
      </c>
      <c r="D1099" s="133" t="s">
        <v>590</v>
      </c>
      <c r="E1099" s="587" t="s">
        <v>273</v>
      </c>
      <c r="F1099" s="585" t="s">
        <v>274</v>
      </c>
      <c r="G1099" s="591">
        <f>'Thông tin'!E67</f>
        <v>6.2E-2</v>
      </c>
      <c r="H1099" s="589"/>
      <c r="I1099" s="603"/>
      <c r="J1099" s="589">
        <f>(J1098)*G1099</f>
        <v>1958.2322109999996</v>
      </c>
    </row>
    <row r="1100" spans="1:10">
      <c r="A1100" s="584"/>
      <c r="B1100" s="585"/>
      <c r="C1100" s="586" t="s">
        <v>590</v>
      </c>
      <c r="D1100" s="133" t="s">
        <v>590</v>
      </c>
      <c r="E1100" s="587" t="s">
        <v>276</v>
      </c>
      <c r="F1100" s="585" t="s">
        <v>277</v>
      </c>
      <c r="G1100" s="591">
        <f>'Thông tin'!E60</f>
        <v>2.2000000000000002E-2</v>
      </c>
      <c r="H1100" s="589"/>
      <c r="I1100" s="603"/>
      <c r="J1100" s="589">
        <f>(J1098)*G1100</f>
        <v>694.85659099999998</v>
      </c>
    </row>
    <row r="1101" spans="1:10" ht="27.6">
      <c r="A1101" s="584"/>
      <c r="B1101" s="585"/>
      <c r="C1101" s="586" t="s">
        <v>590</v>
      </c>
      <c r="D1101" s="133" t="s">
        <v>590</v>
      </c>
      <c r="E1101" s="587" t="s">
        <v>279</v>
      </c>
      <c r="F1101" s="585" t="s">
        <v>142</v>
      </c>
      <c r="G1101" s="591">
        <f>'Thông tin'!E65</f>
        <v>0.02</v>
      </c>
      <c r="H1101" s="589"/>
      <c r="I1101" s="603"/>
      <c r="J1101" s="589">
        <f>(J1098)*G1101</f>
        <v>631.6878099999999</v>
      </c>
    </row>
    <row r="1102" spans="1:10">
      <c r="A1102" s="584"/>
      <c r="B1102" s="585"/>
      <c r="C1102" s="586" t="s">
        <v>590</v>
      </c>
      <c r="D1102" s="133" t="s">
        <v>590</v>
      </c>
      <c r="E1102" s="587" t="s">
        <v>281</v>
      </c>
      <c r="F1102" s="585" t="s">
        <v>282</v>
      </c>
      <c r="G1102" s="590"/>
      <c r="H1102" s="589"/>
      <c r="I1102" s="603"/>
      <c r="J1102" s="589">
        <f>J1099+J1100+J1101</f>
        <v>3284.7766119999992</v>
      </c>
    </row>
    <row r="1103" spans="1:10">
      <c r="A1103" s="584"/>
      <c r="B1103" s="585"/>
      <c r="C1103" s="586" t="s">
        <v>590</v>
      </c>
      <c r="D1103" s="133" t="s">
        <v>590</v>
      </c>
      <c r="E1103" s="587" t="s">
        <v>284</v>
      </c>
      <c r="F1103" s="585" t="s">
        <v>285</v>
      </c>
      <c r="G1103" s="591">
        <f>'Thông tin'!E63</f>
        <v>0.06</v>
      </c>
      <c r="H1103" s="589"/>
      <c r="I1103" s="603"/>
      <c r="J1103" s="589">
        <f>(J1098+J1102)*G1103</f>
        <v>2092.1500267199995</v>
      </c>
    </row>
    <row r="1104" spans="1:10">
      <c r="A1104" s="584"/>
      <c r="B1104" s="585"/>
      <c r="C1104" s="586" t="s">
        <v>590</v>
      </c>
      <c r="D1104" s="133" t="s">
        <v>590</v>
      </c>
      <c r="E1104" s="592" t="s">
        <v>287</v>
      </c>
      <c r="F1104" s="593" t="s">
        <v>288</v>
      </c>
      <c r="G1104" s="590"/>
      <c r="H1104" s="589"/>
      <c r="I1104" s="603"/>
      <c r="J1104" s="604">
        <f>J1098+J1102+J1103</f>
        <v>36961.317138719998</v>
      </c>
    </row>
    <row r="1105" spans="1:10">
      <c r="A1105" s="584"/>
      <c r="B1105" s="585"/>
      <c r="C1105" s="586" t="s">
        <v>590</v>
      </c>
      <c r="D1105" s="133" t="s">
        <v>590</v>
      </c>
      <c r="E1105" s="587" t="s">
        <v>290</v>
      </c>
      <c r="F1105" s="585" t="s">
        <v>291</v>
      </c>
      <c r="G1105" s="591">
        <f>'Thông tin'!E61</f>
        <v>0.1</v>
      </c>
      <c r="H1105" s="589"/>
      <c r="I1105" s="603"/>
      <c r="J1105" s="589">
        <f>(J1104)*G1105</f>
        <v>3696.1317138720001</v>
      </c>
    </row>
    <row r="1106" spans="1:10">
      <c r="A1106" s="594"/>
      <c r="B1106" s="595"/>
      <c r="C1106" s="596" t="s">
        <v>590</v>
      </c>
      <c r="D1106" s="137" t="s">
        <v>590</v>
      </c>
      <c r="E1106" s="597" t="s">
        <v>293</v>
      </c>
      <c r="F1106" s="598" t="s">
        <v>19</v>
      </c>
      <c r="G1106" s="599"/>
      <c r="H1106" s="600"/>
      <c r="I1106" s="605"/>
      <c r="J1106" s="606">
        <f>J1104+J1105</f>
        <v>40657.448852591995</v>
      </c>
    </row>
    <row r="1107" spans="1:10">
      <c r="A1107" s="578"/>
      <c r="B1107" s="579">
        <v>60</v>
      </c>
      <c r="C1107" s="578" t="str">
        <f>'5.Tiên lượng'!C141</f>
        <v>AG.13231</v>
      </c>
      <c r="D1107" s="578" t="str">
        <f>'5.Tiên lượng'!C141</f>
        <v>AG.13231</v>
      </c>
      <c r="E1107" s="580" t="str">
        <f>'5.Tiên lượng'!D141</f>
        <v>Cốt thép tấm đậy</v>
      </c>
      <c r="F1107" s="579" t="str">
        <f>'5.Tiên lượng'!E141</f>
        <v>tấn</v>
      </c>
      <c r="G1107" s="581"/>
      <c r="H1107" s="582"/>
      <c r="I1107" s="602"/>
      <c r="J1107" s="582"/>
    </row>
    <row r="1108" spans="1:10">
      <c r="A1108" s="126"/>
      <c r="B1108" s="127"/>
      <c r="C1108" s="128" t="s">
        <v>590</v>
      </c>
      <c r="D1108" s="128" t="s">
        <v>590</v>
      </c>
      <c r="E1108" s="583" t="s">
        <v>262</v>
      </c>
      <c r="F1108" s="127" t="s">
        <v>263</v>
      </c>
      <c r="G1108" s="130"/>
      <c r="H1108" s="131"/>
      <c r="I1108" s="143"/>
      <c r="J1108" s="131">
        <f>SUM(J1109:J1110)</f>
        <v>18260848.267546091</v>
      </c>
    </row>
    <row r="1109" spans="1:10">
      <c r="A1109" s="584"/>
      <c r="B1109" s="585"/>
      <c r="C1109" s="586" t="s">
        <v>590</v>
      </c>
      <c r="D1109" s="133" t="s">
        <v>666</v>
      </c>
      <c r="E1109" s="587" t="str">
        <f>" - "&amp;'Giá VL'!E42</f>
        <v xml:space="preserve"> - Thép tròn</v>
      </c>
      <c r="F1109" s="585" t="str">
        <f>'Giá VL'!F42</f>
        <v>kg</v>
      </c>
      <c r="G1109" s="588">
        <f>PTVT!G547</f>
        <v>1020</v>
      </c>
      <c r="H1109" s="589">
        <f>'Giá VL'!V42</f>
        <v>17587.694379947148</v>
      </c>
      <c r="I1109" s="603">
        <f>'5.Tiên lượng'!V141</f>
        <v>1</v>
      </c>
      <c r="J1109" s="589">
        <f t="shared" ref="J1109:J1110" si="72">PRODUCT(G1109,H1109,I1109)</f>
        <v>17939448.267546091</v>
      </c>
    </row>
    <row r="1110" spans="1:10">
      <c r="A1110" s="584"/>
      <c r="B1110" s="585"/>
      <c r="C1110" s="586" t="s">
        <v>590</v>
      </c>
      <c r="D1110" s="133" t="s">
        <v>662</v>
      </c>
      <c r="E1110" s="587" t="str">
        <f>" - "&amp;'Giá VL'!E23</f>
        <v xml:space="preserve"> - Dây thép</v>
      </c>
      <c r="F1110" s="585" t="str">
        <f>'Giá VL'!F23</f>
        <v>kg</v>
      </c>
      <c r="G1110" s="588">
        <f>PTVT!G548</f>
        <v>16.07</v>
      </c>
      <c r="H1110" s="589">
        <f>'Giá VL'!V23</f>
        <v>20000</v>
      </c>
      <c r="I1110" s="603">
        <f>'5.Tiên lượng'!V141</f>
        <v>1</v>
      </c>
      <c r="J1110" s="589">
        <f t="shared" si="72"/>
        <v>321400</v>
      </c>
    </row>
    <row r="1111" spans="1:10">
      <c r="A1111" s="126"/>
      <c r="B1111" s="127"/>
      <c r="C1111" s="128" t="s">
        <v>590</v>
      </c>
      <c r="D1111" s="128" t="s">
        <v>590</v>
      </c>
      <c r="E1111" s="583" t="s">
        <v>265</v>
      </c>
      <c r="F1111" s="127" t="s">
        <v>266</v>
      </c>
      <c r="G1111" s="130"/>
      <c r="H1111" s="131"/>
      <c r="I1111" s="143"/>
      <c r="J1111" s="131">
        <f>SUM(J1112:J1112)</f>
        <v>4387500</v>
      </c>
    </row>
    <row r="1112" spans="1:10">
      <c r="A1112" s="584"/>
      <c r="B1112" s="585"/>
      <c r="C1112" s="586" t="s">
        <v>590</v>
      </c>
      <c r="D1112" s="133" t="s">
        <v>622</v>
      </c>
      <c r="E1112" s="587" t="str">
        <f>" - "&amp;'Giá NC'!E9</f>
        <v xml:space="preserve"> - Nhân công bậc 3,5/7 - Nhóm 2</v>
      </c>
      <c r="F1112" s="585" t="str">
        <f>'Giá NC'!F9</f>
        <v>công</v>
      </c>
      <c r="G1112" s="588">
        <f>PTVT!G550</f>
        <v>16.25</v>
      </c>
      <c r="H1112" s="589">
        <f>'Giá NC'!K9</f>
        <v>270000</v>
      </c>
      <c r="I1112" s="603">
        <f>'5.Tiên lượng'!W141</f>
        <v>1</v>
      </c>
      <c r="J1112" s="589">
        <f>PRODUCT(G1112,H1112,I1112)</f>
        <v>4387500</v>
      </c>
    </row>
    <row r="1113" spans="1:10">
      <c r="A1113" s="126"/>
      <c r="B1113" s="127"/>
      <c r="C1113" s="128" t="s">
        <v>590</v>
      </c>
      <c r="D1113" s="128" t="s">
        <v>590</v>
      </c>
      <c r="E1113" s="583" t="s">
        <v>267</v>
      </c>
      <c r="F1113" s="127" t="s">
        <v>268</v>
      </c>
      <c r="G1113" s="130"/>
      <c r="H1113" s="131"/>
      <c r="I1113" s="143"/>
      <c r="J1113" s="131">
        <f>SUM(J1114:J1114)</f>
        <v>114513.84476866666</v>
      </c>
    </row>
    <row r="1114" spans="1:10">
      <c r="A1114" s="584"/>
      <c r="B1114" s="585"/>
      <c r="C1114" s="586" t="s">
        <v>590</v>
      </c>
      <c r="D1114" s="133" t="s">
        <v>633</v>
      </c>
      <c r="E1114" s="587" t="str">
        <f>" - "&amp;'Giá Máy'!E9</f>
        <v xml:space="preserve"> - Máy cắt uốn cốt thép 5kW</v>
      </c>
      <c r="F1114" s="585" t="str">
        <f>'Giá Máy'!F9</f>
        <v>ca</v>
      </c>
      <c r="G1114" s="588">
        <f>PTVT!G552</f>
        <v>0.4</v>
      </c>
      <c r="H1114" s="589">
        <f>'Giá Máy'!O9</f>
        <v>286284.61192166666</v>
      </c>
      <c r="I1114" s="603">
        <f>'5.Tiên lượng'!X141</f>
        <v>1</v>
      </c>
      <c r="J1114" s="589">
        <f>PRODUCT(G1114,H1114,I1114)</f>
        <v>114513.84476866666</v>
      </c>
    </row>
    <row r="1115" spans="1:10">
      <c r="A1115" s="584"/>
      <c r="B1115" s="585"/>
      <c r="C1115" s="586" t="s">
        <v>590</v>
      </c>
      <c r="D1115" s="133" t="s">
        <v>590</v>
      </c>
      <c r="E1115" s="587" t="s">
        <v>269</v>
      </c>
      <c r="F1115" s="585" t="s">
        <v>270</v>
      </c>
      <c r="G1115" s="590"/>
      <c r="H1115" s="589"/>
      <c r="I1115" s="603"/>
      <c r="J1115" s="589">
        <f>J1108+J1111+J1113</f>
        <v>22762862.112314757</v>
      </c>
    </row>
    <row r="1116" spans="1:10">
      <c r="A1116" s="584"/>
      <c r="B1116" s="585"/>
      <c r="C1116" s="586" t="s">
        <v>590</v>
      </c>
      <c r="D1116" s="133" t="s">
        <v>590</v>
      </c>
      <c r="E1116" s="587" t="s">
        <v>273</v>
      </c>
      <c r="F1116" s="585" t="s">
        <v>274</v>
      </c>
      <c r="G1116" s="591">
        <f>'Thông tin'!E67</f>
        <v>6.2E-2</v>
      </c>
      <c r="H1116" s="589"/>
      <c r="I1116" s="603"/>
      <c r="J1116" s="589">
        <f>(J1115)*G1116</f>
        <v>1411297.4509635149</v>
      </c>
    </row>
    <row r="1117" spans="1:10">
      <c r="A1117" s="584"/>
      <c r="B1117" s="585"/>
      <c r="C1117" s="586" t="s">
        <v>590</v>
      </c>
      <c r="D1117" s="133" t="s">
        <v>590</v>
      </c>
      <c r="E1117" s="587" t="s">
        <v>276</v>
      </c>
      <c r="F1117" s="585" t="s">
        <v>277</v>
      </c>
      <c r="G1117" s="591">
        <f>'Thông tin'!E60</f>
        <v>2.2000000000000002E-2</v>
      </c>
      <c r="H1117" s="589"/>
      <c r="I1117" s="603"/>
      <c r="J1117" s="589">
        <f>(J1115)*G1117</f>
        <v>500782.96647092473</v>
      </c>
    </row>
    <row r="1118" spans="1:10" ht="27.6">
      <c r="A1118" s="584"/>
      <c r="B1118" s="585"/>
      <c r="C1118" s="586" t="s">
        <v>590</v>
      </c>
      <c r="D1118" s="133" t="s">
        <v>590</v>
      </c>
      <c r="E1118" s="587" t="s">
        <v>279</v>
      </c>
      <c r="F1118" s="585" t="s">
        <v>142</v>
      </c>
      <c r="G1118" s="591">
        <f>'Thông tin'!E65</f>
        <v>0.02</v>
      </c>
      <c r="H1118" s="589"/>
      <c r="I1118" s="603"/>
      <c r="J1118" s="589">
        <f>(J1115)*G1118</f>
        <v>455257.24224629515</v>
      </c>
    </row>
    <row r="1119" spans="1:10">
      <c r="A1119" s="584"/>
      <c r="B1119" s="585"/>
      <c r="C1119" s="586" t="s">
        <v>590</v>
      </c>
      <c r="D1119" s="133" t="s">
        <v>590</v>
      </c>
      <c r="E1119" s="587" t="s">
        <v>281</v>
      </c>
      <c r="F1119" s="585" t="s">
        <v>282</v>
      </c>
      <c r="G1119" s="590"/>
      <c r="H1119" s="589"/>
      <c r="I1119" s="603"/>
      <c r="J1119" s="589">
        <f>J1116+J1117+J1118</f>
        <v>2367337.6596807349</v>
      </c>
    </row>
    <row r="1120" spans="1:10">
      <c r="A1120" s="584"/>
      <c r="B1120" s="585"/>
      <c r="C1120" s="586" t="s">
        <v>590</v>
      </c>
      <c r="D1120" s="133" t="s">
        <v>590</v>
      </c>
      <c r="E1120" s="587" t="s">
        <v>284</v>
      </c>
      <c r="F1120" s="585" t="s">
        <v>285</v>
      </c>
      <c r="G1120" s="591">
        <f>'Thông tin'!E63</f>
        <v>0.06</v>
      </c>
      <c r="H1120" s="589"/>
      <c r="I1120" s="603"/>
      <c r="J1120" s="589">
        <f>(J1115+J1119)*G1120</f>
        <v>1507811.9863197296</v>
      </c>
    </row>
    <row r="1121" spans="1:10">
      <c r="A1121" s="584"/>
      <c r="B1121" s="585"/>
      <c r="C1121" s="586" t="s">
        <v>590</v>
      </c>
      <c r="D1121" s="133" t="s">
        <v>590</v>
      </c>
      <c r="E1121" s="592" t="s">
        <v>287</v>
      </c>
      <c r="F1121" s="593" t="s">
        <v>288</v>
      </c>
      <c r="G1121" s="590"/>
      <c r="H1121" s="589"/>
      <c r="I1121" s="603"/>
      <c r="J1121" s="604">
        <f>J1115+J1119+J1120</f>
        <v>26638011.75831522</v>
      </c>
    </row>
    <row r="1122" spans="1:10">
      <c r="A1122" s="584"/>
      <c r="B1122" s="585"/>
      <c r="C1122" s="586" t="s">
        <v>590</v>
      </c>
      <c r="D1122" s="133" t="s">
        <v>590</v>
      </c>
      <c r="E1122" s="587" t="s">
        <v>290</v>
      </c>
      <c r="F1122" s="585" t="s">
        <v>291</v>
      </c>
      <c r="G1122" s="591">
        <f>'Thông tin'!E61</f>
        <v>0.1</v>
      </c>
      <c r="H1122" s="589"/>
      <c r="I1122" s="603"/>
      <c r="J1122" s="589">
        <f>(J1121)*G1122</f>
        <v>2663801.1758315223</v>
      </c>
    </row>
    <row r="1123" spans="1:10">
      <c r="A1123" s="594"/>
      <c r="B1123" s="595"/>
      <c r="C1123" s="596" t="s">
        <v>590</v>
      </c>
      <c r="D1123" s="137" t="s">
        <v>590</v>
      </c>
      <c r="E1123" s="597" t="s">
        <v>293</v>
      </c>
      <c r="F1123" s="598" t="s">
        <v>19</v>
      </c>
      <c r="G1123" s="599"/>
      <c r="H1123" s="600"/>
      <c r="I1123" s="605"/>
      <c r="J1123" s="606">
        <f>J1121+J1122</f>
        <v>29301812.934146743</v>
      </c>
    </row>
    <row r="1124" spans="1:10">
      <c r="A1124" s="578"/>
      <c r="B1124" s="579">
        <v>61</v>
      </c>
      <c r="C1124" s="578" t="str">
        <f>'5.Tiên lượng'!C143</f>
        <v>AG.32511</v>
      </c>
      <c r="D1124" s="578" t="str">
        <f>'5.Tiên lượng'!C143</f>
        <v>AG.32511</v>
      </c>
      <c r="E1124" s="580" t="str">
        <f>'5.Tiên lượng'!D143</f>
        <v>Ván khuôn thép tấm đậy</v>
      </c>
      <c r="F1124" s="579" t="str">
        <f>'5.Tiên lượng'!E143</f>
        <v>100m2</v>
      </c>
      <c r="G1124" s="581"/>
      <c r="H1124" s="582"/>
      <c r="I1124" s="602"/>
      <c r="J1124" s="582"/>
    </row>
    <row r="1125" spans="1:10">
      <c r="A1125" s="126"/>
      <c r="B1125" s="127"/>
      <c r="C1125" s="128" t="s">
        <v>590</v>
      </c>
      <c r="D1125" s="128" t="s">
        <v>590</v>
      </c>
      <c r="E1125" s="583" t="s">
        <v>262</v>
      </c>
      <c r="F1125" s="127" t="s">
        <v>263</v>
      </c>
      <c r="G1125" s="130"/>
      <c r="H1125" s="131"/>
      <c r="I1125" s="143"/>
      <c r="J1125" s="131">
        <f>SUM(J1126:J1129)</f>
        <v>705646.47372225288</v>
      </c>
    </row>
    <row r="1126" spans="1:10">
      <c r="A1126" s="584"/>
      <c r="B1126" s="585"/>
      <c r="C1126" s="586" t="s">
        <v>590</v>
      </c>
      <c r="D1126" s="133" t="s">
        <v>663</v>
      </c>
      <c r="E1126" s="587" t="str">
        <f>" - "&amp;'Giá VL'!E41</f>
        <v xml:space="preserve"> - Thép tấm</v>
      </c>
      <c r="F1126" s="585" t="str">
        <f>'Giá VL'!F41</f>
        <v>kg</v>
      </c>
      <c r="G1126" s="588">
        <f>PTVT!G555</f>
        <v>23.03</v>
      </c>
      <c r="H1126" s="589">
        <f>'Giá VL'!V41</f>
        <v>17587.694379947148</v>
      </c>
      <c r="I1126" s="603">
        <f>'5.Tiên lượng'!V143</f>
        <v>1</v>
      </c>
      <c r="J1126" s="589">
        <f t="shared" ref="J1126:J1129" si="73">PRODUCT(G1126,H1126,I1126)</f>
        <v>405044.60157018283</v>
      </c>
    </row>
    <row r="1127" spans="1:10">
      <c r="A1127" s="584"/>
      <c r="B1127" s="585"/>
      <c r="C1127" s="586" t="s">
        <v>590</v>
      </c>
      <c r="D1127" s="133" t="s">
        <v>664</v>
      </c>
      <c r="E1127" s="587" t="str">
        <f>" - "&amp;'Giá VL'!E39</f>
        <v xml:space="preserve"> - Thép hình</v>
      </c>
      <c r="F1127" s="585" t="str">
        <f>'Giá VL'!F39</f>
        <v>kg</v>
      </c>
      <c r="G1127" s="588">
        <f>PTVT!G556</f>
        <v>13.68</v>
      </c>
      <c r="H1127" s="589">
        <f>'Giá VL'!V39</f>
        <v>17587.694379947148</v>
      </c>
      <c r="I1127" s="603">
        <f>'5.Tiên lượng'!V143</f>
        <v>1</v>
      </c>
      <c r="J1127" s="589">
        <f t="shared" si="73"/>
        <v>240599.65911767699</v>
      </c>
    </row>
    <row r="1128" spans="1:10">
      <c r="A1128" s="584"/>
      <c r="B1128" s="585"/>
      <c r="C1128" s="586" t="s">
        <v>590</v>
      </c>
      <c r="D1128" s="133" t="s">
        <v>628</v>
      </c>
      <c r="E1128" s="587" t="str">
        <f>" - "&amp;'Giá VL'!E37</f>
        <v xml:space="preserve"> - Que hàn</v>
      </c>
      <c r="F1128" s="585" t="str">
        <f>'Giá VL'!F37</f>
        <v>kg</v>
      </c>
      <c r="G1128" s="588">
        <f>PTVT!G557</f>
        <v>1.2</v>
      </c>
      <c r="H1128" s="589">
        <f>'Giá VL'!V37</f>
        <v>22000</v>
      </c>
      <c r="I1128" s="603">
        <f>'5.Tiên lượng'!V143</f>
        <v>1</v>
      </c>
      <c r="J1128" s="589">
        <f t="shared" si="73"/>
        <v>26400</v>
      </c>
    </row>
    <row r="1129" spans="1:10">
      <c r="A1129" s="584"/>
      <c r="B1129" s="585"/>
      <c r="C1129" s="586" t="s">
        <v>590</v>
      </c>
      <c r="D1129" s="133" t="s">
        <v>620</v>
      </c>
      <c r="E1129" s="587" t="s">
        <v>621</v>
      </c>
      <c r="F1129" s="585" t="s">
        <v>37</v>
      </c>
      <c r="G1129" s="588">
        <f>PTVT!G558</f>
        <v>5</v>
      </c>
      <c r="H1129" s="589">
        <f>IF('5.Tiên lượng'!V143&lt;&gt;0,SUM(J1126:J1128)/100/'5.Tiên lượng'!V143,0)</f>
        <v>6720.4426068785988</v>
      </c>
      <c r="I1129" s="603">
        <f>'5.Tiên lượng'!V143</f>
        <v>1</v>
      </c>
      <c r="J1129" s="589">
        <f t="shared" si="73"/>
        <v>33602.213034392997</v>
      </c>
    </row>
    <row r="1130" spans="1:10">
      <c r="A1130" s="126"/>
      <c r="B1130" s="127"/>
      <c r="C1130" s="128" t="s">
        <v>590</v>
      </c>
      <c r="D1130" s="128" t="s">
        <v>590</v>
      </c>
      <c r="E1130" s="583" t="s">
        <v>265</v>
      </c>
      <c r="F1130" s="127" t="s">
        <v>266</v>
      </c>
      <c r="G1130" s="130"/>
      <c r="H1130" s="131"/>
      <c r="I1130" s="143"/>
      <c r="J1130" s="131">
        <f>SUM(J1131:J1131)</f>
        <v>6758701.5199999996</v>
      </c>
    </row>
    <row r="1131" spans="1:10">
      <c r="A1131" s="584"/>
      <c r="B1131" s="585"/>
      <c r="C1131" s="586" t="s">
        <v>590</v>
      </c>
      <c r="D1131" s="133" t="s">
        <v>629</v>
      </c>
      <c r="E1131" s="587" t="str">
        <f>" - "&amp;'Giá NC'!E10</f>
        <v xml:space="preserve"> - Nhân công bậc 4,0/7 - Nhóm 2</v>
      </c>
      <c r="F1131" s="585" t="str">
        <f>'Giá NC'!F10</f>
        <v>công</v>
      </c>
      <c r="G1131" s="588">
        <f>PTVT!G560</f>
        <v>23.06</v>
      </c>
      <c r="H1131" s="589">
        <f>'Giá NC'!K10</f>
        <v>293092</v>
      </c>
      <c r="I1131" s="603">
        <f>'5.Tiên lượng'!W143</f>
        <v>1</v>
      </c>
      <c r="J1131" s="589">
        <f>PRODUCT(G1131,H1131,I1131)</f>
        <v>6758701.5199999996</v>
      </c>
    </row>
    <row r="1132" spans="1:10">
      <c r="A1132" s="126"/>
      <c r="B1132" s="127"/>
      <c r="C1132" s="128" t="s">
        <v>590</v>
      </c>
      <c r="D1132" s="128" t="s">
        <v>590</v>
      </c>
      <c r="E1132" s="583" t="s">
        <v>267</v>
      </c>
      <c r="F1132" s="127" t="s">
        <v>268</v>
      </c>
      <c r="G1132" s="130"/>
      <c r="H1132" s="131"/>
      <c r="I1132" s="143"/>
      <c r="J1132" s="131">
        <f>SUM(J1133:J1134)</f>
        <v>147950.66333124001</v>
      </c>
    </row>
    <row r="1133" spans="1:10">
      <c r="A1133" s="584"/>
      <c r="B1133" s="585"/>
      <c r="C1133" s="586" t="s">
        <v>590</v>
      </c>
      <c r="D1133" s="133" t="s">
        <v>630</v>
      </c>
      <c r="E1133" s="587" t="str">
        <f>" - "&amp;'Giá Máy'!E16</f>
        <v xml:space="preserve"> - Máy hàn điện 23kW</v>
      </c>
      <c r="F1133" s="585" t="str">
        <f>'Giá Máy'!F16</f>
        <v>ca</v>
      </c>
      <c r="G1133" s="588">
        <f>PTVT!G562</f>
        <v>0.33</v>
      </c>
      <c r="H1133" s="589">
        <f>'Giá Máy'!O16</f>
        <v>426986.04135999997</v>
      </c>
      <c r="I1133" s="603">
        <f>'5.Tiên lượng'!X143</f>
        <v>1</v>
      </c>
      <c r="J1133" s="589">
        <f t="shared" ref="J1133:J1134" si="74">PRODUCT(G1133,H1133,I1133)</f>
        <v>140905.3936488</v>
      </c>
    </row>
    <row r="1134" spans="1:10">
      <c r="A1134" s="584"/>
      <c r="B1134" s="585"/>
      <c r="C1134" s="586" t="s">
        <v>590</v>
      </c>
      <c r="D1134" s="133" t="s">
        <v>611</v>
      </c>
      <c r="E1134" s="587" t="s">
        <v>612</v>
      </c>
      <c r="F1134" s="585" t="s">
        <v>37</v>
      </c>
      <c r="G1134" s="588">
        <f>PTVT!G563</f>
        <v>5</v>
      </c>
      <c r="H1134" s="589">
        <f>IF('5.Tiên lượng'!X143&lt;&gt;0,SUM(J1133:J1133)/100/'5.Tiên lượng'!X143,0)</f>
        <v>1409.0539364880001</v>
      </c>
      <c r="I1134" s="603">
        <f>'5.Tiên lượng'!X143</f>
        <v>1</v>
      </c>
      <c r="J1134" s="589">
        <f t="shared" si="74"/>
        <v>7045.2696824400009</v>
      </c>
    </row>
    <row r="1135" spans="1:10">
      <c r="A1135" s="584"/>
      <c r="B1135" s="585"/>
      <c r="C1135" s="586" t="s">
        <v>590</v>
      </c>
      <c r="D1135" s="133" t="s">
        <v>590</v>
      </c>
      <c r="E1135" s="587" t="s">
        <v>269</v>
      </c>
      <c r="F1135" s="585" t="s">
        <v>270</v>
      </c>
      <c r="G1135" s="590"/>
      <c r="H1135" s="589"/>
      <c r="I1135" s="603"/>
      <c r="J1135" s="589">
        <f>J1125+J1130+J1132</f>
        <v>7612298.657053493</v>
      </c>
    </row>
    <row r="1136" spans="1:10">
      <c r="A1136" s="584"/>
      <c r="B1136" s="585"/>
      <c r="C1136" s="586" t="s">
        <v>590</v>
      </c>
      <c r="D1136" s="133" t="s">
        <v>590</v>
      </c>
      <c r="E1136" s="587" t="s">
        <v>273</v>
      </c>
      <c r="F1136" s="585" t="s">
        <v>274</v>
      </c>
      <c r="G1136" s="591">
        <f>'Thông tin'!E67</f>
        <v>6.2E-2</v>
      </c>
      <c r="H1136" s="589"/>
      <c r="I1136" s="603"/>
      <c r="J1136" s="589">
        <f>(J1135)*G1136</f>
        <v>471962.51673731656</v>
      </c>
    </row>
    <row r="1137" spans="1:10">
      <c r="A1137" s="584"/>
      <c r="B1137" s="585"/>
      <c r="C1137" s="586" t="s">
        <v>590</v>
      </c>
      <c r="D1137" s="133" t="s">
        <v>590</v>
      </c>
      <c r="E1137" s="587" t="s">
        <v>276</v>
      </c>
      <c r="F1137" s="585" t="s">
        <v>277</v>
      </c>
      <c r="G1137" s="591">
        <f>'Thông tin'!E60</f>
        <v>2.2000000000000002E-2</v>
      </c>
      <c r="H1137" s="589"/>
      <c r="I1137" s="603"/>
      <c r="J1137" s="589">
        <f>(J1135)*G1137</f>
        <v>167470.57045517687</v>
      </c>
    </row>
    <row r="1138" spans="1:10" ht="27.6">
      <c r="A1138" s="584"/>
      <c r="B1138" s="585"/>
      <c r="C1138" s="586" t="s">
        <v>590</v>
      </c>
      <c r="D1138" s="133" t="s">
        <v>590</v>
      </c>
      <c r="E1138" s="587" t="s">
        <v>279</v>
      </c>
      <c r="F1138" s="585" t="s">
        <v>142</v>
      </c>
      <c r="G1138" s="591">
        <f>'Thông tin'!E65</f>
        <v>0.02</v>
      </c>
      <c r="H1138" s="589"/>
      <c r="I1138" s="603"/>
      <c r="J1138" s="589">
        <f>(J1135)*G1138</f>
        <v>152245.97314106987</v>
      </c>
    </row>
    <row r="1139" spans="1:10">
      <c r="A1139" s="584"/>
      <c r="B1139" s="585"/>
      <c r="C1139" s="586" t="s">
        <v>590</v>
      </c>
      <c r="D1139" s="133" t="s">
        <v>590</v>
      </c>
      <c r="E1139" s="587" t="s">
        <v>281</v>
      </c>
      <c r="F1139" s="585" t="s">
        <v>282</v>
      </c>
      <c r="G1139" s="590"/>
      <c r="H1139" s="589"/>
      <c r="I1139" s="603"/>
      <c r="J1139" s="589">
        <f>J1136+J1137+J1138</f>
        <v>791679.06033356336</v>
      </c>
    </row>
    <row r="1140" spans="1:10">
      <c r="A1140" s="584"/>
      <c r="B1140" s="585"/>
      <c r="C1140" s="586" t="s">
        <v>590</v>
      </c>
      <c r="D1140" s="133" t="s">
        <v>590</v>
      </c>
      <c r="E1140" s="587" t="s">
        <v>284</v>
      </c>
      <c r="F1140" s="585" t="s">
        <v>285</v>
      </c>
      <c r="G1140" s="591">
        <f>'Thông tin'!E63</f>
        <v>0.06</v>
      </c>
      <c r="H1140" s="589"/>
      <c r="I1140" s="603"/>
      <c r="J1140" s="589">
        <f>(J1135+J1139)*G1140</f>
        <v>504238.66304322332</v>
      </c>
    </row>
    <row r="1141" spans="1:10">
      <c r="A1141" s="584"/>
      <c r="B1141" s="585"/>
      <c r="C1141" s="586" t="s">
        <v>590</v>
      </c>
      <c r="D1141" s="133" t="s">
        <v>590</v>
      </c>
      <c r="E1141" s="592" t="s">
        <v>287</v>
      </c>
      <c r="F1141" s="593" t="s">
        <v>288</v>
      </c>
      <c r="G1141" s="590"/>
      <c r="H1141" s="589"/>
      <c r="I1141" s="603"/>
      <c r="J1141" s="604">
        <f>J1135+J1139+J1140</f>
        <v>8908216.3804302793</v>
      </c>
    </row>
    <row r="1142" spans="1:10">
      <c r="A1142" s="584"/>
      <c r="B1142" s="585"/>
      <c r="C1142" s="586" t="s">
        <v>590</v>
      </c>
      <c r="D1142" s="133" t="s">
        <v>590</v>
      </c>
      <c r="E1142" s="587" t="s">
        <v>290</v>
      </c>
      <c r="F1142" s="585" t="s">
        <v>291</v>
      </c>
      <c r="G1142" s="591">
        <f>'Thông tin'!E61</f>
        <v>0.1</v>
      </c>
      <c r="H1142" s="589"/>
      <c r="I1142" s="603"/>
      <c r="J1142" s="589">
        <f>(J1141)*G1142</f>
        <v>890821.63804302795</v>
      </c>
    </row>
    <row r="1143" spans="1:10">
      <c r="A1143" s="594"/>
      <c r="B1143" s="595"/>
      <c r="C1143" s="596" t="s">
        <v>590</v>
      </c>
      <c r="D1143" s="137" t="s">
        <v>590</v>
      </c>
      <c r="E1143" s="597" t="s">
        <v>293</v>
      </c>
      <c r="F1143" s="598" t="s">
        <v>19</v>
      </c>
      <c r="G1143" s="599"/>
      <c r="H1143" s="600"/>
      <c r="I1143" s="605"/>
      <c r="J1143" s="606">
        <f>J1141+J1142</f>
        <v>9799038.0184733067</v>
      </c>
    </row>
    <row r="1144" spans="1:10">
      <c r="A1144" s="572"/>
      <c r="B1144" s="573"/>
      <c r="C1144" s="574" t="s">
        <v>339</v>
      </c>
      <c r="D1144" s="117" t="s">
        <v>339</v>
      </c>
      <c r="E1144" s="575" t="s">
        <v>492</v>
      </c>
      <c r="F1144" s="573"/>
      <c r="G1144" s="576"/>
      <c r="H1144" s="577"/>
      <c r="I1144" s="601"/>
      <c r="J1144" s="577" t="s">
        <v>597</v>
      </c>
    </row>
    <row r="1145" spans="1:10" ht="27.6">
      <c r="A1145" s="578"/>
      <c r="B1145" s="579">
        <v>62</v>
      </c>
      <c r="C1145" s="578" t="str">
        <f>'5.Tiên lượng'!C146</f>
        <v>BB.11112</v>
      </c>
      <c r="D1145" s="578" t="str">
        <f>'5.Tiên lượng'!C146</f>
        <v>BB.11112</v>
      </c>
      <c r="E1145" s="580" t="str">
        <f>'5.Tiên lượng'!D146</f>
        <v xml:space="preserve">Lắp đặt ống bê tông bằng thủ công, đoạn ống dài 1m - Đường kính 300mm </v>
      </c>
      <c r="F1145" s="579" t="str">
        <f>'5.Tiên lượng'!E146</f>
        <v>1 đoạn ống</v>
      </c>
      <c r="G1145" s="581"/>
      <c r="H1145" s="582"/>
      <c r="I1145" s="602"/>
      <c r="J1145" s="582"/>
    </row>
    <row r="1146" spans="1:10">
      <c r="A1146" s="126"/>
      <c r="B1146" s="127"/>
      <c r="C1146" s="128" t="s">
        <v>590</v>
      </c>
      <c r="D1146" s="128" t="s">
        <v>590</v>
      </c>
      <c r="E1146" s="583" t="s">
        <v>262</v>
      </c>
      <c r="F1146" s="127" t="s">
        <v>263</v>
      </c>
      <c r="G1146" s="130"/>
      <c r="H1146" s="131"/>
      <c r="I1146" s="143"/>
      <c r="J1146" s="131">
        <f>SUM(J1147:J1148)</f>
        <v>341794.36583022942</v>
      </c>
    </row>
    <row r="1147" spans="1:10">
      <c r="A1147" s="584"/>
      <c r="B1147" s="585"/>
      <c r="C1147" s="586" t="s">
        <v>590</v>
      </c>
      <c r="D1147" s="133" t="s">
        <v>667</v>
      </c>
      <c r="E1147" s="587" t="str">
        <f>" - "&amp;'Giá VL'!E5</f>
        <v xml:space="preserve"> - Ống bê tông D300mm, L=1m</v>
      </c>
      <c r="F1147" s="585" t="str">
        <f>'Giá VL'!F5</f>
        <v>đoạn</v>
      </c>
      <c r="G1147" s="588">
        <f>PTVT!G567</f>
        <v>1</v>
      </c>
      <c r="H1147" s="589">
        <f>'Giá VL'!V5</f>
        <v>341623.5540532028</v>
      </c>
      <c r="I1147" s="603">
        <f>'5.Tiên lượng'!V146</f>
        <v>1</v>
      </c>
      <c r="J1147" s="589">
        <f t="shared" ref="J1147:J1148" si="75">PRODUCT(G1147,H1147,I1147)</f>
        <v>341623.5540532028</v>
      </c>
    </row>
    <row r="1148" spans="1:10">
      <c r="A1148" s="584"/>
      <c r="B1148" s="585"/>
      <c r="C1148" s="586" t="s">
        <v>590</v>
      </c>
      <c r="D1148" s="133" t="s">
        <v>620</v>
      </c>
      <c r="E1148" s="587" t="s">
        <v>668</v>
      </c>
      <c r="F1148" s="585" t="s">
        <v>37</v>
      </c>
      <c r="G1148" s="588">
        <f>PTVT!G568</f>
        <v>0.05</v>
      </c>
      <c r="H1148" s="589">
        <f>IF('5.Tiên lượng'!V146&lt;&gt;0,SUM(J1147:J1147)/100/'5.Tiên lượng'!V146,0)</f>
        <v>3416.2355405320282</v>
      </c>
      <c r="I1148" s="603">
        <f>'5.Tiên lượng'!V146</f>
        <v>1</v>
      </c>
      <c r="J1148" s="589">
        <f t="shared" si="75"/>
        <v>170.81177702660142</v>
      </c>
    </row>
    <row r="1149" spans="1:10">
      <c r="A1149" s="126"/>
      <c r="B1149" s="127"/>
      <c r="C1149" s="128" t="s">
        <v>590</v>
      </c>
      <c r="D1149" s="128" t="s">
        <v>590</v>
      </c>
      <c r="E1149" s="583" t="s">
        <v>265</v>
      </c>
      <c r="F1149" s="127" t="s">
        <v>266</v>
      </c>
      <c r="G1149" s="130"/>
      <c r="H1149" s="131"/>
      <c r="I1149" s="143"/>
      <c r="J1149" s="131">
        <f>SUM(J1150:J1150)</f>
        <v>70200</v>
      </c>
    </row>
    <row r="1150" spans="1:10">
      <c r="A1150" s="584"/>
      <c r="B1150" s="585"/>
      <c r="C1150" s="586" t="s">
        <v>590</v>
      </c>
      <c r="D1150" s="133" t="s">
        <v>622</v>
      </c>
      <c r="E1150" s="587" t="str">
        <f>" - "&amp;'Giá NC'!E9</f>
        <v xml:space="preserve"> - Nhân công bậc 3,5/7 - Nhóm 2</v>
      </c>
      <c r="F1150" s="585" t="str">
        <f>'Giá NC'!F9</f>
        <v>công</v>
      </c>
      <c r="G1150" s="588">
        <f>PTVT!G570</f>
        <v>0.26</v>
      </c>
      <c r="H1150" s="589">
        <f>'Giá NC'!K9</f>
        <v>270000</v>
      </c>
      <c r="I1150" s="603">
        <f>'5.Tiên lượng'!W146</f>
        <v>1</v>
      </c>
      <c r="J1150" s="589">
        <f>PRODUCT(G1150,H1150,I1150)</f>
        <v>70200</v>
      </c>
    </row>
    <row r="1151" spans="1:10">
      <c r="A1151" s="126"/>
      <c r="B1151" s="127"/>
      <c r="C1151" s="128" t="s">
        <v>590</v>
      </c>
      <c r="D1151" s="128" t="s">
        <v>590</v>
      </c>
      <c r="E1151" s="583" t="s">
        <v>267</v>
      </c>
      <c r="F1151" s="127" t="s">
        <v>268</v>
      </c>
      <c r="G1151" s="130"/>
      <c r="H1151" s="131"/>
      <c r="I1151" s="143"/>
      <c r="J1151" s="131">
        <v>0</v>
      </c>
    </row>
    <row r="1152" spans="1:10">
      <c r="A1152" s="584"/>
      <c r="B1152" s="585"/>
      <c r="C1152" s="586" t="s">
        <v>590</v>
      </c>
      <c r="D1152" s="133" t="s">
        <v>590</v>
      </c>
      <c r="E1152" s="587" t="s">
        <v>269</v>
      </c>
      <c r="F1152" s="585" t="s">
        <v>270</v>
      </c>
      <c r="G1152" s="590"/>
      <c r="H1152" s="589"/>
      <c r="I1152" s="603"/>
      <c r="J1152" s="589">
        <f>J1146+J1149+J1151</f>
        <v>411994.36583022942</v>
      </c>
    </row>
    <row r="1153" spans="1:10">
      <c r="A1153" s="584"/>
      <c r="B1153" s="585"/>
      <c r="C1153" s="586" t="s">
        <v>590</v>
      </c>
      <c r="D1153" s="133" t="s">
        <v>590</v>
      </c>
      <c r="E1153" s="587" t="s">
        <v>273</v>
      </c>
      <c r="F1153" s="585" t="s">
        <v>274</v>
      </c>
      <c r="G1153" s="591">
        <f>'Thông tin'!E67</f>
        <v>6.2E-2</v>
      </c>
      <c r="H1153" s="589"/>
      <c r="I1153" s="603"/>
      <c r="J1153" s="589">
        <f>(J1152)*G1153</f>
        <v>25543.650681474224</v>
      </c>
    </row>
    <row r="1154" spans="1:10">
      <c r="A1154" s="584"/>
      <c r="B1154" s="585"/>
      <c r="C1154" s="586" t="s">
        <v>590</v>
      </c>
      <c r="D1154" s="133" t="s">
        <v>590</v>
      </c>
      <c r="E1154" s="587" t="s">
        <v>276</v>
      </c>
      <c r="F1154" s="585" t="s">
        <v>277</v>
      </c>
      <c r="G1154" s="591">
        <f>'Thông tin'!E60</f>
        <v>2.2000000000000002E-2</v>
      </c>
      <c r="H1154" s="589"/>
      <c r="I1154" s="603"/>
      <c r="J1154" s="589">
        <f>(J1152)*G1154</f>
        <v>9063.8760482650487</v>
      </c>
    </row>
    <row r="1155" spans="1:10" ht="27.6">
      <c r="A1155" s="584"/>
      <c r="B1155" s="585"/>
      <c r="C1155" s="586" t="s">
        <v>590</v>
      </c>
      <c r="D1155" s="133" t="s">
        <v>590</v>
      </c>
      <c r="E1155" s="587" t="s">
        <v>279</v>
      </c>
      <c r="F1155" s="585" t="s">
        <v>142</v>
      </c>
      <c r="G1155" s="591">
        <f>'Thông tin'!E65</f>
        <v>0.02</v>
      </c>
      <c r="H1155" s="589"/>
      <c r="I1155" s="603"/>
      <c r="J1155" s="589">
        <f>(J1152)*G1155</f>
        <v>8239.8873166045887</v>
      </c>
    </row>
    <row r="1156" spans="1:10">
      <c r="A1156" s="584"/>
      <c r="B1156" s="585"/>
      <c r="C1156" s="586" t="s">
        <v>590</v>
      </c>
      <c r="D1156" s="133" t="s">
        <v>590</v>
      </c>
      <c r="E1156" s="587" t="s">
        <v>281</v>
      </c>
      <c r="F1156" s="585" t="s">
        <v>282</v>
      </c>
      <c r="G1156" s="590"/>
      <c r="H1156" s="589"/>
      <c r="I1156" s="603"/>
      <c r="J1156" s="589">
        <f>J1153+J1154+J1155</f>
        <v>42847.41404634386</v>
      </c>
    </row>
    <row r="1157" spans="1:10">
      <c r="A1157" s="584"/>
      <c r="B1157" s="585"/>
      <c r="C1157" s="586" t="s">
        <v>590</v>
      </c>
      <c r="D1157" s="133" t="s">
        <v>590</v>
      </c>
      <c r="E1157" s="587" t="s">
        <v>284</v>
      </c>
      <c r="F1157" s="585" t="s">
        <v>285</v>
      </c>
      <c r="G1157" s="591">
        <f>'Thông tin'!E63</f>
        <v>0.06</v>
      </c>
      <c r="H1157" s="589"/>
      <c r="I1157" s="603"/>
      <c r="J1157" s="589">
        <f>(J1152+J1156)*G1157</f>
        <v>27290.506792594399</v>
      </c>
    </row>
    <row r="1158" spans="1:10">
      <c r="A1158" s="584"/>
      <c r="B1158" s="585"/>
      <c r="C1158" s="586" t="s">
        <v>590</v>
      </c>
      <c r="D1158" s="133" t="s">
        <v>590</v>
      </c>
      <c r="E1158" s="592" t="s">
        <v>287</v>
      </c>
      <c r="F1158" s="593" t="s">
        <v>288</v>
      </c>
      <c r="G1158" s="590"/>
      <c r="H1158" s="589"/>
      <c r="I1158" s="603"/>
      <c r="J1158" s="604">
        <f>J1152+J1156+J1157</f>
        <v>482132.28666916769</v>
      </c>
    </row>
    <row r="1159" spans="1:10">
      <c r="A1159" s="584"/>
      <c r="B1159" s="585"/>
      <c r="C1159" s="586" t="s">
        <v>590</v>
      </c>
      <c r="D1159" s="133" t="s">
        <v>590</v>
      </c>
      <c r="E1159" s="587" t="s">
        <v>290</v>
      </c>
      <c r="F1159" s="585" t="s">
        <v>291</v>
      </c>
      <c r="G1159" s="591">
        <f>'Thông tin'!E61</f>
        <v>0.1</v>
      </c>
      <c r="H1159" s="589"/>
      <c r="I1159" s="603"/>
      <c r="J1159" s="589">
        <f>(J1158)*G1159</f>
        <v>48213.228666916773</v>
      </c>
    </row>
    <row r="1160" spans="1:10">
      <c r="A1160" s="594"/>
      <c r="B1160" s="595"/>
      <c r="C1160" s="596" t="s">
        <v>590</v>
      </c>
      <c r="D1160" s="137" t="s">
        <v>590</v>
      </c>
      <c r="E1160" s="597" t="s">
        <v>293</v>
      </c>
      <c r="F1160" s="598" t="s">
        <v>19</v>
      </c>
      <c r="G1160" s="599"/>
      <c r="H1160" s="600"/>
      <c r="I1160" s="605"/>
      <c r="J1160" s="606">
        <f>J1158+J1159</f>
        <v>530345.51533608441</v>
      </c>
    </row>
    <row r="1161" spans="1:10" ht="27.6">
      <c r="A1161" s="578"/>
      <c r="B1161" s="579">
        <v>63</v>
      </c>
      <c r="C1161" s="578" t="str">
        <f>'5.Tiên lượng'!C147</f>
        <v>BB.11122</v>
      </c>
      <c r="D1161" s="578" t="str">
        <f>'5.Tiên lượng'!C147</f>
        <v>BB.11122</v>
      </c>
      <c r="E1161" s="580" t="str">
        <f>'5.Tiên lượng'!D147</f>
        <v xml:space="preserve">Lắp đặt ống bê tông bằng thủ công, đoạn ống dài 2m - Đường kính 300mm </v>
      </c>
      <c r="F1161" s="579" t="str">
        <f>'5.Tiên lượng'!E147</f>
        <v>1 đoạn ống</v>
      </c>
      <c r="G1161" s="581"/>
      <c r="H1161" s="582"/>
      <c r="I1161" s="602"/>
      <c r="J1161" s="582"/>
    </row>
    <row r="1162" spans="1:10">
      <c r="A1162" s="126"/>
      <c r="B1162" s="127"/>
      <c r="C1162" s="128" t="s">
        <v>590</v>
      </c>
      <c r="D1162" s="128" t="s">
        <v>590</v>
      </c>
      <c r="E1162" s="583" t="s">
        <v>262</v>
      </c>
      <c r="F1162" s="127" t="s">
        <v>263</v>
      </c>
      <c r="G1162" s="130"/>
      <c r="H1162" s="131"/>
      <c r="I1162" s="143"/>
      <c r="J1162" s="131">
        <f>SUM(J1163:J1164)</f>
        <v>683588.73166045884</v>
      </c>
    </row>
    <row r="1163" spans="1:10">
      <c r="A1163" s="584"/>
      <c r="B1163" s="585"/>
      <c r="C1163" s="586" t="s">
        <v>590</v>
      </c>
      <c r="D1163" s="133" t="s">
        <v>669</v>
      </c>
      <c r="E1163" s="587" t="str">
        <f>" - "&amp;'Giá VL'!E6</f>
        <v xml:space="preserve"> - Ống bê tông D300mm, L=2m</v>
      </c>
      <c r="F1163" s="585" t="str">
        <f>'Giá VL'!F6</f>
        <v>đoạn</v>
      </c>
      <c r="G1163" s="588">
        <f>PTVT!G573</f>
        <v>1</v>
      </c>
      <c r="H1163" s="589">
        <f>'Giá VL'!V6</f>
        <v>683247.10810640559</v>
      </c>
      <c r="I1163" s="603">
        <f>'5.Tiên lượng'!V147</f>
        <v>1</v>
      </c>
      <c r="J1163" s="589">
        <f t="shared" ref="J1163:J1164" si="76">PRODUCT(G1163,H1163,I1163)</f>
        <v>683247.10810640559</v>
      </c>
    </row>
    <row r="1164" spans="1:10">
      <c r="A1164" s="584"/>
      <c r="B1164" s="585"/>
      <c r="C1164" s="586" t="s">
        <v>590</v>
      </c>
      <c r="D1164" s="133" t="s">
        <v>620</v>
      </c>
      <c r="E1164" s="587" t="s">
        <v>668</v>
      </c>
      <c r="F1164" s="585" t="s">
        <v>37</v>
      </c>
      <c r="G1164" s="588">
        <f>PTVT!G574</f>
        <v>0.05</v>
      </c>
      <c r="H1164" s="589">
        <f>IF('5.Tiên lượng'!V147&lt;&gt;0,SUM(J1163:J1163)/100/'5.Tiên lượng'!V147,0)</f>
        <v>6832.4710810640563</v>
      </c>
      <c r="I1164" s="603">
        <f>'5.Tiên lượng'!V147</f>
        <v>1</v>
      </c>
      <c r="J1164" s="589">
        <f t="shared" si="76"/>
        <v>341.62355405320284</v>
      </c>
    </row>
    <row r="1165" spans="1:10">
      <c r="A1165" s="126"/>
      <c r="B1165" s="127"/>
      <c r="C1165" s="128" t="s">
        <v>590</v>
      </c>
      <c r="D1165" s="128" t="s">
        <v>590</v>
      </c>
      <c r="E1165" s="583" t="s">
        <v>265</v>
      </c>
      <c r="F1165" s="127" t="s">
        <v>266</v>
      </c>
      <c r="G1165" s="130"/>
      <c r="H1165" s="131"/>
      <c r="I1165" s="143"/>
      <c r="J1165" s="131">
        <f>SUM(J1166:J1166)</f>
        <v>94500</v>
      </c>
    </row>
    <row r="1166" spans="1:10">
      <c r="A1166" s="584"/>
      <c r="B1166" s="585"/>
      <c r="C1166" s="586" t="s">
        <v>590</v>
      </c>
      <c r="D1166" s="133" t="s">
        <v>622</v>
      </c>
      <c r="E1166" s="587" t="str">
        <f>" - "&amp;'Giá NC'!E9</f>
        <v xml:space="preserve"> - Nhân công bậc 3,5/7 - Nhóm 2</v>
      </c>
      <c r="F1166" s="585" t="str">
        <f>'Giá NC'!F9</f>
        <v>công</v>
      </c>
      <c r="G1166" s="588">
        <f>PTVT!G576</f>
        <v>0.35</v>
      </c>
      <c r="H1166" s="589">
        <f>'Giá NC'!K9</f>
        <v>270000</v>
      </c>
      <c r="I1166" s="603">
        <f>'5.Tiên lượng'!W147</f>
        <v>1</v>
      </c>
      <c r="J1166" s="589">
        <f>PRODUCT(G1166,H1166,I1166)</f>
        <v>94500</v>
      </c>
    </row>
    <row r="1167" spans="1:10">
      <c r="A1167" s="126"/>
      <c r="B1167" s="127"/>
      <c r="C1167" s="128" t="s">
        <v>590</v>
      </c>
      <c r="D1167" s="128" t="s">
        <v>590</v>
      </c>
      <c r="E1167" s="583" t="s">
        <v>267</v>
      </c>
      <c r="F1167" s="127" t="s">
        <v>268</v>
      </c>
      <c r="G1167" s="130"/>
      <c r="H1167" s="131"/>
      <c r="I1167" s="143"/>
      <c r="J1167" s="131">
        <v>0</v>
      </c>
    </row>
    <row r="1168" spans="1:10">
      <c r="A1168" s="584"/>
      <c r="B1168" s="585"/>
      <c r="C1168" s="586" t="s">
        <v>590</v>
      </c>
      <c r="D1168" s="133" t="s">
        <v>590</v>
      </c>
      <c r="E1168" s="587" t="s">
        <v>269</v>
      </c>
      <c r="F1168" s="585" t="s">
        <v>270</v>
      </c>
      <c r="G1168" s="590"/>
      <c r="H1168" s="589"/>
      <c r="I1168" s="603"/>
      <c r="J1168" s="589">
        <f>J1162+J1165+J1167</f>
        <v>778088.73166045884</v>
      </c>
    </row>
    <row r="1169" spans="1:10">
      <c r="A1169" s="584"/>
      <c r="B1169" s="585"/>
      <c r="C1169" s="586" t="s">
        <v>590</v>
      </c>
      <c r="D1169" s="133" t="s">
        <v>590</v>
      </c>
      <c r="E1169" s="587" t="s">
        <v>273</v>
      </c>
      <c r="F1169" s="585" t="s">
        <v>274</v>
      </c>
      <c r="G1169" s="591">
        <f>'Thông tin'!E67</f>
        <v>6.2E-2</v>
      </c>
      <c r="H1169" s="589"/>
      <c r="I1169" s="603"/>
      <c r="J1169" s="589">
        <f>(J1168)*G1169</f>
        <v>48241.501362948446</v>
      </c>
    </row>
    <row r="1170" spans="1:10">
      <c r="A1170" s="584"/>
      <c r="B1170" s="585"/>
      <c r="C1170" s="586" t="s">
        <v>590</v>
      </c>
      <c r="D1170" s="133" t="s">
        <v>590</v>
      </c>
      <c r="E1170" s="587" t="s">
        <v>276</v>
      </c>
      <c r="F1170" s="585" t="s">
        <v>277</v>
      </c>
      <c r="G1170" s="591">
        <f>'Thông tin'!E60</f>
        <v>2.2000000000000002E-2</v>
      </c>
      <c r="H1170" s="589"/>
      <c r="I1170" s="603"/>
      <c r="J1170" s="589">
        <f>(J1168)*G1170</f>
        <v>17117.952096530094</v>
      </c>
    </row>
    <row r="1171" spans="1:10" ht="27.6">
      <c r="A1171" s="584"/>
      <c r="B1171" s="585"/>
      <c r="C1171" s="586" t="s">
        <v>590</v>
      </c>
      <c r="D1171" s="133" t="s">
        <v>590</v>
      </c>
      <c r="E1171" s="587" t="s">
        <v>279</v>
      </c>
      <c r="F1171" s="585" t="s">
        <v>142</v>
      </c>
      <c r="G1171" s="591">
        <f>'Thông tin'!E65</f>
        <v>0.02</v>
      </c>
      <c r="H1171" s="589"/>
      <c r="I1171" s="603"/>
      <c r="J1171" s="589">
        <f>(J1168)*G1171</f>
        <v>15561.774633209177</v>
      </c>
    </row>
    <row r="1172" spans="1:10">
      <c r="A1172" s="584"/>
      <c r="B1172" s="585"/>
      <c r="C1172" s="586" t="s">
        <v>590</v>
      </c>
      <c r="D1172" s="133" t="s">
        <v>590</v>
      </c>
      <c r="E1172" s="587" t="s">
        <v>281</v>
      </c>
      <c r="F1172" s="585" t="s">
        <v>282</v>
      </c>
      <c r="G1172" s="590"/>
      <c r="H1172" s="589"/>
      <c r="I1172" s="603"/>
      <c r="J1172" s="589">
        <f>J1169+J1170+J1171</f>
        <v>80921.228092687714</v>
      </c>
    </row>
    <row r="1173" spans="1:10">
      <c r="A1173" s="584"/>
      <c r="B1173" s="585"/>
      <c r="C1173" s="586" t="s">
        <v>590</v>
      </c>
      <c r="D1173" s="133" t="s">
        <v>590</v>
      </c>
      <c r="E1173" s="587" t="s">
        <v>284</v>
      </c>
      <c r="F1173" s="585" t="s">
        <v>285</v>
      </c>
      <c r="G1173" s="591">
        <f>'Thông tin'!E63</f>
        <v>0.06</v>
      </c>
      <c r="H1173" s="589"/>
      <c r="I1173" s="603"/>
      <c r="J1173" s="589">
        <f>(J1168+J1172)*G1173</f>
        <v>51540.597585188785</v>
      </c>
    </row>
    <row r="1174" spans="1:10">
      <c r="A1174" s="584"/>
      <c r="B1174" s="585"/>
      <c r="C1174" s="586" t="s">
        <v>590</v>
      </c>
      <c r="D1174" s="133" t="s">
        <v>590</v>
      </c>
      <c r="E1174" s="592" t="s">
        <v>287</v>
      </c>
      <c r="F1174" s="593" t="s">
        <v>288</v>
      </c>
      <c r="G1174" s="590"/>
      <c r="H1174" s="589"/>
      <c r="I1174" s="603"/>
      <c r="J1174" s="604">
        <f>J1168+J1172+J1173</f>
        <v>910550.55733833532</v>
      </c>
    </row>
    <row r="1175" spans="1:10">
      <c r="A1175" s="584"/>
      <c r="B1175" s="585"/>
      <c r="C1175" s="586" t="s">
        <v>590</v>
      </c>
      <c r="D1175" s="133" t="s">
        <v>590</v>
      </c>
      <c r="E1175" s="587" t="s">
        <v>290</v>
      </c>
      <c r="F1175" s="585" t="s">
        <v>291</v>
      </c>
      <c r="G1175" s="591">
        <f>'Thông tin'!E61</f>
        <v>0.1</v>
      </c>
      <c r="H1175" s="589"/>
      <c r="I1175" s="603"/>
      <c r="J1175" s="589">
        <f>(J1174)*G1175</f>
        <v>91055.055733833535</v>
      </c>
    </row>
    <row r="1176" spans="1:10">
      <c r="A1176" s="594"/>
      <c r="B1176" s="595"/>
      <c r="C1176" s="596" t="s">
        <v>590</v>
      </c>
      <c r="D1176" s="137" t="s">
        <v>590</v>
      </c>
      <c r="E1176" s="597" t="s">
        <v>293</v>
      </c>
      <c r="F1176" s="598" t="s">
        <v>19</v>
      </c>
      <c r="G1176" s="599"/>
      <c r="H1176" s="600"/>
      <c r="I1176" s="605"/>
      <c r="J1176" s="606">
        <f>J1174+J1175</f>
        <v>1001605.6130721689</v>
      </c>
    </row>
    <row r="1177" spans="1:10" ht="27.6">
      <c r="A1177" s="578"/>
      <c r="B1177" s="579">
        <v>64</v>
      </c>
      <c r="C1177" s="578" t="str">
        <f>'5.Tiên lượng'!C148</f>
        <v>BB.13502</v>
      </c>
      <c r="D1177" s="578" t="str">
        <f>'5.Tiên lượng'!C148</f>
        <v>BB.13502</v>
      </c>
      <c r="E1177" s="580" t="str">
        <f>'5.Tiên lượng'!D148</f>
        <v xml:space="preserve">Nối ống bê tông bằng phương pháp xảm - Đường kính 300mm </v>
      </c>
      <c r="F1177" s="579" t="str">
        <f>'5.Tiên lượng'!E148</f>
        <v>mối nối</v>
      </c>
      <c r="G1177" s="581"/>
      <c r="H1177" s="582"/>
      <c r="I1177" s="602"/>
      <c r="J1177" s="582"/>
    </row>
    <row r="1178" spans="1:10">
      <c r="A1178" s="126"/>
      <c r="B1178" s="127"/>
      <c r="C1178" s="128" t="s">
        <v>590</v>
      </c>
      <c r="D1178" s="128" t="s">
        <v>590</v>
      </c>
      <c r="E1178" s="583" t="s">
        <v>262</v>
      </c>
      <c r="F1178" s="127" t="s">
        <v>263</v>
      </c>
      <c r="G1178" s="130"/>
      <c r="H1178" s="131"/>
      <c r="I1178" s="143"/>
      <c r="J1178" s="131">
        <f>SUM(J1179:J1181)</f>
        <v>7221.9701351034164</v>
      </c>
    </row>
    <row r="1179" spans="1:10">
      <c r="A1179" s="584"/>
      <c r="B1179" s="585"/>
      <c r="C1179" s="586" t="s">
        <v>590</v>
      </c>
      <c r="D1179" s="133" t="s">
        <v>615</v>
      </c>
      <c r="E1179" s="587" t="str">
        <f>" - "&amp;'Giá VL'!E17</f>
        <v xml:space="preserve"> - Cát vàng</v>
      </c>
      <c r="F1179" s="585" t="str">
        <f>'Giá VL'!F17</f>
        <v>m3</v>
      </c>
      <c r="G1179" s="588">
        <f>PTVT!G579</f>
        <v>5.0927999999999998E-3</v>
      </c>
      <c r="H1179" s="589">
        <f>'Giá VL'!V17</f>
        <v>659026.49526849983</v>
      </c>
      <c r="I1179" s="603">
        <f>'5.Tiên lượng'!V148</f>
        <v>1</v>
      </c>
      <c r="J1179" s="589">
        <f t="shared" ref="J1179:J1181" si="77">PRODUCT(G1179,H1179,I1179)</f>
        <v>3356.2901351034157</v>
      </c>
    </row>
    <row r="1180" spans="1:10">
      <c r="A1180" s="584"/>
      <c r="B1180" s="585"/>
      <c r="C1180" s="586" t="s">
        <v>590</v>
      </c>
      <c r="D1180" s="133" t="s">
        <v>617</v>
      </c>
      <c r="E1180" s="587" t="str">
        <f>" - "&amp;'Giá VL'!E33</f>
        <v xml:space="preserve"> - Nước</v>
      </c>
      <c r="F1180" s="585" t="str">
        <f>'Giá VL'!F33</f>
        <v>lít</v>
      </c>
      <c r="G1180" s="588">
        <f>PTVT!G580</f>
        <v>1.2767999999999999</v>
      </c>
      <c r="H1180" s="589">
        <f>'Giá VL'!V33</f>
        <v>15</v>
      </c>
      <c r="I1180" s="603">
        <f>'5.Tiên lượng'!V148</f>
        <v>1</v>
      </c>
      <c r="J1180" s="589">
        <f t="shared" si="77"/>
        <v>19.151999999999997</v>
      </c>
    </row>
    <row r="1181" spans="1:10">
      <c r="A1181" s="584"/>
      <c r="B1181" s="585"/>
      <c r="C1181" s="586" t="s">
        <v>590</v>
      </c>
      <c r="D1181" s="133" t="s">
        <v>670</v>
      </c>
      <c r="E1181" s="587" t="str">
        <f>" - "&amp;'Giá VL'!E44</f>
        <v xml:space="preserve"> - Xi măng PCB30</v>
      </c>
      <c r="F1181" s="585" t="str">
        <f>'Giá VL'!F44</f>
        <v>kg</v>
      </c>
      <c r="G1181" s="588">
        <f>PTVT!G581</f>
        <v>2.2896000000000001</v>
      </c>
      <c r="H1181" s="589">
        <f>'Giá VL'!V44</f>
        <v>1680</v>
      </c>
      <c r="I1181" s="603">
        <f>'5.Tiên lượng'!V148</f>
        <v>1</v>
      </c>
      <c r="J1181" s="589">
        <f t="shared" si="77"/>
        <v>3846.5280000000002</v>
      </c>
    </row>
    <row r="1182" spans="1:10">
      <c r="A1182" s="126"/>
      <c r="B1182" s="127"/>
      <c r="C1182" s="128" t="s">
        <v>590</v>
      </c>
      <c r="D1182" s="128" t="s">
        <v>590</v>
      </c>
      <c r="E1182" s="583" t="s">
        <v>265</v>
      </c>
      <c r="F1182" s="127" t="s">
        <v>266</v>
      </c>
      <c r="G1182" s="130"/>
      <c r="H1182" s="131"/>
      <c r="I1182" s="143"/>
      <c r="J1182" s="131">
        <f>SUM(J1183:J1183)</f>
        <v>18900</v>
      </c>
    </row>
    <row r="1183" spans="1:10">
      <c r="A1183" s="584"/>
      <c r="B1183" s="585"/>
      <c r="C1183" s="586" t="s">
        <v>590</v>
      </c>
      <c r="D1183" s="133" t="s">
        <v>622</v>
      </c>
      <c r="E1183" s="587" t="str">
        <f>" - "&amp;'Giá NC'!E9</f>
        <v xml:space="preserve"> - Nhân công bậc 3,5/7 - Nhóm 2</v>
      </c>
      <c r="F1183" s="585" t="str">
        <f>'Giá NC'!F9</f>
        <v>công</v>
      </c>
      <c r="G1183" s="588">
        <f>PTVT!G583</f>
        <v>7.0000000000000007E-2</v>
      </c>
      <c r="H1183" s="589">
        <f>'Giá NC'!K9</f>
        <v>270000</v>
      </c>
      <c r="I1183" s="603">
        <f>'5.Tiên lượng'!W148</f>
        <v>1</v>
      </c>
      <c r="J1183" s="589">
        <f>PRODUCT(G1183,H1183,I1183)</f>
        <v>18900</v>
      </c>
    </row>
    <row r="1184" spans="1:10">
      <c r="A1184" s="126"/>
      <c r="B1184" s="127"/>
      <c r="C1184" s="128" t="s">
        <v>590</v>
      </c>
      <c r="D1184" s="128" t="s">
        <v>590</v>
      </c>
      <c r="E1184" s="583" t="s">
        <v>267</v>
      </c>
      <c r="F1184" s="127" t="s">
        <v>268</v>
      </c>
      <c r="G1184" s="130"/>
      <c r="H1184" s="131"/>
      <c r="I1184" s="143"/>
      <c r="J1184" s="131">
        <v>0</v>
      </c>
    </row>
    <row r="1185" spans="1:10">
      <c r="A1185" s="584"/>
      <c r="B1185" s="585"/>
      <c r="C1185" s="586" t="s">
        <v>590</v>
      </c>
      <c r="D1185" s="133" t="s">
        <v>590</v>
      </c>
      <c r="E1185" s="587" t="s">
        <v>269</v>
      </c>
      <c r="F1185" s="585" t="s">
        <v>270</v>
      </c>
      <c r="G1185" s="590"/>
      <c r="H1185" s="589"/>
      <c r="I1185" s="603"/>
      <c r="J1185" s="589">
        <f>J1178+J1182+J1184</f>
        <v>26121.970135103416</v>
      </c>
    </row>
    <row r="1186" spans="1:10">
      <c r="A1186" s="584"/>
      <c r="B1186" s="585"/>
      <c r="C1186" s="586" t="s">
        <v>590</v>
      </c>
      <c r="D1186" s="133" t="s">
        <v>590</v>
      </c>
      <c r="E1186" s="587" t="s">
        <v>273</v>
      </c>
      <c r="F1186" s="585" t="s">
        <v>274</v>
      </c>
      <c r="G1186" s="591">
        <f>'Thông tin'!E67</f>
        <v>6.2E-2</v>
      </c>
      <c r="H1186" s="589"/>
      <c r="I1186" s="603"/>
      <c r="J1186" s="589">
        <f>(J1185)*G1186</f>
        <v>1619.5621483764119</v>
      </c>
    </row>
    <row r="1187" spans="1:10">
      <c r="A1187" s="584"/>
      <c r="B1187" s="585"/>
      <c r="C1187" s="586" t="s">
        <v>590</v>
      </c>
      <c r="D1187" s="133" t="s">
        <v>590</v>
      </c>
      <c r="E1187" s="587" t="s">
        <v>276</v>
      </c>
      <c r="F1187" s="585" t="s">
        <v>277</v>
      </c>
      <c r="G1187" s="591">
        <f>'Thông tin'!E60</f>
        <v>2.2000000000000002E-2</v>
      </c>
      <c r="H1187" s="589"/>
      <c r="I1187" s="603"/>
      <c r="J1187" s="589">
        <f>(J1185)*G1187</f>
        <v>574.68334297227523</v>
      </c>
    </row>
    <row r="1188" spans="1:10" ht="27.6">
      <c r="A1188" s="584"/>
      <c r="B1188" s="585"/>
      <c r="C1188" s="586" t="s">
        <v>590</v>
      </c>
      <c r="D1188" s="133" t="s">
        <v>590</v>
      </c>
      <c r="E1188" s="587" t="s">
        <v>279</v>
      </c>
      <c r="F1188" s="585" t="s">
        <v>142</v>
      </c>
      <c r="G1188" s="591">
        <f>'Thông tin'!E65</f>
        <v>0.02</v>
      </c>
      <c r="H1188" s="589"/>
      <c r="I1188" s="603"/>
      <c r="J1188" s="589">
        <f>(J1185)*G1188</f>
        <v>522.43940270206838</v>
      </c>
    </row>
    <row r="1189" spans="1:10">
      <c r="A1189" s="584"/>
      <c r="B1189" s="585"/>
      <c r="C1189" s="586" t="s">
        <v>590</v>
      </c>
      <c r="D1189" s="133" t="s">
        <v>590</v>
      </c>
      <c r="E1189" s="587" t="s">
        <v>281</v>
      </c>
      <c r="F1189" s="585" t="s">
        <v>282</v>
      </c>
      <c r="G1189" s="590"/>
      <c r="H1189" s="589"/>
      <c r="I1189" s="603"/>
      <c r="J1189" s="589">
        <f>J1186+J1187+J1188</f>
        <v>2716.6848940507557</v>
      </c>
    </row>
    <row r="1190" spans="1:10">
      <c r="A1190" s="584"/>
      <c r="B1190" s="585"/>
      <c r="C1190" s="586" t="s">
        <v>590</v>
      </c>
      <c r="D1190" s="133" t="s">
        <v>590</v>
      </c>
      <c r="E1190" s="587" t="s">
        <v>284</v>
      </c>
      <c r="F1190" s="585" t="s">
        <v>285</v>
      </c>
      <c r="G1190" s="591">
        <f>'Thông tin'!E63</f>
        <v>0.06</v>
      </c>
      <c r="H1190" s="589"/>
      <c r="I1190" s="603"/>
      <c r="J1190" s="589">
        <f>(J1185+J1189)*G1190</f>
        <v>1730.3193017492501</v>
      </c>
    </row>
    <row r="1191" spans="1:10">
      <c r="A1191" s="584"/>
      <c r="B1191" s="585"/>
      <c r="C1191" s="586" t="s">
        <v>590</v>
      </c>
      <c r="D1191" s="133" t="s">
        <v>590</v>
      </c>
      <c r="E1191" s="592" t="s">
        <v>287</v>
      </c>
      <c r="F1191" s="593" t="s">
        <v>288</v>
      </c>
      <c r="G1191" s="590"/>
      <c r="H1191" s="589"/>
      <c r="I1191" s="603"/>
      <c r="J1191" s="604">
        <f>J1185+J1189+J1190</f>
        <v>30568.97433090342</v>
      </c>
    </row>
    <row r="1192" spans="1:10">
      <c r="A1192" s="584"/>
      <c r="B1192" s="585"/>
      <c r="C1192" s="586" t="s">
        <v>590</v>
      </c>
      <c r="D1192" s="133" t="s">
        <v>590</v>
      </c>
      <c r="E1192" s="587" t="s">
        <v>290</v>
      </c>
      <c r="F1192" s="585" t="s">
        <v>291</v>
      </c>
      <c r="G1192" s="591">
        <f>'Thông tin'!E61</f>
        <v>0.1</v>
      </c>
      <c r="H1192" s="589"/>
      <c r="I1192" s="603"/>
      <c r="J1192" s="589">
        <f>(J1191)*G1192</f>
        <v>3056.897433090342</v>
      </c>
    </row>
    <row r="1193" spans="1:10">
      <c r="A1193" s="594"/>
      <c r="B1193" s="595"/>
      <c r="C1193" s="596" t="s">
        <v>590</v>
      </c>
      <c r="D1193" s="137" t="s">
        <v>590</v>
      </c>
      <c r="E1193" s="597" t="s">
        <v>293</v>
      </c>
      <c r="F1193" s="598" t="s">
        <v>19</v>
      </c>
      <c r="G1193" s="599"/>
      <c r="H1193" s="600"/>
      <c r="I1193" s="605"/>
      <c r="J1193" s="606">
        <f>J1191+J1192</f>
        <v>33625.87176399376</v>
      </c>
    </row>
    <row r="1194" spans="1:10" ht="27.6">
      <c r="A1194" s="578"/>
      <c r="B1194" s="579">
        <v>65</v>
      </c>
      <c r="C1194" s="578" t="str">
        <f>'5.Tiên lượng'!C149</f>
        <v>AB.64113</v>
      </c>
      <c r="D1194" s="578" t="str">
        <f>'5.Tiên lượng'!C149</f>
        <v>AB.64113</v>
      </c>
      <c r="E1194" s="580" t="str">
        <f>'5.Tiên lượng'!D149</f>
        <v>Đắp nền đường bằng máy lu bánh thép 9T, máy ủi 110CV, độ chặt Y/C K = 0,95</v>
      </c>
      <c r="F1194" s="579" t="str">
        <f>'5.Tiên lượng'!E149</f>
        <v>100m3</v>
      </c>
      <c r="G1194" s="581"/>
      <c r="H1194" s="582"/>
      <c r="I1194" s="602"/>
      <c r="J1194" s="582"/>
    </row>
    <row r="1195" spans="1:10">
      <c r="A1195" s="126"/>
      <c r="B1195" s="127"/>
      <c r="C1195" s="128" t="s">
        <v>590</v>
      </c>
      <c r="D1195" s="128" t="s">
        <v>590</v>
      </c>
      <c r="E1195" s="583" t="s">
        <v>262</v>
      </c>
      <c r="F1195" s="127" t="s">
        <v>263</v>
      </c>
      <c r="G1195" s="130"/>
      <c r="H1195" s="131"/>
      <c r="I1195" s="143"/>
      <c r="J1195" s="131">
        <v>0</v>
      </c>
    </row>
    <row r="1196" spans="1:10">
      <c r="A1196" s="126"/>
      <c r="B1196" s="127"/>
      <c r="C1196" s="128" t="s">
        <v>590</v>
      </c>
      <c r="D1196" s="128" t="s">
        <v>590</v>
      </c>
      <c r="E1196" s="583" t="s">
        <v>265</v>
      </c>
      <c r="F1196" s="127" t="s">
        <v>266</v>
      </c>
      <c r="G1196" s="130"/>
      <c r="H1196" s="131"/>
      <c r="I1196" s="143"/>
      <c r="J1196" s="131">
        <f>SUM(J1197:J1197)</f>
        <v>377219.69999999995</v>
      </c>
    </row>
    <row r="1197" spans="1:10">
      <c r="A1197" s="584"/>
      <c r="B1197" s="585"/>
      <c r="C1197" s="586" t="s">
        <v>590</v>
      </c>
      <c r="D1197" s="133" t="s">
        <v>598</v>
      </c>
      <c r="E1197" s="587" t="str">
        <f>" - "&amp;'Giá NC'!E5</f>
        <v xml:space="preserve"> - Nhân công bậc 3,0/7 - Nhóm 1</v>
      </c>
      <c r="F1197" s="585" t="str">
        <f>'Giá NC'!F5</f>
        <v>công</v>
      </c>
      <c r="G1197" s="588">
        <f>PTVT!G586</f>
        <v>1.65</v>
      </c>
      <c r="H1197" s="589">
        <f>'Giá NC'!K5</f>
        <v>228618</v>
      </c>
      <c r="I1197" s="603">
        <f>'5.Tiên lượng'!W149</f>
        <v>1</v>
      </c>
      <c r="J1197" s="589">
        <f>PRODUCT(G1197,H1197,I1197)</f>
        <v>377219.69999999995</v>
      </c>
    </row>
    <row r="1198" spans="1:10">
      <c r="A1198" s="126"/>
      <c r="B1198" s="127"/>
      <c r="C1198" s="128" t="s">
        <v>590</v>
      </c>
      <c r="D1198" s="128" t="s">
        <v>590</v>
      </c>
      <c r="E1198" s="583" t="s">
        <v>267</v>
      </c>
      <c r="F1198" s="127" t="s">
        <v>268</v>
      </c>
      <c r="G1198" s="130"/>
      <c r="H1198" s="131"/>
      <c r="I1198" s="143"/>
      <c r="J1198" s="131">
        <f>SUM(J1199:J1201)</f>
        <v>818124.93843149999</v>
      </c>
    </row>
    <row r="1199" spans="1:10">
      <c r="A1199" s="584"/>
      <c r="B1199" s="585"/>
      <c r="C1199" s="586" t="s">
        <v>590</v>
      </c>
      <c r="D1199" s="133" t="s">
        <v>638</v>
      </c>
      <c r="E1199" s="587" t="str">
        <f>" - "&amp;'Giá Máy'!E41</f>
        <v xml:space="preserve"> - Máy lu bánh thép 9T</v>
      </c>
      <c r="F1199" s="585" t="str">
        <f>'Giá Máy'!F41</f>
        <v>ca</v>
      </c>
      <c r="G1199" s="588">
        <f>PTVT!G588</f>
        <v>0.42</v>
      </c>
      <c r="H1199" s="589">
        <f>'Giá Máy'!O41</f>
        <v>1009475.96</v>
      </c>
      <c r="I1199" s="603">
        <f>'5.Tiên lượng'!X149</f>
        <v>1</v>
      </c>
      <c r="J1199" s="589">
        <f t="shared" ref="J1199:J1201" si="78">PRODUCT(G1199,H1199,I1199)</f>
        <v>423979.90319999994</v>
      </c>
    </row>
    <row r="1200" spans="1:10">
      <c r="A1200" s="584"/>
      <c r="B1200" s="585"/>
      <c r="C1200" s="586" t="s">
        <v>590</v>
      </c>
      <c r="D1200" s="133" t="s">
        <v>600</v>
      </c>
      <c r="E1200" s="587" t="str">
        <f>" - "&amp;'Giá Máy'!E29</f>
        <v xml:space="preserve"> - Máy ủi 110CV</v>
      </c>
      <c r="F1200" s="585" t="str">
        <f>'Giá Máy'!F29</f>
        <v>ca</v>
      </c>
      <c r="G1200" s="588">
        <f>PTVT!G589</f>
        <v>0.21</v>
      </c>
      <c r="H1200" s="589">
        <f>'Giá Máy'!O29</f>
        <v>1819307.232857143</v>
      </c>
      <c r="I1200" s="603">
        <f>'5.Tiên lượng'!X149</f>
        <v>1</v>
      </c>
      <c r="J1200" s="589">
        <f t="shared" si="78"/>
        <v>382054.51890000002</v>
      </c>
    </row>
    <row r="1201" spans="1:10">
      <c r="A1201" s="584"/>
      <c r="B1201" s="585"/>
      <c r="C1201" s="586" t="s">
        <v>590</v>
      </c>
      <c r="D1201" s="133" t="s">
        <v>611</v>
      </c>
      <c r="E1201" s="587" t="s">
        <v>612</v>
      </c>
      <c r="F1201" s="585" t="s">
        <v>37</v>
      </c>
      <c r="G1201" s="588">
        <f>PTVT!G590</f>
        <v>1.5</v>
      </c>
      <c r="H1201" s="589">
        <f>IF('5.Tiên lượng'!X149&lt;&gt;0,SUM(J1199:J1200)/100/'5.Tiên lượng'!X149,0)</f>
        <v>8060.3442209999994</v>
      </c>
      <c r="I1201" s="603">
        <f>'5.Tiên lượng'!X149</f>
        <v>1</v>
      </c>
      <c r="J1201" s="589">
        <f t="shared" si="78"/>
        <v>12090.516331499999</v>
      </c>
    </row>
    <row r="1202" spans="1:10">
      <c r="A1202" s="584"/>
      <c r="B1202" s="585"/>
      <c r="C1202" s="586" t="s">
        <v>590</v>
      </c>
      <c r="D1202" s="133" t="s">
        <v>590</v>
      </c>
      <c r="E1202" s="587" t="s">
        <v>269</v>
      </c>
      <c r="F1202" s="585" t="s">
        <v>270</v>
      </c>
      <c r="G1202" s="590"/>
      <c r="H1202" s="589"/>
      <c r="I1202" s="603"/>
      <c r="J1202" s="589">
        <f>J1195+J1196+J1198</f>
        <v>1195344.6384314999</v>
      </c>
    </row>
    <row r="1203" spans="1:10">
      <c r="A1203" s="584"/>
      <c r="B1203" s="585"/>
      <c r="C1203" s="586" t="s">
        <v>590</v>
      </c>
      <c r="D1203" s="133" t="s">
        <v>590</v>
      </c>
      <c r="E1203" s="587" t="s">
        <v>273</v>
      </c>
      <c r="F1203" s="585" t="s">
        <v>274</v>
      </c>
      <c r="G1203" s="591">
        <f>'Thông tin'!E67</f>
        <v>6.2E-2</v>
      </c>
      <c r="H1203" s="589"/>
      <c r="I1203" s="603"/>
      <c r="J1203" s="589">
        <f>(J1202)*G1203</f>
        <v>74111.367582752995</v>
      </c>
    </row>
    <row r="1204" spans="1:10">
      <c r="A1204" s="584"/>
      <c r="B1204" s="585"/>
      <c r="C1204" s="586" t="s">
        <v>590</v>
      </c>
      <c r="D1204" s="133" t="s">
        <v>590</v>
      </c>
      <c r="E1204" s="587" t="s">
        <v>276</v>
      </c>
      <c r="F1204" s="585" t="s">
        <v>277</v>
      </c>
      <c r="G1204" s="591">
        <f>'Thông tin'!E60</f>
        <v>2.2000000000000002E-2</v>
      </c>
      <c r="H1204" s="589"/>
      <c r="I1204" s="603"/>
      <c r="J1204" s="589">
        <f>(J1202)*G1204</f>
        <v>26297.582045493</v>
      </c>
    </row>
    <row r="1205" spans="1:10" ht="27.6">
      <c r="A1205" s="584"/>
      <c r="B1205" s="585"/>
      <c r="C1205" s="586" t="s">
        <v>590</v>
      </c>
      <c r="D1205" s="133" t="s">
        <v>590</v>
      </c>
      <c r="E1205" s="587" t="s">
        <v>279</v>
      </c>
      <c r="F1205" s="585" t="s">
        <v>142</v>
      </c>
      <c r="G1205" s="591">
        <f>'Thông tin'!E65</f>
        <v>0.02</v>
      </c>
      <c r="H1205" s="589"/>
      <c r="I1205" s="603"/>
      <c r="J1205" s="589">
        <f>(J1202)*G1205</f>
        <v>23906.892768629998</v>
      </c>
    </row>
    <row r="1206" spans="1:10">
      <c r="A1206" s="584"/>
      <c r="B1206" s="585"/>
      <c r="C1206" s="586" t="s">
        <v>590</v>
      </c>
      <c r="D1206" s="133" t="s">
        <v>590</v>
      </c>
      <c r="E1206" s="587" t="s">
        <v>281</v>
      </c>
      <c r="F1206" s="585" t="s">
        <v>282</v>
      </c>
      <c r="G1206" s="590"/>
      <c r="H1206" s="589"/>
      <c r="I1206" s="603"/>
      <c r="J1206" s="589">
        <f>J1203+J1204+J1205</f>
        <v>124315.84239687599</v>
      </c>
    </row>
    <row r="1207" spans="1:10">
      <c r="A1207" s="584"/>
      <c r="B1207" s="585"/>
      <c r="C1207" s="586" t="s">
        <v>590</v>
      </c>
      <c r="D1207" s="133" t="s">
        <v>590</v>
      </c>
      <c r="E1207" s="587" t="s">
        <v>284</v>
      </c>
      <c r="F1207" s="585" t="s">
        <v>285</v>
      </c>
      <c r="G1207" s="591">
        <f>'Thông tin'!E63</f>
        <v>0.06</v>
      </c>
      <c r="H1207" s="589"/>
      <c r="I1207" s="603"/>
      <c r="J1207" s="589">
        <f>(J1202+J1206)*G1207</f>
        <v>79179.628849702553</v>
      </c>
    </row>
    <row r="1208" spans="1:10">
      <c r="A1208" s="584"/>
      <c r="B1208" s="585"/>
      <c r="C1208" s="586" t="s">
        <v>590</v>
      </c>
      <c r="D1208" s="133" t="s">
        <v>590</v>
      </c>
      <c r="E1208" s="592" t="s">
        <v>287</v>
      </c>
      <c r="F1208" s="593" t="s">
        <v>288</v>
      </c>
      <c r="G1208" s="590"/>
      <c r="H1208" s="589"/>
      <c r="I1208" s="603"/>
      <c r="J1208" s="604">
        <f>J1202+J1206+J1207</f>
        <v>1398840.1096780787</v>
      </c>
    </row>
    <row r="1209" spans="1:10">
      <c r="A1209" s="584"/>
      <c r="B1209" s="585"/>
      <c r="C1209" s="586" t="s">
        <v>590</v>
      </c>
      <c r="D1209" s="133" t="s">
        <v>590</v>
      </c>
      <c r="E1209" s="587" t="s">
        <v>290</v>
      </c>
      <c r="F1209" s="585" t="s">
        <v>291</v>
      </c>
      <c r="G1209" s="591">
        <f>'Thông tin'!E61</f>
        <v>0.1</v>
      </c>
      <c r="H1209" s="589"/>
      <c r="I1209" s="603"/>
      <c r="J1209" s="589">
        <f>(J1208)*G1209</f>
        <v>139884.01096780787</v>
      </c>
    </row>
    <row r="1210" spans="1:10">
      <c r="A1210" s="594"/>
      <c r="B1210" s="595"/>
      <c r="C1210" s="596" t="s">
        <v>590</v>
      </c>
      <c r="D1210" s="137" t="s">
        <v>590</v>
      </c>
      <c r="E1210" s="597" t="s">
        <v>293</v>
      </c>
      <c r="F1210" s="598" t="s">
        <v>19</v>
      </c>
      <c r="G1210" s="599"/>
      <c r="H1210" s="600"/>
      <c r="I1210" s="605"/>
      <c r="J1210" s="606">
        <f>J1208+J1209</f>
        <v>1538724.1206458865</v>
      </c>
    </row>
    <row r="1211" spans="1:10">
      <c r="A1211" s="572"/>
      <c r="B1211" s="573"/>
      <c r="C1211" s="574" t="s">
        <v>339</v>
      </c>
      <c r="D1211" s="117" t="s">
        <v>339</v>
      </c>
      <c r="E1211" s="575" t="s">
        <v>503</v>
      </c>
      <c r="F1211" s="573"/>
      <c r="G1211" s="576"/>
      <c r="H1211" s="577"/>
      <c r="I1211" s="601"/>
      <c r="J1211" s="577" t="s">
        <v>597</v>
      </c>
    </row>
    <row r="1212" spans="1:10">
      <c r="A1212" s="578"/>
      <c r="B1212" s="579">
        <v>66</v>
      </c>
      <c r="C1212" s="578" t="str">
        <f>'5.Tiên lượng'!C152</f>
        <v>AF.13211</v>
      </c>
      <c r="D1212" s="578" t="str">
        <f>'5.Tiên lượng'!C152</f>
        <v>AF.13211</v>
      </c>
      <c r="E1212" s="580" t="str">
        <f>'5.Tiên lượng'!D152</f>
        <v>BTXM rãnh dọc, M150, đá 1x2, PCB40</v>
      </c>
      <c r="F1212" s="579" t="str">
        <f>'5.Tiên lượng'!E152</f>
        <v>m3</v>
      </c>
      <c r="G1212" s="581"/>
      <c r="H1212" s="582"/>
      <c r="I1212" s="602"/>
      <c r="J1212" s="582"/>
    </row>
    <row r="1213" spans="1:10">
      <c r="A1213" s="126"/>
      <c r="B1213" s="127"/>
      <c r="C1213" s="128" t="s">
        <v>590</v>
      </c>
      <c r="D1213" s="128" t="s">
        <v>590</v>
      </c>
      <c r="E1213" s="583" t="s">
        <v>262</v>
      </c>
      <c r="F1213" s="127" t="s">
        <v>263</v>
      </c>
      <c r="G1213" s="130"/>
      <c r="H1213" s="131"/>
      <c r="I1213" s="143"/>
      <c r="J1213" s="131">
        <f>SUM(J1214:J1218)</f>
        <v>1062670.2273051951</v>
      </c>
    </row>
    <row r="1214" spans="1:10">
      <c r="A1214" s="584"/>
      <c r="B1214" s="585"/>
      <c r="C1214" s="586" t="s">
        <v>590</v>
      </c>
      <c r="D1214" s="133" t="s">
        <v>614</v>
      </c>
      <c r="E1214" s="587" t="str">
        <f>" - "&amp;'Giá VL'!E45</f>
        <v xml:space="preserve"> - Xi măng PCB40</v>
      </c>
      <c r="F1214" s="585" t="str">
        <f>'Giá VL'!F45</f>
        <v>kg</v>
      </c>
      <c r="G1214" s="588">
        <f>PTVT!G594</f>
        <v>222.42500000000001</v>
      </c>
      <c r="H1214" s="589">
        <f>'Giá VL'!V45</f>
        <v>1730</v>
      </c>
      <c r="I1214" s="603">
        <f>'5.Tiên lượng'!V152</f>
        <v>1</v>
      </c>
      <c r="J1214" s="589">
        <f t="shared" ref="J1214:J1218" si="79">PRODUCT(G1214,H1214,I1214)</f>
        <v>384795.25</v>
      </c>
    </row>
    <row r="1215" spans="1:10">
      <c r="A1215" s="584"/>
      <c r="B1215" s="585"/>
      <c r="C1215" s="586" t="s">
        <v>590</v>
      </c>
      <c r="D1215" s="133" t="s">
        <v>615</v>
      </c>
      <c r="E1215" s="587" t="str">
        <f>" - "&amp;'Giá VL'!E17</f>
        <v xml:space="preserve"> - Cát vàng</v>
      </c>
      <c r="F1215" s="585" t="str">
        <f>'Giá VL'!F17</f>
        <v>m3</v>
      </c>
      <c r="G1215" s="588">
        <f>PTVT!G595</f>
        <v>0.55247500000000005</v>
      </c>
      <c r="H1215" s="589">
        <f>'Giá VL'!V17</f>
        <v>659026.49526849983</v>
      </c>
      <c r="I1215" s="603">
        <f>'5.Tiên lượng'!V152</f>
        <v>1</v>
      </c>
      <c r="J1215" s="589">
        <f t="shared" si="79"/>
        <v>364095.66297346447</v>
      </c>
    </row>
    <row r="1216" spans="1:10">
      <c r="A1216" s="584"/>
      <c r="B1216" s="585"/>
      <c r="C1216" s="586" t="s">
        <v>590</v>
      </c>
      <c r="D1216" s="133" t="s">
        <v>659</v>
      </c>
      <c r="E1216" s="587" t="str">
        <f>" - "&amp;'Giá VL'!E18</f>
        <v xml:space="preserve"> - Đá 1x2</v>
      </c>
      <c r="F1216" s="585" t="str">
        <f>'Giá VL'!F18</f>
        <v>m3</v>
      </c>
      <c r="G1216" s="588">
        <f>PTVT!G596</f>
        <v>0.90917499999999996</v>
      </c>
      <c r="H1216" s="589">
        <f>'Giá VL'!V18</f>
        <v>330458.0547558713</v>
      </c>
      <c r="I1216" s="603">
        <f>'5.Tiên lượng'!V152</f>
        <v>1</v>
      </c>
      <c r="J1216" s="589">
        <f t="shared" si="79"/>
        <v>300444.20193266927</v>
      </c>
    </row>
    <row r="1217" spans="1:10">
      <c r="A1217" s="584"/>
      <c r="B1217" s="585"/>
      <c r="C1217" s="586" t="s">
        <v>590</v>
      </c>
      <c r="D1217" s="133" t="s">
        <v>617</v>
      </c>
      <c r="E1217" s="587" t="str">
        <f>" - "&amp;'Giá VL'!E33</f>
        <v xml:space="preserve"> - Nước</v>
      </c>
      <c r="F1217" s="585" t="str">
        <f>'Giá VL'!F33</f>
        <v>lít</v>
      </c>
      <c r="G1217" s="588">
        <f>PTVT!G597</f>
        <v>187.57499999999999</v>
      </c>
      <c r="H1217" s="589">
        <f>'Giá VL'!V33</f>
        <v>15</v>
      </c>
      <c r="I1217" s="603">
        <f>'5.Tiên lượng'!V152</f>
        <v>1</v>
      </c>
      <c r="J1217" s="589">
        <f t="shared" si="79"/>
        <v>2813.625</v>
      </c>
    </row>
    <row r="1218" spans="1:10">
      <c r="A1218" s="584"/>
      <c r="B1218" s="585"/>
      <c r="C1218" s="586" t="s">
        <v>590</v>
      </c>
      <c r="D1218" s="133" t="s">
        <v>620</v>
      </c>
      <c r="E1218" s="587" t="s">
        <v>621</v>
      </c>
      <c r="F1218" s="585" t="s">
        <v>37</v>
      </c>
      <c r="G1218" s="588">
        <f>PTVT!G598</f>
        <v>1</v>
      </c>
      <c r="H1218" s="589">
        <f>IF('5.Tiên lượng'!V152&lt;&gt;0,SUM(J1214:J1217)/100/'5.Tiên lượng'!V152,0)</f>
        <v>10521.487399061336</v>
      </c>
      <c r="I1218" s="603">
        <f>'5.Tiên lượng'!V152</f>
        <v>1</v>
      </c>
      <c r="J1218" s="589">
        <f t="shared" si="79"/>
        <v>10521.487399061336</v>
      </c>
    </row>
    <row r="1219" spans="1:10">
      <c r="A1219" s="126"/>
      <c r="B1219" s="127"/>
      <c r="C1219" s="128" t="s">
        <v>590</v>
      </c>
      <c r="D1219" s="128" t="s">
        <v>590</v>
      </c>
      <c r="E1219" s="583" t="s">
        <v>265</v>
      </c>
      <c r="F1219" s="127" t="s">
        <v>266</v>
      </c>
      <c r="G1219" s="130"/>
      <c r="H1219" s="131"/>
      <c r="I1219" s="143"/>
      <c r="J1219" s="131">
        <f>SUM(J1220:J1220)</f>
        <v>448200</v>
      </c>
    </row>
    <row r="1220" spans="1:10">
      <c r="A1220" s="584"/>
      <c r="B1220" s="585"/>
      <c r="C1220" s="586" t="s">
        <v>590</v>
      </c>
      <c r="D1220" s="133" t="s">
        <v>622</v>
      </c>
      <c r="E1220" s="587" t="str">
        <f>" - "&amp;'Giá NC'!E9</f>
        <v xml:space="preserve"> - Nhân công bậc 3,5/7 - Nhóm 2</v>
      </c>
      <c r="F1220" s="585" t="str">
        <f>'Giá NC'!F9</f>
        <v>công</v>
      </c>
      <c r="G1220" s="588">
        <f>PTVT!G600</f>
        <v>1.66</v>
      </c>
      <c r="H1220" s="589">
        <f>'Giá NC'!K9</f>
        <v>270000</v>
      </c>
      <c r="I1220" s="603">
        <f>'5.Tiên lượng'!W152</f>
        <v>1</v>
      </c>
      <c r="J1220" s="589">
        <f>PRODUCT(G1220,H1220,I1220)</f>
        <v>448200</v>
      </c>
    </row>
    <row r="1221" spans="1:10">
      <c r="A1221" s="126"/>
      <c r="B1221" s="127"/>
      <c r="C1221" s="128" t="s">
        <v>590</v>
      </c>
      <c r="D1221" s="128" t="s">
        <v>590</v>
      </c>
      <c r="E1221" s="583" t="s">
        <v>267</v>
      </c>
      <c r="F1221" s="127" t="s">
        <v>268</v>
      </c>
      <c r="G1221" s="130"/>
      <c r="H1221" s="131"/>
      <c r="I1221" s="143"/>
      <c r="J1221" s="131">
        <f>SUM(J1222:J1223)</f>
        <v>56032.926787260003</v>
      </c>
    </row>
    <row r="1222" spans="1:10">
      <c r="A1222" s="584"/>
      <c r="B1222" s="585"/>
      <c r="C1222" s="586" t="s">
        <v>590</v>
      </c>
      <c r="D1222" s="133" t="s">
        <v>623</v>
      </c>
      <c r="E1222" s="587" t="str">
        <f>" - "&amp;'Giá Máy'!E27</f>
        <v xml:space="preserve"> - Máy trộn bê tông 250 lít</v>
      </c>
      <c r="F1222" s="585" t="str">
        <f>'Giá Máy'!F27</f>
        <v>ca</v>
      </c>
      <c r="G1222" s="588">
        <f>PTVT!G602</f>
        <v>9.5000000000000001E-2</v>
      </c>
      <c r="H1222" s="589">
        <f>'Giá Máy'!O27</f>
        <v>326305.98864499998</v>
      </c>
      <c r="I1222" s="603">
        <f>'5.Tiên lượng'!X152</f>
        <v>1</v>
      </c>
      <c r="J1222" s="589">
        <f t="shared" ref="J1222:J1223" si="80">PRODUCT(G1222,H1222,I1222)</f>
        <v>30999.068921274997</v>
      </c>
    </row>
    <row r="1223" spans="1:10">
      <c r="A1223" s="584"/>
      <c r="B1223" s="585"/>
      <c r="C1223" s="586" t="s">
        <v>590</v>
      </c>
      <c r="D1223" s="133" t="s">
        <v>625</v>
      </c>
      <c r="E1223" s="587" t="str">
        <f>" - "&amp;'Giá Máy'!E12</f>
        <v xml:space="preserve"> - Máy đầm dùi 1,5kW</v>
      </c>
      <c r="F1223" s="585" t="str">
        <f>'Giá Máy'!F12</f>
        <v>ca</v>
      </c>
      <c r="G1223" s="588">
        <f>PTVT!G603</f>
        <v>8.8999999999999996E-2</v>
      </c>
      <c r="H1223" s="589">
        <f>'Giá Máy'!O12</f>
        <v>281279.30186500004</v>
      </c>
      <c r="I1223" s="603">
        <f>'5.Tiên lượng'!X152</f>
        <v>1</v>
      </c>
      <c r="J1223" s="589">
        <f t="shared" si="80"/>
        <v>25033.857865985003</v>
      </c>
    </row>
    <row r="1224" spans="1:10">
      <c r="A1224" s="584"/>
      <c r="B1224" s="585"/>
      <c r="C1224" s="586" t="s">
        <v>590</v>
      </c>
      <c r="D1224" s="133" t="s">
        <v>590</v>
      </c>
      <c r="E1224" s="587" t="s">
        <v>269</v>
      </c>
      <c r="F1224" s="585" t="s">
        <v>270</v>
      </c>
      <c r="G1224" s="590"/>
      <c r="H1224" s="589"/>
      <c r="I1224" s="603"/>
      <c r="J1224" s="589">
        <f>J1213+J1219+J1221</f>
        <v>1566903.154092455</v>
      </c>
    </row>
    <row r="1225" spans="1:10">
      <c r="A1225" s="584"/>
      <c r="B1225" s="585"/>
      <c r="C1225" s="586" t="s">
        <v>590</v>
      </c>
      <c r="D1225" s="133" t="s">
        <v>590</v>
      </c>
      <c r="E1225" s="587" t="s">
        <v>273</v>
      </c>
      <c r="F1225" s="585" t="s">
        <v>274</v>
      </c>
      <c r="G1225" s="591">
        <f>'Thông tin'!E67</f>
        <v>6.2E-2</v>
      </c>
      <c r="H1225" s="589"/>
      <c r="I1225" s="603"/>
      <c r="J1225" s="589">
        <f>(J1224)*G1225</f>
        <v>97147.995553732209</v>
      </c>
    </row>
    <row r="1226" spans="1:10">
      <c r="A1226" s="584"/>
      <c r="B1226" s="585"/>
      <c r="C1226" s="586" t="s">
        <v>590</v>
      </c>
      <c r="D1226" s="133" t="s">
        <v>590</v>
      </c>
      <c r="E1226" s="587" t="s">
        <v>276</v>
      </c>
      <c r="F1226" s="585" t="s">
        <v>277</v>
      </c>
      <c r="G1226" s="591">
        <f>'Thông tin'!E60</f>
        <v>2.2000000000000002E-2</v>
      </c>
      <c r="H1226" s="589"/>
      <c r="I1226" s="603"/>
      <c r="J1226" s="589">
        <f>(J1224)*G1226</f>
        <v>34471.869390034015</v>
      </c>
    </row>
    <row r="1227" spans="1:10" ht="27.6">
      <c r="A1227" s="584"/>
      <c r="B1227" s="585"/>
      <c r="C1227" s="586" t="s">
        <v>590</v>
      </c>
      <c r="D1227" s="133" t="s">
        <v>590</v>
      </c>
      <c r="E1227" s="587" t="s">
        <v>279</v>
      </c>
      <c r="F1227" s="585" t="s">
        <v>142</v>
      </c>
      <c r="G1227" s="591">
        <f>'Thông tin'!E65</f>
        <v>0.02</v>
      </c>
      <c r="H1227" s="589"/>
      <c r="I1227" s="603"/>
      <c r="J1227" s="589">
        <f>(J1224)*G1227</f>
        <v>31338.063081849101</v>
      </c>
    </row>
    <row r="1228" spans="1:10">
      <c r="A1228" s="584"/>
      <c r="B1228" s="585"/>
      <c r="C1228" s="586" t="s">
        <v>590</v>
      </c>
      <c r="D1228" s="133" t="s">
        <v>590</v>
      </c>
      <c r="E1228" s="587" t="s">
        <v>281</v>
      </c>
      <c r="F1228" s="585" t="s">
        <v>282</v>
      </c>
      <c r="G1228" s="590"/>
      <c r="H1228" s="589"/>
      <c r="I1228" s="603"/>
      <c r="J1228" s="589">
        <f>J1225+J1226+J1227</f>
        <v>162957.92802561531</v>
      </c>
    </row>
    <row r="1229" spans="1:10">
      <c r="A1229" s="584"/>
      <c r="B1229" s="585"/>
      <c r="C1229" s="586" t="s">
        <v>590</v>
      </c>
      <c r="D1229" s="133" t="s">
        <v>590</v>
      </c>
      <c r="E1229" s="587" t="s">
        <v>284</v>
      </c>
      <c r="F1229" s="585" t="s">
        <v>285</v>
      </c>
      <c r="G1229" s="591">
        <f>'Thông tin'!E63</f>
        <v>0.06</v>
      </c>
      <c r="H1229" s="589"/>
      <c r="I1229" s="603"/>
      <c r="J1229" s="589">
        <f>(J1224+J1228)*G1229</f>
        <v>103791.66492708422</v>
      </c>
    </row>
    <row r="1230" spans="1:10">
      <c r="A1230" s="584"/>
      <c r="B1230" s="585"/>
      <c r="C1230" s="586" t="s">
        <v>590</v>
      </c>
      <c r="D1230" s="133" t="s">
        <v>590</v>
      </c>
      <c r="E1230" s="592" t="s">
        <v>287</v>
      </c>
      <c r="F1230" s="593" t="s">
        <v>288</v>
      </c>
      <c r="G1230" s="590"/>
      <c r="H1230" s="589"/>
      <c r="I1230" s="603"/>
      <c r="J1230" s="604">
        <f>J1224+J1228+J1229</f>
        <v>1833652.7470451547</v>
      </c>
    </row>
    <row r="1231" spans="1:10">
      <c r="A1231" s="584"/>
      <c r="B1231" s="585"/>
      <c r="C1231" s="586" t="s">
        <v>590</v>
      </c>
      <c r="D1231" s="133" t="s">
        <v>590</v>
      </c>
      <c r="E1231" s="587" t="s">
        <v>290</v>
      </c>
      <c r="F1231" s="585" t="s">
        <v>291</v>
      </c>
      <c r="G1231" s="591">
        <f>'Thông tin'!E61</f>
        <v>0.1</v>
      </c>
      <c r="H1231" s="589"/>
      <c r="I1231" s="603"/>
      <c r="J1231" s="589">
        <f>(J1230)*G1231</f>
        <v>183365.27470451547</v>
      </c>
    </row>
    <row r="1232" spans="1:10">
      <c r="A1232" s="594"/>
      <c r="B1232" s="595"/>
      <c r="C1232" s="596" t="s">
        <v>590</v>
      </c>
      <c r="D1232" s="137" t="s">
        <v>590</v>
      </c>
      <c r="E1232" s="597" t="s">
        <v>293</v>
      </c>
      <c r="F1232" s="598" t="s">
        <v>19</v>
      </c>
      <c r="G1232" s="599"/>
      <c r="H1232" s="600"/>
      <c r="I1232" s="605"/>
      <c r="J1232" s="606">
        <f>J1230+J1231</f>
        <v>2017018.0217496702</v>
      </c>
    </row>
    <row r="1233" spans="1:10">
      <c r="A1233" s="578"/>
      <c r="B1233" s="579">
        <v>67</v>
      </c>
      <c r="C1233" s="578" t="str">
        <f>'5.Tiên lượng'!C154</f>
        <v>AL.16201</v>
      </c>
      <c r="D1233" s="578" t="str">
        <f>'5.Tiên lượng'!C154</f>
        <v>AL.16201</v>
      </c>
      <c r="E1233" s="580" t="str">
        <f>'5.Tiên lượng'!D154</f>
        <v>Ni lông chống thấm</v>
      </c>
      <c r="F1233" s="579" t="str">
        <f>'5.Tiên lượng'!E154</f>
        <v>100m2</v>
      </c>
      <c r="G1233" s="581"/>
      <c r="H1233" s="582"/>
      <c r="I1233" s="602"/>
      <c r="J1233" s="582"/>
    </row>
    <row r="1234" spans="1:10">
      <c r="A1234" s="126"/>
      <c r="B1234" s="127"/>
      <c r="C1234" s="128" t="s">
        <v>590</v>
      </c>
      <c r="D1234" s="128" t="s">
        <v>590</v>
      </c>
      <c r="E1234" s="583" t="s">
        <v>262</v>
      </c>
      <c r="F1234" s="127" t="s">
        <v>263</v>
      </c>
      <c r="G1234" s="130"/>
      <c r="H1234" s="131"/>
      <c r="I1234" s="143"/>
      <c r="J1234" s="131">
        <f>SUM(J1235:J1236)</f>
        <v>220440</v>
      </c>
    </row>
    <row r="1235" spans="1:10">
      <c r="A1235" s="584"/>
      <c r="B1235" s="585"/>
      <c r="C1235" s="586" t="s">
        <v>590</v>
      </c>
      <c r="D1235" s="133" t="s">
        <v>626</v>
      </c>
      <c r="E1235" s="587" t="str">
        <f>" - "&amp;'Giá VL'!E24</f>
        <v xml:space="preserve"> - Ni Lông</v>
      </c>
      <c r="F1235" s="585" t="str">
        <f>'Giá VL'!F24</f>
        <v>m2</v>
      </c>
      <c r="G1235" s="588">
        <f>PTVT!G606</f>
        <v>110</v>
      </c>
      <c r="H1235" s="589">
        <f>'Giá VL'!V24</f>
        <v>2000</v>
      </c>
      <c r="I1235" s="603">
        <f>'5.Tiên lượng'!V154</f>
        <v>1</v>
      </c>
      <c r="J1235" s="589">
        <f t="shared" ref="J1235:J1236" si="81">PRODUCT(G1235,H1235,I1235)</f>
        <v>220000</v>
      </c>
    </row>
    <row r="1236" spans="1:10">
      <c r="A1236" s="584"/>
      <c r="B1236" s="585"/>
      <c r="C1236" s="586" t="s">
        <v>590</v>
      </c>
      <c r="D1236" s="133" t="s">
        <v>620</v>
      </c>
      <c r="E1236" s="587" t="s">
        <v>621</v>
      </c>
      <c r="F1236" s="585" t="s">
        <v>37</v>
      </c>
      <c r="G1236" s="588">
        <f>PTVT!G607</f>
        <v>0.2</v>
      </c>
      <c r="H1236" s="589">
        <f>IF('5.Tiên lượng'!V154&lt;&gt;0,SUM(J1235:J1235)/100/'5.Tiên lượng'!V154,0)</f>
        <v>2200</v>
      </c>
      <c r="I1236" s="603">
        <f>'5.Tiên lượng'!V154</f>
        <v>1</v>
      </c>
      <c r="J1236" s="589">
        <f t="shared" si="81"/>
        <v>440</v>
      </c>
    </row>
    <row r="1237" spans="1:10">
      <c r="A1237" s="126"/>
      <c r="B1237" s="127"/>
      <c r="C1237" s="128" t="s">
        <v>590</v>
      </c>
      <c r="D1237" s="128" t="s">
        <v>590</v>
      </c>
      <c r="E1237" s="583" t="s">
        <v>265</v>
      </c>
      <c r="F1237" s="127" t="s">
        <v>266</v>
      </c>
      <c r="G1237" s="130"/>
      <c r="H1237" s="131"/>
      <c r="I1237" s="143"/>
      <c r="J1237" s="131">
        <f>SUM(J1238:J1238)</f>
        <v>40500</v>
      </c>
    </row>
    <row r="1238" spans="1:10">
      <c r="A1238" s="584"/>
      <c r="B1238" s="585"/>
      <c r="C1238" s="586" t="s">
        <v>590</v>
      </c>
      <c r="D1238" s="133" t="s">
        <v>622</v>
      </c>
      <c r="E1238" s="587" t="str">
        <f>" - "&amp;'Giá NC'!E9</f>
        <v xml:space="preserve"> - Nhân công bậc 3,5/7 - Nhóm 2</v>
      </c>
      <c r="F1238" s="585" t="str">
        <f>'Giá NC'!F9</f>
        <v>công</v>
      </c>
      <c r="G1238" s="588">
        <f>PTVT!G609</f>
        <v>0.15</v>
      </c>
      <c r="H1238" s="589">
        <f>'Giá NC'!K9</f>
        <v>270000</v>
      </c>
      <c r="I1238" s="603">
        <f>'5.Tiên lượng'!W154</f>
        <v>1</v>
      </c>
      <c r="J1238" s="589">
        <f>PRODUCT(G1238,H1238,I1238)</f>
        <v>40500</v>
      </c>
    </row>
    <row r="1239" spans="1:10">
      <c r="A1239" s="126"/>
      <c r="B1239" s="127"/>
      <c r="C1239" s="128" t="s">
        <v>590</v>
      </c>
      <c r="D1239" s="128" t="s">
        <v>590</v>
      </c>
      <c r="E1239" s="583" t="s">
        <v>267</v>
      </c>
      <c r="F1239" s="127" t="s">
        <v>268</v>
      </c>
      <c r="G1239" s="130"/>
      <c r="H1239" s="131"/>
      <c r="I1239" s="143"/>
      <c r="J1239" s="131">
        <v>0</v>
      </c>
    </row>
    <row r="1240" spans="1:10">
      <c r="A1240" s="584"/>
      <c r="B1240" s="585"/>
      <c r="C1240" s="586" t="s">
        <v>590</v>
      </c>
      <c r="D1240" s="133" t="s">
        <v>590</v>
      </c>
      <c r="E1240" s="587" t="s">
        <v>269</v>
      </c>
      <c r="F1240" s="585" t="s">
        <v>270</v>
      </c>
      <c r="G1240" s="590"/>
      <c r="H1240" s="589"/>
      <c r="I1240" s="603"/>
      <c r="J1240" s="589">
        <f>J1234+J1237+J1239</f>
        <v>260940</v>
      </c>
    </row>
    <row r="1241" spans="1:10">
      <c r="A1241" s="584"/>
      <c r="B1241" s="585"/>
      <c r="C1241" s="586" t="s">
        <v>590</v>
      </c>
      <c r="D1241" s="133" t="s">
        <v>590</v>
      </c>
      <c r="E1241" s="587" t="s">
        <v>273</v>
      </c>
      <c r="F1241" s="585" t="s">
        <v>274</v>
      </c>
      <c r="G1241" s="591">
        <f>'Thông tin'!E67</f>
        <v>6.2E-2</v>
      </c>
      <c r="H1241" s="589"/>
      <c r="I1241" s="603"/>
      <c r="J1241" s="589">
        <f>(J1240)*G1241</f>
        <v>16178.28</v>
      </c>
    </row>
    <row r="1242" spans="1:10">
      <c r="A1242" s="584"/>
      <c r="B1242" s="585"/>
      <c r="C1242" s="586" t="s">
        <v>590</v>
      </c>
      <c r="D1242" s="133" t="s">
        <v>590</v>
      </c>
      <c r="E1242" s="587" t="s">
        <v>276</v>
      </c>
      <c r="F1242" s="585" t="s">
        <v>277</v>
      </c>
      <c r="G1242" s="591">
        <f>'Thông tin'!E60</f>
        <v>2.2000000000000002E-2</v>
      </c>
      <c r="H1242" s="589"/>
      <c r="I1242" s="603"/>
      <c r="J1242" s="589">
        <f>(J1240)*G1242</f>
        <v>5740.68</v>
      </c>
    </row>
    <row r="1243" spans="1:10" ht="27.6">
      <c r="A1243" s="584"/>
      <c r="B1243" s="585"/>
      <c r="C1243" s="586" t="s">
        <v>590</v>
      </c>
      <c r="D1243" s="133" t="s">
        <v>590</v>
      </c>
      <c r="E1243" s="587" t="s">
        <v>279</v>
      </c>
      <c r="F1243" s="585" t="s">
        <v>142</v>
      </c>
      <c r="G1243" s="591">
        <f>'Thông tin'!E65</f>
        <v>0.02</v>
      </c>
      <c r="H1243" s="589"/>
      <c r="I1243" s="603"/>
      <c r="J1243" s="589">
        <f>(J1240)*G1243</f>
        <v>5218.8</v>
      </c>
    </row>
    <row r="1244" spans="1:10">
      <c r="A1244" s="584"/>
      <c r="B1244" s="585"/>
      <c r="C1244" s="586" t="s">
        <v>590</v>
      </c>
      <c r="D1244" s="133" t="s">
        <v>590</v>
      </c>
      <c r="E1244" s="587" t="s">
        <v>281</v>
      </c>
      <c r="F1244" s="585" t="s">
        <v>282</v>
      </c>
      <c r="G1244" s="590"/>
      <c r="H1244" s="589"/>
      <c r="I1244" s="603"/>
      <c r="J1244" s="589">
        <f>J1241+J1242+J1243</f>
        <v>27137.759999999998</v>
      </c>
    </row>
    <row r="1245" spans="1:10">
      <c r="A1245" s="584"/>
      <c r="B1245" s="585"/>
      <c r="C1245" s="586" t="s">
        <v>590</v>
      </c>
      <c r="D1245" s="133" t="s">
        <v>590</v>
      </c>
      <c r="E1245" s="587" t="s">
        <v>284</v>
      </c>
      <c r="F1245" s="585" t="s">
        <v>285</v>
      </c>
      <c r="G1245" s="591">
        <f>'Thông tin'!E63</f>
        <v>0.06</v>
      </c>
      <c r="H1245" s="589"/>
      <c r="I1245" s="603"/>
      <c r="J1245" s="589">
        <f>(J1240+J1244)*G1245</f>
        <v>17284.6656</v>
      </c>
    </row>
    <row r="1246" spans="1:10">
      <c r="A1246" s="584"/>
      <c r="B1246" s="585"/>
      <c r="C1246" s="586" t="s">
        <v>590</v>
      </c>
      <c r="D1246" s="133" t="s">
        <v>590</v>
      </c>
      <c r="E1246" s="592" t="s">
        <v>287</v>
      </c>
      <c r="F1246" s="593" t="s">
        <v>288</v>
      </c>
      <c r="G1246" s="590"/>
      <c r="H1246" s="589"/>
      <c r="I1246" s="603"/>
      <c r="J1246" s="604">
        <f>J1240+J1244+J1245</f>
        <v>305362.42560000002</v>
      </c>
    </row>
    <row r="1247" spans="1:10">
      <c r="A1247" s="584"/>
      <c r="B1247" s="585"/>
      <c r="C1247" s="586" t="s">
        <v>590</v>
      </c>
      <c r="D1247" s="133" t="s">
        <v>590</v>
      </c>
      <c r="E1247" s="587" t="s">
        <v>290</v>
      </c>
      <c r="F1247" s="585" t="s">
        <v>291</v>
      </c>
      <c r="G1247" s="591">
        <f>'Thông tin'!E61</f>
        <v>0.1</v>
      </c>
      <c r="H1247" s="589"/>
      <c r="I1247" s="603"/>
      <c r="J1247" s="589">
        <f>(J1246)*G1247</f>
        <v>30536.242560000002</v>
      </c>
    </row>
    <row r="1248" spans="1:10">
      <c r="A1248" s="594"/>
      <c r="B1248" s="595"/>
      <c r="C1248" s="596" t="s">
        <v>590</v>
      </c>
      <c r="D1248" s="137" t="s">
        <v>590</v>
      </c>
      <c r="E1248" s="597" t="s">
        <v>293</v>
      </c>
      <c r="F1248" s="598" t="s">
        <v>19</v>
      </c>
      <c r="G1248" s="599"/>
      <c r="H1248" s="600"/>
      <c r="I1248" s="605"/>
      <c r="J1248" s="606">
        <f>J1246+J1247</f>
        <v>335898.66816</v>
      </c>
    </row>
    <row r="1249" spans="1:10">
      <c r="A1249" s="578"/>
      <c r="B1249" s="579">
        <v>68</v>
      </c>
      <c r="C1249" s="578" t="str">
        <f>'5.Tiên lượng'!C156</f>
        <v>AK.98110</v>
      </c>
      <c r="D1249" s="578" t="str">
        <f>'5.Tiên lượng'!C156</f>
        <v>AK.98110</v>
      </c>
      <c r="E1249" s="580" t="str">
        <f>'5.Tiên lượng'!D156</f>
        <v>Cấp phối đá dăm đệm móng, dày 5cm</v>
      </c>
      <c r="F1249" s="579" t="str">
        <f>'5.Tiên lượng'!E156</f>
        <v>m3</v>
      </c>
      <c r="G1249" s="581"/>
      <c r="H1249" s="582"/>
      <c r="I1249" s="602"/>
      <c r="J1249" s="582"/>
    </row>
    <row r="1250" spans="1:10">
      <c r="A1250" s="126"/>
      <c r="B1250" s="127"/>
      <c r="C1250" s="128" t="s">
        <v>590</v>
      </c>
      <c r="D1250" s="128" t="s">
        <v>590</v>
      </c>
      <c r="E1250" s="583" t="s">
        <v>262</v>
      </c>
      <c r="F1250" s="127" t="s">
        <v>263</v>
      </c>
      <c r="G1250" s="130"/>
      <c r="H1250" s="131"/>
      <c r="I1250" s="143"/>
      <c r="J1250" s="131">
        <f>SUM(J1251:J1252)</f>
        <v>495257.6142875955</v>
      </c>
    </row>
    <row r="1251" spans="1:10">
      <c r="A1251" s="584"/>
      <c r="B1251" s="585"/>
      <c r="C1251" s="586" t="s">
        <v>590</v>
      </c>
      <c r="D1251" s="133" t="s">
        <v>653</v>
      </c>
      <c r="E1251" s="587" t="str">
        <f>" - "&amp;'Giá VL'!E20</f>
        <v xml:space="preserve"> - Đá cấp phối dmax ≤ 4</v>
      </c>
      <c r="F1251" s="585" t="str">
        <f>'Giá VL'!F20</f>
        <v>m3</v>
      </c>
      <c r="G1251" s="588">
        <f>PTVT!G612</f>
        <v>1.2</v>
      </c>
      <c r="H1251" s="589">
        <f>'Giá VL'!V20</f>
        <v>330458.0547558713</v>
      </c>
      <c r="I1251" s="603">
        <f>'5.Tiên lượng'!V156</f>
        <v>1</v>
      </c>
      <c r="J1251" s="589">
        <f t="shared" ref="J1251:J1252" si="82">PRODUCT(G1251,H1251,I1251)</f>
        <v>396549.66570704553</v>
      </c>
    </row>
    <row r="1252" spans="1:10">
      <c r="A1252" s="584"/>
      <c r="B1252" s="585"/>
      <c r="C1252" s="586" t="s">
        <v>590</v>
      </c>
      <c r="D1252" s="133" t="s">
        <v>654</v>
      </c>
      <c r="E1252" s="587" t="str">
        <f>" - "&amp;'Giá VL'!E14</f>
        <v xml:space="preserve"> - Cát</v>
      </c>
      <c r="F1252" s="585" t="str">
        <f>'Giá VL'!F14</f>
        <v>m3</v>
      </c>
      <c r="G1252" s="588">
        <f>PTVT!G613</f>
        <v>0.3</v>
      </c>
      <c r="H1252" s="589">
        <f>'Giá VL'!V14</f>
        <v>329026.49526849983</v>
      </c>
      <c r="I1252" s="603">
        <f>'5.Tiên lượng'!V156</f>
        <v>1</v>
      </c>
      <c r="J1252" s="589">
        <f t="shared" si="82"/>
        <v>98707.948580549943</v>
      </c>
    </row>
    <row r="1253" spans="1:10">
      <c r="A1253" s="126"/>
      <c r="B1253" s="127"/>
      <c r="C1253" s="128" t="s">
        <v>590</v>
      </c>
      <c r="D1253" s="128" t="s">
        <v>590</v>
      </c>
      <c r="E1253" s="583" t="s">
        <v>265</v>
      </c>
      <c r="F1253" s="127" t="s">
        <v>266</v>
      </c>
      <c r="G1253" s="130"/>
      <c r="H1253" s="131"/>
      <c r="I1253" s="143"/>
      <c r="J1253" s="131">
        <f>SUM(J1254:J1254)</f>
        <v>347020.92800000001</v>
      </c>
    </row>
    <row r="1254" spans="1:10">
      <c r="A1254" s="584"/>
      <c r="B1254" s="585"/>
      <c r="C1254" s="586" t="s">
        <v>590</v>
      </c>
      <c r="D1254" s="133" t="s">
        <v>629</v>
      </c>
      <c r="E1254" s="587" t="str">
        <f>" - "&amp;'Giá NC'!E10</f>
        <v xml:space="preserve"> - Nhân công bậc 4,0/7 - Nhóm 2</v>
      </c>
      <c r="F1254" s="585" t="str">
        <f>'Giá NC'!F10</f>
        <v>công</v>
      </c>
      <c r="G1254" s="588">
        <f>PTVT!G615</f>
        <v>1.48</v>
      </c>
      <c r="H1254" s="589">
        <f>'Giá NC'!K10</f>
        <v>293092</v>
      </c>
      <c r="I1254" s="603">
        <f>'5.Tiên lượng'!W156</f>
        <v>0.8</v>
      </c>
      <c r="J1254" s="589">
        <f>PRODUCT(G1254,H1254,I1254)</f>
        <v>347020.92800000001</v>
      </c>
    </row>
    <row r="1255" spans="1:10">
      <c r="A1255" s="126"/>
      <c r="B1255" s="127"/>
      <c r="C1255" s="128" t="s">
        <v>590</v>
      </c>
      <c r="D1255" s="128" t="s">
        <v>590</v>
      </c>
      <c r="E1255" s="583" t="s">
        <v>267</v>
      </c>
      <c r="F1255" s="127" t="s">
        <v>268</v>
      </c>
      <c r="G1255" s="130"/>
      <c r="H1255" s="131"/>
      <c r="I1255" s="143"/>
      <c r="J1255" s="131">
        <v>0</v>
      </c>
    </row>
    <row r="1256" spans="1:10">
      <c r="A1256" s="584"/>
      <c r="B1256" s="585"/>
      <c r="C1256" s="586" t="s">
        <v>590</v>
      </c>
      <c r="D1256" s="133" t="s">
        <v>590</v>
      </c>
      <c r="E1256" s="587" t="s">
        <v>269</v>
      </c>
      <c r="F1256" s="585" t="s">
        <v>270</v>
      </c>
      <c r="G1256" s="590"/>
      <c r="H1256" s="589"/>
      <c r="I1256" s="603"/>
      <c r="J1256" s="589">
        <f>J1250+J1253+J1255</f>
        <v>842278.54228759557</v>
      </c>
    </row>
    <row r="1257" spans="1:10">
      <c r="A1257" s="584"/>
      <c r="B1257" s="585"/>
      <c r="C1257" s="586" t="s">
        <v>590</v>
      </c>
      <c r="D1257" s="133" t="s">
        <v>590</v>
      </c>
      <c r="E1257" s="587" t="s">
        <v>273</v>
      </c>
      <c r="F1257" s="585" t="s">
        <v>274</v>
      </c>
      <c r="G1257" s="591">
        <f>'Thông tin'!E67</f>
        <v>6.2E-2</v>
      </c>
      <c r="H1257" s="589"/>
      <c r="I1257" s="603"/>
      <c r="J1257" s="589">
        <f>(J1256)*G1257</f>
        <v>52221.269621830928</v>
      </c>
    </row>
    <row r="1258" spans="1:10">
      <c r="A1258" s="584"/>
      <c r="B1258" s="585"/>
      <c r="C1258" s="586" t="s">
        <v>590</v>
      </c>
      <c r="D1258" s="133" t="s">
        <v>590</v>
      </c>
      <c r="E1258" s="587" t="s">
        <v>276</v>
      </c>
      <c r="F1258" s="585" t="s">
        <v>277</v>
      </c>
      <c r="G1258" s="591">
        <f>'Thông tin'!E60</f>
        <v>2.2000000000000002E-2</v>
      </c>
      <c r="H1258" s="589"/>
      <c r="I1258" s="603"/>
      <c r="J1258" s="589">
        <f>(J1256)*G1258</f>
        <v>18530.127930327104</v>
      </c>
    </row>
    <row r="1259" spans="1:10" ht="27.6">
      <c r="A1259" s="584"/>
      <c r="B1259" s="585"/>
      <c r="C1259" s="586" t="s">
        <v>590</v>
      </c>
      <c r="D1259" s="133" t="s">
        <v>590</v>
      </c>
      <c r="E1259" s="587" t="s">
        <v>279</v>
      </c>
      <c r="F1259" s="585" t="s">
        <v>142</v>
      </c>
      <c r="G1259" s="591">
        <f>'Thông tin'!E65</f>
        <v>0.02</v>
      </c>
      <c r="H1259" s="589"/>
      <c r="I1259" s="603"/>
      <c r="J1259" s="589">
        <f>(J1256)*G1259</f>
        <v>16845.57084575191</v>
      </c>
    </row>
    <row r="1260" spans="1:10">
      <c r="A1260" s="584"/>
      <c r="B1260" s="585"/>
      <c r="C1260" s="586" t="s">
        <v>590</v>
      </c>
      <c r="D1260" s="133" t="s">
        <v>590</v>
      </c>
      <c r="E1260" s="587" t="s">
        <v>281</v>
      </c>
      <c r="F1260" s="585" t="s">
        <v>282</v>
      </c>
      <c r="G1260" s="590"/>
      <c r="H1260" s="589"/>
      <c r="I1260" s="603"/>
      <c r="J1260" s="589">
        <f>J1257+J1258+J1259</f>
        <v>87596.968397909935</v>
      </c>
    </row>
    <row r="1261" spans="1:10">
      <c r="A1261" s="584"/>
      <c r="B1261" s="585"/>
      <c r="C1261" s="586" t="s">
        <v>590</v>
      </c>
      <c r="D1261" s="133" t="s">
        <v>590</v>
      </c>
      <c r="E1261" s="587" t="s">
        <v>284</v>
      </c>
      <c r="F1261" s="585" t="s">
        <v>285</v>
      </c>
      <c r="G1261" s="591">
        <f>'Thông tin'!E63</f>
        <v>0.06</v>
      </c>
      <c r="H1261" s="589"/>
      <c r="I1261" s="603"/>
      <c r="J1261" s="589">
        <f>(J1256+J1260)*G1261</f>
        <v>55792.530641130325</v>
      </c>
    </row>
    <row r="1262" spans="1:10">
      <c r="A1262" s="584"/>
      <c r="B1262" s="585"/>
      <c r="C1262" s="586" t="s">
        <v>590</v>
      </c>
      <c r="D1262" s="133" t="s">
        <v>590</v>
      </c>
      <c r="E1262" s="592" t="s">
        <v>287</v>
      </c>
      <c r="F1262" s="593" t="s">
        <v>288</v>
      </c>
      <c r="G1262" s="590"/>
      <c r="H1262" s="589"/>
      <c r="I1262" s="603"/>
      <c r="J1262" s="604">
        <f>J1256+J1260+J1261</f>
        <v>985668.04132663575</v>
      </c>
    </row>
    <row r="1263" spans="1:10">
      <c r="A1263" s="584"/>
      <c r="B1263" s="585"/>
      <c r="C1263" s="586" t="s">
        <v>590</v>
      </c>
      <c r="D1263" s="133" t="s">
        <v>590</v>
      </c>
      <c r="E1263" s="587" t="s">
        <v>290</v>
      </c>
      <c r="F1263" s="585" t="s">
        <v>291</v>
      </c>
      <c r="G1263" s="591">
        <f>'Thông tin'!E61</f>
        <v>0.1</v>
      </c>
      <c r="H1263" s="589"/>
      <c r="I1263" s="603"/>
      <c r="J1263" s="589">
        <f>(J1262)*G1263</f>
        <v>98566.804132663587</v>
      </c>
    </row>
    <row r="1264" spans="1:10">
      <c r="A1264" s="594"/>
      <c r="B1264" s="595"/>
      <c r="C1264" s="596" t="s">
        <v>590</v>
      </c>
      <c r="D1264" s="137" t="s">
        <v>590</v>
      </c>
      <c r="E1264" s="597" t="s">
        <v>293</v>
      </c>
      <c r="F1264" s="598" t="s">
        <v>19</v>
      </c>
      <c r="G1264" s="599"/>
      <c r="H1264" s="600"/>
      <c r="I1264" s="605"/>
      <c r="J1264" s="606">
        <f>J1262+J1263</f>
        <v>1084234.8454592994</v>
      </c>
    </row>
    <row r="1265" spans="1:10">
      <c r="A1265" s="578"/>
      <c r="B1265" s="579">
        <v>69</v>
      </c>
      <c r="C1265" s="578" t="str">
        <f>'5.Tiên lượng'!C158</f>
        <v>AF.82511</v>
      </c>
      <c r="D1265" s="578" t="str">
        <f>'5.Tiên lượng'!C158</f>
        <v>AF.82511</v>
      </c>
      <c r="E1265" s="580" t="str">
        <f>'5.Tiên lượng'!D158</f>
        <v>Ván khuôn thép rãnh</v>
      </c>
      <c r="F1265" s="579" t="str">
        <f>'5.Tiên lượng'!E158</f>
        <v>100m2</v>
      </c>
      <c r="G1265" s="581"/>
      <c r="H1265" s="582"/>
      <c r="I1265" s="602"/>
      <c r="J1265" s="582"/>
    </row>
    <row r="1266" spans="1:10">
      <c r="A1266" s="126"/>
      <c r="B1266" s="127"/>
      <c r="C1266" s="128" t="s">
        <v>590</v>
      </c>
      <c r="D1266" s="128" t="s">
        <v>590</v>
      </c>
      <c r="E1266" s="583" t="s">
        <v>262</v>
      </c>
      <c r="F1266" s="127" t="s">
        <v>263</v>
      </c>
      <c r="G1266" s="130"/>
      <c r="H1266" s="131"/>
      <c r="I1266" s="143"/>
      <c r="J1266" s="131">
        <f>SUM(J1267:J1270)</f>
        <v>1623401.2408645179</v>
      </c>
    </row>
    <row r="1267" spans="1:10">
      <c r="A1267" s="584"/>
      <c r="B1267" s="585"/>
      <c r="C1267" s="586" t="s">
        <v>590</v>
      </c>
      <c r="D1267" s="133" t="s">
        <v>663</v>
      </c>
      <c r="E1267" s="587" t="str">
        <f>" - "&amp;'Giá VL'!E41</f>
        <v xml:space="preserve"> - Thép tấm</v>
      </c>
      <c r="F1267" s="585" t="str">
        <f>'Giá VL'!F41</f>
        <v>kg</v>
      </c>
      <c r="G1267" s="588">
        <f>PTVT!G618</f>
        <v>51.81</v>
      </c>
      <c r="H1267" s="589">
        <f>'Giá VL'!V41</f>
        <v>17587.694379947148</v>
      </c>
      <c r="I1267" s="603">
        <f>'5.Tiên lượng'!V158</f>
        <v>1</v>
      </c>
      <c r="J1267" s="589">
        <f t="shared" ref="J1267:J1270" si="83">PRODUCT(G1267,H1267,I1267)</f>
        <v>911218.44582506176</v>
      </c>
    </row>
    <row r="1268" spans="1:10">
      <c r="A1268" s="584"/>
      <c r="B1268" s="585"/>
      <c r="C1268" s="586" t="s">
        <v>590</v>
      </c>
      <c r="D1268" s="133" t="s">
        <v>664</v>
      </c>
      <c r="E1268" s="587" t="str">
        <f>" - "&amp;'Giá VL'!E39</f>
        <v xml:space="preserve"> - Thép hình</v>
      </c>
      <c r="F1268" s="585" t="str">
        <f>'Giá VL'!F39</f>
        <v>kg</v>
      </c>
      <c r="G1268" s="588">
        <f>PTVT!G619</f>
        <v>32.020000000000003</v>
      </c>
      <c r="H1268" s="589">
        <f>'Giá VL'!V39</f>
        <v>17587.694379947148</v>
      </c>
      <c r="I1268" s="603">
        <f>'5.Tiên lượng'!V158</f>
        <v>1</v>
      </c>
      <c r="J1268" s="589">
        <f t="shared" si="83"/>
        <v>563157.97404590773</v>
      </c>
    </row>
    <row r="1269" spans="1:10">
      <c r="A1269" s="584"/>
      <c r="B1269" s="585"/>
      <c r="C1269" s="586" t="s">
        <v>590</v>
      </c>
      <c r="D1269" s="133" t="s">
        <v>628</v>
      </c>
      <c r="E1269" s="587" t="str">
        <f>" - "&amp;'Giá VL'!E37</f>
        <v xml:space="preserve"> - Que hàn</v>
      </c>
      <c r="F1269" s="585" t="str">
        <f>'Giá VL'!F37</f>
        <v>kg</v>
      </c>
      <c r="G1269" s="588">
        <f>PTVT!G620</f>
        <v>3.26</v>
      </c>
      <c r="H1269" s="589">
        <f>'Giá VL'!V37</f>
        <v>22000</v>
      </c>
      <c r="I1269" s="603">
        <f>'5.Tiên lượng'!V158</f>
        <v>1</v>
      </c>
      <c r="J1269" s="589">
        <f t="shared" si="83"/>
        <v>71720</v>
      </c>
    </row>
    <row r="1270" spans="1:10">
      <c r="A1270" s="584"/>
      <c r="B1270" s="585"/>
      <c r="C1270" s="586" t="s">
        <v>590</v>
      </c>
      <c r="D1270" s="133" t="s">
        <v>620</v>
      </c>
      <c r="E1270" s="587" t="s">
        <v>621</v>
      </c>
      <c r="F1270" s="585" t="s">
        <v>37</v>
      </c>
      <c r="G1270" s="588">
        <f>PTVT!G621</f>
        <v>5</v>
      </c>
      <c r="H1270" s="589">
        <f>IF('5.Tiên lượng'!V158&lt;&gt;0,SUM(J1267:J1269)/100/'5.Tiên lượng'!V158,0)</f>
        <v>15460.964198709693</v>
      </c>
      <c r="I1270" s="603">
        <f>'5.Tiên lượng'!V158</f>
        <v>1</v>
      </c>
      <c r="J1270" s="589">
        <f t="shared" si="83"/>
        <v>77304.820993548463</v>
      </c>
    </row>
    <row r="1271" spans="1:10">
      <c r="A1271" s="126"/>
      <c r="B1271" s="127"/>
      <c r="C1271" s="128" t="s">
        <v>590</v>
      </c>
      <c r="D1271" s="128" t="s">
        <v>590</v>
      </c>
      <c r="E1271" s="583" t="s">
        <v>265</v>
      </c>
      <c r="F1271" s="127" t="s">
        <v>266</v>
      </c>
      <c r="G1271" s="130"/>
      <c r="H1271" s="131"/>
      <c r="I1271" s="143"/>
      <c r="J1271" s="131">
        <f>SUM(J1272:J1272)</f>
        <v>3590377</v>
      </c>
    </row>
    <row r="1272" spans="1:10">
      <c r="A1272" s="584"/>
      <c r="B1272" s="585"/>
      <c r="C1272" s="586" t="s">
        <v>590</v>
      </c>
      <c r="D1272" s="133" t="s">
        <v>629</v>
      </c>
      <c r="E1272" s="587" t="str">
        <f>" - "&amp;'Giá NC'!E10</f>
        <v xml:space="preserve"> - Nhân công bậc 4,0/7 - Nhóm 2</v>
      </c>
      <c r="F1272" s="585" t="str">
        <f>'Giá NC'!F10</f>
        <v>công</v>
      </c>
      <c r="G1272" s="588">
        <f>PTVT!G623</f>
        <v>12.25</v>
      </c>
      <c r="H1272" s="589">
        <f>'Giá NC'!K10</f>
        <v>293092</v>
      </c>
      <c r="I1272" s="603">
        <f>'5.Tiên lượng'!W158</f>
        <v>1</v>
      </c>
      <c r="J1272" s="589">
        <f>PRODUCT(G1272,H1272,I1272)</f>
        <v>3590377</v>
      </c>
    </row>
    <row r="1273" spans="1:10">
      <c r="A1273" s="126"/>
      <c r="B1273" s="127"/>
      <c r="C1273" s="128" t="s">
        <v>590</v>
      </c>
      <c r="D1273" s="128" t="s">
        <v>590</v>
      </c>
      <c r="E1273" s="583" t="s">
        <v>267</v>
      </c>
      <c r="F1273" s="127" t="s">
        <v>268</v>
      </c>
      <c r="G1273" s="130"/>
      <c r="H1273" s="131"/>
      <c r="I1273" s="143"/>
      <c r="J1273" s="131">
        <f>SUM(J1274:J1275)</f>
        <v>357131.12499350397</v>
      </c>
    </row>
    <row r="1274" spans="1:10">
      <c r="A1274" s="584"/>
      <c r="B1274" s="585"/>
      <c r="C1274" s="586" t="s">
        <v>590</v>
      </c>
      <c r="D1274" s="133" t="s">
        <v>630</v>
      </c>
      <c r="E1274" s="587" t="str">
        <f>" - "&amp;'Giá Máy'!E16</f>
        <v xml:space="preserve"> - Máy hàn điện 23kW</v>
      </c>
      <c r="F1274" s="585" t="str">
        <f>'Giá Máy'!F16</f>
        <v>ca</v>
      </c>
      <c r="G1274" s="588">
        <f>PTVT!G625</f>
        <v>0.82</v>
      </c>
      <c r="H1274" s="589">
        <f>'Giá Máy'!O16</f>
        <v>426986.04135999997</v>
      </c>
      <c r="I1274" s="603">
        <f>'5.Tiên lượng'!X158</f>
        <v>1</v>
      </c>
      <c r="J1274" s="589">
        <f t="shared" ref="J1274:J1275" si="84">PRODUCT(G1274,H1274,I1274)</f>
        <v>350128.55391519994</v>
      </c>
    </row>
    <row r="1275" spans="1:10">
      <c r="A1275" s="584"/>
      <c r="B1275" s="585"/>
      <c r="C1275" s="586" t="s">
        <v>590</v>
      </c>
      <c r="D1275" s="133" t="s">
        <v>611</v>
      </c>
      <c r="E1275" s="587" t="s">
        <v>612</v>
      </c>
      <c r="F1275" s="585" t="s">
        <v>37</v>
      </c>
      <c r="G1275" s="588">
        <f>PTVT!G626</f>
        <v>2</v>
      </c>
      <c r="H1275" s="589">
        <f>IF('5.Tiên lượng'!X158&lt;&gt;0,SUM(J1274:J1274)/100/'5.Tiên lượng'!X158,0)</f>
        <v>3501.2855391519993</v>
      </c>
      <c r="I1275" s="603">
        <f>'5.Tiên lượng'!X158</f>
        <v>1</v>
      </c>
      <c r="J1275" s="589">
        <f t="shared" si="84"/>
        <v>7002.5710783039985</v>
      </c>
    </row>
    <row r="1276" spans="1:10">
      <c r="A1276" s="584"/>
      <c r="B1276" s="585"/>
      <c r="C1276" s="586" t="s">
        <v>590</v>
      </c>
      <c r="D1276" s="133" t="s">
        <v>590</v>
      </c>
      <c r="E1276" s="587" t="s">
        <v>269</v>
      </c>
      <c r="F1276" s="585" t="s">
        <v>270</v>
      </c>
      <c r="G1276" s="590"/>
      <c r="H1276" s="589"/>
      <c r="I1276" s="603"/>
      <c r="J1276" s="589">
        <f>J1266+J1271+J1273</f>
        <v>5570909.3658580221</v>
      </c>
    </row>
    <row r="1277" spans="1:10">
      <c r="A1277" s="584"/>
      <c r="B1277" s="585"/>
      <c r="C1277" s="586" t="s">
        <v>590</v>
      </c>
      <c r="D1277" s="133" t="s">
        <v>590</v>
      </c>
      <c r="E1277" s="587" t="s">
        <v>273</v>
      </c>
      <c r="F1277" s="585" t="s">
        <v>274</v>
      </c>
      <c r="G1277" s="591">
        <f>'Thông tin'!E67</f>
        <v>6.2E-2</v>
      </c>
      <c r="H1277" s="589"/>
      <c r="I1277" s="603"/>
      <c r="J1277" s="589">
        <f>(J1276)*G1277</f>
        <v>345396.38068319735</v>
      </c>
    </row>
    <row r="1278" spans="1:10">
      <c r="A1278" s="584"/>
      <c r="B1278" s="585"/>
      <c r="C1278" s="586" t="s">
        <v>590</v>
      </c>
      <c r="D1278" s="133" t="s">
        <v>590</v>
      </c>
      <c r="E1278" s="587" t="s">
        <v>276</v>
      </c>
      <c r="F1278" s="585" t="s">
        <v>277</v>
      </c>
      <c r="G1278" s="591">
        <f>'Thông tin'!E60</f>
        <v>2.2000000000000002E-2</v>
      </c>
      <c r="H1278" s="589"/>
      <c r="I1278" s="603"/>
      <c r="J1278" s="589">
        <f>(J1276)*G1278</f>
        <v>122560.0060488765</v>
      </c>
    </row>
    <row r="1279" spans="1:10" ht="27.6">
      <c r="A1279" s="584"/>
      <c r="B1279" s="585"/>
      <c r="C1279" s="586" t="s">
        <v>590</v>
      </c>
      <c r="D1279" s="133" t="s">
        <v>590</v>
      </c>
      <c r="E1279" s="587" t="s">
        <v>279</v>
      </c>
      <c r="F1279" s="585" t="s">
        <v>142</v>
      </c>
      <c r="G1279" s="591">
        <f>'Thông tin'!E65</f>
        <v>0.02</v>
      </c>
      <c r="H1279" s="589"/>
      <c r="I1279" s="603"/>
      <c r="J1279" s="589">
        <f>(J1276)*G1279</f>
        <v>111418.18731716044</v>
      </c>
    </row>
    <row r="1280" spans="1:10">
      <c r="A1280" s="584"/>
      <c r="B1280" s="585"/>
      <c r="C1280" s="586" t="s">
        <v>590</v>
      </c>
      <c r="D1280" s="133" t="s">
        <v>590</v>
      </c>
      <c r="E1280" s="587" t="s">
        <v>281</v>
      </c>
      <c r="F1280" s="585" t="s">
        <v>282</v>
      </c>
      <c r="G1280" s="590"/>
      <c r="H1280" s="589"/>
      <c r="I1280" s="603"/>
      <c r="J1280" s="589">
        <f>J1277+J1278+J1279</f>
        <v>579374.57404923427</v>
      </c>
    </row>
    <row r="1281" spans="1:10">
      <c r="A1281" s="584"/>
      <c r="B1281" s="585"/>
      <c r="C1281" s="586" t="s">
        <v>590</v>
      </c>
      <c r="D1281" s="133" t="s">
        <v>590</v>
      </c>
      <c r="E1281" s="587" t="s">
        <v>284</v>
      </c>
      <c r="F1281" s="585" t="s">
        <v>285</v>
      </c>
      <c r="G1281" s="591">
        <f>'Thông tin'!E63</f>
        <v>0.06</v>
      </c>
      <c r="H1281" s="589"/>
      <c r="I1281" s="603"/>
      <c r="J1281" s="589">
        <f>(J1276+J1280)*G1281</f>
        <v>369017.03639443539</v>
      </c>
    </row>
    <row r="1282" spans="1:10">
      <c r="A1282" s="584"/>
      <c r="B1282" s="585"/>
      <c r="C1282" s="586" t="s">
        <v>590</v>
      </c>
      <c r="D1282" s="133" t="s">
        <v>590</v>
      </c>
      <c r="E1282" s="592" t="s">
        <v>287</v>
      </c>
      <c r="F1282" s="593" t="s">
        <v>288</v>
      </c>
      <c r="G1282" s="590"/>
      <c r="H1282" s="589"/>
      <c r="I1282" s="603"/>
      <c r="J1282" s="604">
        <f>J1276+J1280+J1281</f>
        <v>6519300.9763016915</v>
      </c>
    </row>
    <row r="1283" spans="1:10">
      <c r="A1283" s="584"/>
      <c r="B1283" s="585"/>
      <c r="C1283" s="586" t="s">
        <v>590</v>
      </c>
      <c r="D1283" s="133" t="s">
        <v>590</v>
      </c>
      <c r="E1283" s="587" t="s">
        <v>290</v>
      </c>
      <c r="F1283" s="585" t="s">
        <v>291</v>
      </c>
      <c r="G1283" s="591">
        <f>'Thông tin'!E61</f>
        <v>0.1</v>
      </c>
      <c r="H1283" s="589"/>
      <c r="I1283" s="603"/>
      <c r="J1283" s="589">
        <f>(J1282)*G1283</f>
        <v>651930.09763016924</v>
      </c>
    </row>
    <row r="1284" spans="1:10">
      <c r="A1284" s="594"/>
      <c r="B1284" s="595"/>
      <c r="C1284" s="596" t="s">
        <v>590</v>
      </c>
      <c r="D1284" s="137" t="s">
        <v>590</v>
      </c>
      <c r="E1284" s="597" t="s">
        <v>293</v>
      </c>
      <c r="F1284" s="598" t="s">
        <v>19</v>
      </c>
      <c r="G1284" s="599"/>
      <c r="H1284" s="600"/>
      <c r="I1284" s="605"/>
      <c r="J1284" s="606">
        <f>J1282+J1283</f>
        <v>7171231.0739318607</v>
      </c>
    </row>
    <row r="1285" spans="1:10">
      <c r="A1285" s="572"/>
      <c r="B1285" s="573"/>
      <c r="C1285" s="574" t="s">
        <v>339</v>
      </c>
      <c r="D1285" s="117" t="s">
        <v>339</v>
      </c>
      <c r="E1285" s="575" t="s">
        <v>513</v>
      </c>
      <c r="F1285" s="573"/>
      <c r="G1285" s="576"/>
      <c r="H1285" s="577"/>
      <c r="I1285" s="601"/>
      <c r="J1285" s="577" t="s">
        <v>597</v>
      </c>
    </row>
    <row r="1286" spans="1:10" ht="27.6">
      <c r="A1286" s="578"/>
      <c r="B1286" s="579">
        <v>70</v>
      </c>
      <c r="C1286" s="578" t="str">
        <f>'5.Tiên lượng'!C161</f>
        <v>AB.25123</v>
      </c>
      <c r="D1286" s="578" t="str">
        <f>'5.Tiên lượng'!C161</f>
        <v>AB.25123</v>
      </c>
      <c r="E1286" s="580" t="str">
        <f>'5.Tiên lượng'!D161</f>
        <v>Đào móng bằng máy đào 1,25m3, chiều rộng móng ≤6m - Cấp đất III</v>
      </c>
      <c r="F1286" s="579" t="str">
        <f>'5.Tiên lượng'!E161</f>
        <v>100m3</v>
      </c>
      <c r="G1286" s="581"/>
      <c r="H1286" s="582"/>
      <c r="I1286" s="602"/>
      <c r="J1286" s="582"/>
    </row>
    <row r="1287" spans="1:10">
      <c r="A1287" s="126"/>
      <c r="B1287" s="127"/>
      <c r="C1287" s="128" t="s">
        <v>590</v>
      </c>
      <c r="D1287" s="128" t="s">
        <v>590</v>
      </c>
      <c r="E1287" s="583" t="s">
        <v>262</v>
      </c>
      <c r="F1287" s="127" t="s">
        <v>263</v>
      </c>
      <c r="G1287" s="130"/>
      <c r="H1287" s="131"/>
      <c r="I1287" s="143"/>
      <c r="J1287" s="131">
        <v>0</v>
      </c>
    </row>
    <row r="1288" spans="1:10">
      <c r="A1288" s="126"/>
      <c r="B1288" s="127"/>
      <c r="C1288" s="128" t="s">
        <v>590</v>
      </c>
      <c r="D1288" s="128" t="s">
        <v>590</v>
      </c>
      <c r="E1288" s="583" t="s">
        <v>265</v>
      </c>
      <c r="F1288" s="127" t="s">
        <v>266</v>
      </c>
      <c r="G1288" s="130"/>
      <c r="H1288" s="131"/>
      <c r="I1288" s="143"/>
      <c r="J1288" s="131">
        <f>SUM(J1289:J1289)</f>
        <v>1008205.38</v>
      </c>
    </row>
    <row r="1289" spans="1:10">
      <c r="A1289" s="584"/>
      <c r="B1289" s="585"/>
      <c r="C1289" s="586" t="s">
        <v>590</v>
      </c>
      <c r="D1289" s="133" t="s">
        <v>598</v>
      </c>
      <c r="E1289" s="587" t="str">
        <f>" - "&amp;'Giá NC'!E5</f>
        <v xml:space="preserve"> - Nhân công bậc 3,0/7 - Nhóm 1</v>
      </c>
      <c r="F1289" s="585" t="str">
        <f>'Giá NC'!F5</f>
        <v>công</v>
      </c>
      <c r="G1289" s="588">
        <f>PTVT!G630</f>
        <v>4.41</v>
      </c>
      <c r="H1289" s="589">
        <f>'Giá NC'!K5</f>
        <v>228618</v>
      </c>
      <c r="I1289" s="603">
        <f>'5.Tiên lượng'!W161</f>
        <v>1</v>
      </c>
      <c r="J1289" s="589">
        <f>PRODUCT(G1289,H1289,I1289)</f>
        <v>1008205.38</v>
      </c>
    </row>
    <row r="1290" spans="1:10">
      <c r="A1290" s="126"/>
      <c r="B1290" s="127"/>
      <c r="C1290" s="128" t="s">
        <v>590</v>
      </c>
      <c r="D1290" s="128" t="s">
        <v>590</v>
      </c>
      <c r="E1290" s="583" t="s">
        <v>267</v>
      </c>
      <c r="F1290" s="127" t="s">
        <v>268</v>
      </c>
      <c r="G1290" s="130"/>
      <c r="H1290" s="131"/>
      <c r="I1290" s="143"/>
      <c r="J1290" s="131">
        <f>SUM(J1291:J1291)</f>
        <v>1122518.3196342858</v>
      </c>
    </row>
    <row r="1291" spans="1:10">
      <c r="A1291" s="584"/>
      <c r="B1291" s="585"/>
      <c r="C1291" s="586" t="s">
        <v>590</v>
      </c>
      <c r="D1291" s="133" t="s">
        <v>599</v>
      </c>
      <c r="E1291" s="587" t="str">
        <f>" - "&amp;'Giá Máy'!E14</f>
        <v xml:space="preserve"> - Máy đào 1,25m3</v>
      </c>
      <c r="F1291" s="585" t="str">
        <f>'Giá Máy'!F14</f>
        <v>ca</v>
      </c>
      <c r="G1291" s="588">
        <f>PTVT!G632</f>
        <v>0.32100000000000001</v>
      </c>
      <c r="H1291" s="589">
        <f>'Giá Máy'!O14</f>
        <v>3496941.8057142859</v>
      </c>
      <c r="I1291" s="603">
        <f>'5.Tiên lượng'!X161</f>
        <v>1</v>
      </c>
      <c r="J1291" s="589">
        <f>PRODUCT(G1291,H1291,I1291)</f>
        <v>1122518.3196342858</v>
      </c>
    </row>
    <row r="1292" spans="1:10">
      <c r="A1292" s="584"/>
      <c r="B1292" s="585"/>
      <c r="C1292" s="586" t="s">
        <v>590</v>
      </c>
      <c r="D1292" s="133" t="s">
        <v>590</v>
      </c>
      <c r="E1292" s="587" t="s">
        <v>269</v>
      </c>
      <c r="F1292" s="585" t="s">
        <v>270</v>
      </c>
      <c r="G1292" s="590"/>
      <c r="H1292" s="589"/>
      <c r="I1292" s="603"/>
      <c r="J1292" s="589">
        <f>J1287+J1288+J1290</f>
        <v>2130723.6996342856</v>
      </c>
    </row>
    <row r="1293" spans="1:10">
      <c r="A1293" s="584"/>
      <c r="B1293" s="585"/>
      <c r="C1293" s="586" t="s">
        <v>590</v>
      </c>
      <c r="D1293" s="133" t="s">
        <v>590</v>
      </c>
      <c r="E1293" s="587" t="s">
        <v>273</v>
      </c>
      <c r="F1293" s="585" t="s">
        <v>274</v>
      </c>
      <c r="G1293" s="591">
        <f>'Thông tin'!E67</f>
        <v>6.2E-2</v>
      </c>
      <c r="H1293" s="589"/>
      <c r="I1293" s="603"/>
      <c r="J1293" s="589">
        <f>(J1292)*G1293</f>
        <v>132104.8693773257</v>
      </c>
    </row>
    <row r="1294" spans="1:10">
      <c r="A1294" s="584"/>
      <c r="B1294" s="585"/>
      <c r="C1294" s="586" t="s">
        <v>590</v>
      </c>
      <c r="D1294" s="133" t="s">
        <v>590</v>
      </c>
      <c r="E1294" s="587" t="s">
        <v>276</v>
      </c>
      <c r="F1294" s="585" t="s">
        <v>277</v>
      </c>
      <c r="G1294" s="591">
        <f>'Thông tin'!E60</f>
        <v>2.2000000000000002E-2</v>
      </c>
      <c r="H1294" s="589"/>
      <c r="I1294" s="603"/>
      <c r="J1294" s="589">
        <f>(J1292)*G1294</f>
        <v>46875.921391954289</v>
      </c>
    </row>
    <row r="1295" spans="1:10" ht="27.6">
      <c r="A1295" s="584"/>
      <c r="B1295" s="585"/>
      <c r="C1295" s="586" t="s">
        <v>590</v>
      </c>
      <c r="D1295" s="133" t="s">
        <v>590</v>
      </c>
      <c r="E1295" s="587" t="s">
        <v>279</v>
      </c>
      <c r="F1295" s="585" t="s">
        <v>142</v>
      </c>
      <c r="G1295" s="591">
        <f>'Thông tin'!E65</f>
        <v>0.02</v>
      </c>
      <c r="H1295" s="589"/>
      <c r="I1295" s="603"/>
      <c r="J1295" s="589">
        <f>(J1292)*G1295</f>
        <v>42614.473992685715</v>
      </c>
    </row>
    <row r="1296" spans="1:10">
      <c r="A1296" s="584"/>
      <c r="B1296" s="585"/>
      <c r="C1296" s="586" t="s">
        <v>590</v>
      </c>
      <c r="D1296" s="133" t="s">
        <v>590</v>
      </c>
      <c r="E1296" s="587" t="s">
        <v>281</v>
      </c>
      <c r="F1296" s="585" t="s">
        <v>282</v>
      </c>
      <c r="G1296" s="590"/>
      <c r="H1296" s="589"/>
      <c r="I1296" s="603"/>
      <c r="J1296" s="589">
        <f>J1293+J1294+J1295</f>
        <v>221595.26476196572</v>
      </c>
    </row>
    <row r="1297" spans="1:10">
      <c r="A1297" s="584"/>
      <c r="B1297" s="585"/>
      <c r="C1297" s="586" t="s">
        <v>590</v>
      </c>
      <c r="D1297" s="133" t="s">
        <v>590</v>
      </c>
      <c r="E1297" s="587" t="s">
        <v>284</v>
      </c>
      <c r="F1297" s="585" t="s">
        <v>285</v>
      </c>
      <c r="G1297" s="591">
        <f>'Thông tin'!E63</f>
        <v>0.06</v>
      </c>
      <c r="H1297" s="589"/>
      <c r="I1297" s="603"/>
      <c r="J1297" s="589">
        <f>(J1292+J1296)*G1297</f>
        <v>141139.13786377507</v>
      </c>
    </row>
    <row r="1298" spans="1:10">
      <c r="A1298" s="584"/>
      <c r="B1298" s="585"/>
      <c r="C1298" s="586" t="s">
        <v>590</v>
      </c>
      <c r="D1298" s="133" t="s">
        <v>590</v>
      </c>
      <c r="E1298" s="592" t="s">
        <v>287</v>
      </c>
      <c r="F1298" s="593" t="s">
        <v>288</v>
      </c>
      <c r="G1298" s="590"/>
      <c r="H1298" s="589"/>
      <c r="I1298" s="603"/>
      <c r="J1298" s="604">
        <f>J1292+J1296+J1297</f>
        <v>2493458.1022600266</v>
      </c>
    </row>
    <row r="1299" spans="1:10">
      <c r="A1299" s="584"/>
      <c r="B1299" s="585"/>
      <c r="C1299" s="586" t="s">
        <v>590</v>
      </c>
      <c r="D1299" s="133" t="s">
        <v>590</v>
      </c>
      <c r="E1299" s="587" t="s">
        <v>290</v>
      </c>
      <c r="F1299" s="585" t="s">
        <v>291</v>
      </c>
      <c r="G1299" s="591">
        <f>'Thông tin'!E61</f>
        <v>0.1</v>
      </c>
      <c r="H1299" s="589"/>
      <c r="I1299" s="603"/>
      <c r="J1299" s="589">
        <f>(J1298)*G1299</f>
        <v>249345.81022600268</v>
      </c>
    </row>
    <row r="1300" spans="1:10">
      <c r="A1300" s="594"/>
      <c r="B1300" s="595"/>
      <c r="C1300" s="596" t="s">
        <v>590</v>
      </c>
      <c r="D1300" s="137" t="s">
        <v>590</v>
      </c>
      <c r="E1300" s="597" t="s">
        <v>293</v>
      </c>
      <c r="F1300" s="598" t="s">
        <v>19</v>
      </c>
      <c r="G1300" s="599"/>
      <c r="H1300" s="600"/>
      <c r="I1300" s="605"/>
      <c r="J1300" s="606">
        <f>J1298+J1299</f>
        <v>2742803.9124860293</v>
      </c>
    </row>
    <row r="1301" spans="1:10" ht="27.6">
      <c r="A1301" s="578"/>
      <c r="B1301" s="579">
        <v>71</v>
      </c>
      <c r="C1301" s="578" t="str">
        <f>'5.Tiên lượng'!C163</f>
        <v>AE.11114</v>
      </c>
      <c r="D1301" s="578" t="str">
        <f>'5.Tiên lượng'!C163</f>
        <v>AE.11114</v>
      </c>
      <c r="E1301" s="580" t="str">
        <f>'5.Tiên lượng'!D163</f>
        <v>Khối xây bó nền bằng đá hộc - Chiều dày ≤60cm, vữa XM M100, PCB40</v>
      </c>
      <c r="F1301" s="579" t="str">
        <f>'5.Tiên lượng'!E163</f>
        <v>m3</v>
      </c>
      <c r="G1301" s="581"/>
      <c r="H1301" s="582"/>
      <c r="I1301" s="602"/>
      <c r="J1301" s="582"/>
    </row>
    <row r="1302" spans="1:10">
      <c r="A1302" s="126"/>
      <c r="B1302" s="127"/>
      <c r="C1302" s="128" t="s">
        <v>590</v>
      </c>
      <c r="D1302" s="128" t="s">
        <v>590</v>
      </c>
      <c r="E1302" s="583" t="s">
        <v>262</v>
      </c>
      <c r="F1302" s="127" t="s">
        <v>263</v>
      </c>
      <c r="G1302" s="130"/>
      <c r="H1302" s="131"/>
      <c r="I1302" s="143"/>
      <c r="J1302" s="131">
        <f>SUM(J1303:J1307)</f>
        <v>934340.87185523123</v>
      </c>
    </row>
    <row r="1303" spans="1:10">
      <c r="A1303" s="584"/>
      <c r="B1303" s="585"/>
      <c r="C1303" s="586" t="s">
        <v>590</v>
      </c>
      <c r="D1303" s="133" t="s">
        <v>671</v>
      </c>
      <c r="E1303" s="587" t="str">
        <f>" - "&amp;'Giá VL'!E22</f>
        <v xml:space="preserve"> - Đá hộc</v>
      </c>
      <c r="F1303" s="585" t="str">
        <f>'Giá VL'!F22</f>
        <v>m3</v>
      </c>
      <c r="G1303" s="588">
        <f>PTVT!G635</f>
        <v>1.2</v>
      </c>
      <c r="H1303" s="589">
        <f>'Giá VL'!V22</f>
        <v>306636.9934461856</v>
      </c>
      <c r="I1303" s="603">
        <f>'5.Tiên lượng'!V163</f>
        <v>1</v>
      </c>
      <c r="J1303" s="589">
        <f t="shared" ref="J1303:J1307" si="85">PRODUCT(G1303,H1303,I1303)</f>
        <v>367964.39213542274</v>
      </c>
    </row>
    <row r="1304" spans="1:10">
      <c r="A1304" s="584"/>
      <c r="B1304" s="585"/>
      <c r="C1304" s="586" t="s">
        <v>590</v>
      </c>
      <c r="D1304" s="133" t="s">
        <v>672</v>
      </c>
      <c r="E1304" s="587" t="str">
        <f>" - "&amp;'Giá VL'!E21</f>
        <v xml:space="preserve"> - Đá dăm</v>
      </c>
      <c r="F1304" s="585" t="str">
        <f>'Giá VL'!F21</f>
        <v>m3</v>
      </c>
      <c r="G1304" s="588">
        <f>PTVT!G636</f>
        <v>5.7000000000000002E-2</v>
      </c>
      <c r="H1304" s="589">
        <f>'Giá VL'!V21</f>
        <v>330458.0547558713</v>
      </c>
      <c r="I1304" s="603">
        <f>'5.Tiên lượng'!V163</f>
        <v>1</v>
      </c>
      <c r="J1304" s="589">
        <f t="shared" si="85"/>
        <v>18836.109121084664</v>
      </c>
    </row>
    <row r="1305" spans="1:10">
      <c r="A1305" s="584"/>
      <c r="B1305" s="585"/>
      <c r="C1305" s="586" t="s">
        <v>590</v>
      </c>
      <c r="D1305" s="133" t="s">
        <v>614</v>
      </c>
      <c r="E1305" s="587" t="str">
        <f>" - "&amp;'Giá VL'!E45</f>
        <v xml:space="preserve"> - Xi măng PCB40</v>
      </c>
      <c r="F1305" s="585" t="str">
        <f>'Giá VL'!F45</f>
        <v>kg</v>
      </c>
      <c r="G1305" s="588">
        <f>PTVT!G637</f>
        <v>131.04</v>
      </c>
      <c r="H1305" s="589">
        <f>'Giá VL'!V45</f>
        <v>1730</v>
      </c>
      <c r="I1305" s="603">
        <f>'5.Tiên lượng'!V163</f>
        <v>1</v>
      </c>
      <c r="J1305" s="589">
        <f t="shared" si="85"/>
        <v>226699.19999999998</v>
      </c>
    </row>
    <row r="1306" spans="1:10">
      <c r="A1306" s="584"/>
      <c r="B1306" s="585"/>
      <c r="C1306" s="586" t="s">
        <v>590</v>
      </c>
      <c r="D1306" s="133" t="s">
        <v>615</v>
      </c>
      <c r="E1306" s="587" t="str">
        <f>" - "&amp;'Giá VL'!E17</f>
        <v xml:space="preserve"> - Cát vàng</v>
      </c>
      <c r="F1306" s="585" t="str">
        <f>'Giá VL'!F17</f>
        <v>m3</v>
      </c>
      <c r="G1306" s="588">
        <f>PTVT!G638</f>
        <v>0.48426000000000002</v>
      </c>
      <c r="H1306" s="589">
        <f>'Giá VL'!V17</f>
        <v>659026.49526849983</v>
      </c>
      <c r="I1306" s="603">
        <f>'5.Tiên lượng'!V163</f>
        <v>1</v>
      </c>
      <c r="J1306" s="589">
        <f t="shared" si="85"/>
        <v>319140.17059872375</v>
      </c>
    </row>
    <row r="1307" spans="1:10">
      <c r="A1307" s="584"/>
      <c r="B1307" s="585"/>
      <c r="C1307" s="586" t="s">
        <v>590</v>
      </c>
      <c r="D1307" s="133" t="s">
        <v>617</v>
      </c>
      <c r="E1307" s="587" t="str">
        <f>" - "&amp;'Giá VL'!E33</f>
        <v xml:space="preserve"> - Nước</v>
      </c>
      <c r="F1307" s="585" t="str">
        <f>'Giá VL'!F33</f>
        <v>lít</v>
      </c>
      <c r="G1307" s="588">
        <f>PTVT!G639</f>
        <v>113.4</v>
      </c>
      <c r="H1307" s="589">
        <f>'Giá VL'!V33</f>
        <v>15</v>
      </c>
      <c r="I1307" s="603">
        <f>'5.Tiên lượng'!V163</f>
        <v>1</v>
      </c>
      <c r="J1307" s="589">
        <f t="shared" si="85"/>
        <v>1701</v>
      </c>
    </row>
    <row r="1308" spans="1:10">
      <c r="A1308" s="126"/>
      <c r="B1308" s="127"/>
      <c r="C1308" s="128" t="s">
        <v>590</v>
      </c>
      <c r="D1308" s="128" t="s">
        <v>590</v>
      </c>
      <c r="E1308" s="583" t="s">
        <v>265</v>
      </c>
      <c r="F1308" s="127" t="s">
        <v>266</v>
      </c>
      <c r="G1308" s="130"/>
      <c r="H1308" s="131"/>
      <c r="I1308" s="143"/>
      <c r="J1308" s="131">
        <f>SUM(J1309:J1309)</f>
        <v>488700</v>
      </c>
    </row>
    <row r="1309" spans="1:10">
      <c r="A1309" s="584"/>
      <c r="B1309" s="585"/>
      <c r="C1309" s="586" t="s">
        <v>590</v>
      </c>
      <c r="D1309" s="133" t="s">
        <v>622</v>
      </c>
      <c r="E1309" s="587" t="str">
        <f>" - "&amp;'Giá NC'!E9</f>
        <v xml:space="preserve"> - Nhân công bậc 3,5/7 - Nhóm 2</v>
      </c>
      <c r="F1309" s="585" t="str">
        <f>'Giá NC'!F9</f>
        <v>công</v>
      </c>
      <c r="G1309" s="588">
        <f>PTVT!G641</f>
        <v>1.81</v>
      </c>
      <c r="H1309" s="589">
        <f>'Giá NC'!K9</f>
        <v>270000</v>
      </c>
      <c r="I1309" s="603">
        <f>'5.Tiên lượng'!W163</f>
        <v>1</v>
      </c>
      <c r="J1309" s="589">
        <f>PRODUCT(G1309,H1309,I1309)</f>
        <v>488700</v>
      </c>
    </row>
    <row r="1310" spans="1:10">
      <c r="A1310" s="126"/>
      <c r="B1310" s="127"/>
      <c r="C1310" s="128" t="s">
        <v>590</v>
      </c>
      <c r="D1310" s="128" t="s">
        <v>590</v>
      </c>
      <c r="E1310" s="583" t="s">
        <v>267</v>
      </c>
      <c r="F1310" s="127" t="s">
        <v>268</v>
      </c>
      <c r="G1310" s="130"/>
      <c r="H1310" s="131"/>
      <c r="I1310" s="143"/>
      <c r="J1310" s="131">
        <f>SUM(J1311:J1311)</f>
        <v>15879.717681032944</v>
      </c>
    </row>
    <row r="1311" spans="1:10">
      <c r="A1311" s="584"/>
      <c r="B1311" s="585"/>
      <c r="C1311" s="586" t="s">
        <v>590</v>
      </c>
      <c r="D1311" s="133" t="s">
        <v>657</v>
      </c>
      <c r="E1311" s="587" t="str">
        <f>" - "&amp;'Giá Máy'!E28</f>
        <v xml:space="preserve"> - Máy trộn vữa 150l</v>
      </c>
      <c r="F1311" s="585" t="str">
        <f>'Giá Máy'!F28</f>
        <v>ca</v>
      </c>
      <c r="G1311" s="588">
        <f>PTVT!G643</f>
        <v>5.2999999999999999E-2</v>
      </c>
      <c r="H1311" s="589">
        <f>'Giá Máy'!O28</f>
        <v>299617.31473647064</v>
      </c>
      <c r="I1311" s="603">
        <f>'5.Tiên lượng'!X163</f>
        <v>1</v>
      </c>
      <c r="J1311" s="589">
        <f>PRODUCT(G1311,H1311,I1311)</f>
        <v>15879.717681032944</v>
      </c>
    </row>
    <row r="1312" spans="1:10">
      <c r="A1312" s="584"/>
      <c r="B1312" s="585"/>
      <c r="C1312" s="586" t="s">
        <v>590</v>
      </c>
      <c r="D1312" s="133" t="s">
        <v>590</v>
      </c>
      <c r="E1312" s="587" t="s">
        <v>269</v>
      </c>
      <c r="F1312" s="585" t="s">
        <v>270</v>
      </c>
      <c r="G1312" s="590"/>
      <c r="H1312" s="589"/>
      <c r="I1312" s="603"/>
      <c r="J1312" s="589">
        <f>J1302+J1308+J1310</f>
        <v>1438920.5895362641</v>
      </c>
    </row>
    <row r="1313" spans="1:10">
      <c r="A1313" s="584"/>
      <c r="B1313" s="585"/>
      <c r="C1313" s="586" t="s">
        <v>590</v>
      </c>
      <c r="D1313" s="133" t="s">
        <v>590</v>
      </c>
      <c r="E1313" s="587" t="s">
        <v>273</v>
      </c>
      <c r="F1313" s="585" t="s">
        <v>274</v>
      </c>
      <c r="G1313" s="591">
        <f>'Thông tin'!E67</f>
        <v>6.2E-2</v>
      </c>
      <c r="H1313" s="589"/>
      <c r="I1313" s="603"/>
      <c r="J1313" s="589">
        <f>(J1312)*G1313</f>
        <v>89213.076551248378</v>
      </c>
    </row>
    <row r="1314" spans="1:10">
      <c r="A1314" s="584"/>
      <c r="B1314" s="585"/>
      <c r="C1314" s="586" t="s">
        <v>590</v>
      </c>
      <c r="D1314" s="133" t="s">
        <v>590</v>
      </c>
      <c r="E1314" s="587" t="s">
        <v>276</v>
      </c>
      <c r="F1314" s="585" t="s">
        <v>277</v>
      </c>
      <c r="G1314" s="591">
        <f>'Thông tin'!E60</f>
        <v>2.2000000000000002E-2</v>
      </c>
      <c r="H1314" s="589"/>
      <c r="I1314" s="603"/>
      <c r="J1314" s="589">
        <f>(J1312)*G1314</f>
        <v>31656.252969797813</v>
      </c>
    </row>
    <row r="1315" spans="1:10" ht="27.6">
      <c r="A1315" s="584"/>
      <c r="B1315" s="585"/>
      <c r="C1315" s="586" t="s">
        <v>590</v>
      </c>
      <c r="D1315" s="133" t="s">
        <v>590</v>
      </c>
      <c r="E1315" s="587" t="s">
        <v>279</v>
      </c>
      <c r="F1315" s="585" t="s">
        <v>142</v>
      </c>
      <c r="G1315" s="591">
        <f>'Thông tin'!E65</f>
        <v>0.02</v>
      </c>
      <c r="H1315" s="589"/>
      <c r="I1315" s="603"/>
      <c r="J1315" s="589">
        <f>(J1312)*G1315</f>
        <v>28778.41179072528</v>
      </c>
    </row>
    <row r="1316" spans="1:10">
      <c r="A1316" s="584"/>
      <c r="B1316" s="585"/>
      <c r="C1316" s="586" t="s">
        <v>590</v>
      </c>
      <c r="D1316" s="133" t="s">
        <v>590</v>
      </c>
      <c r="E1316" s="587" t="s">
        <v>281</v>
      </c>
      <c r="F1316" s="585" t="s">
        <v>282</v>
      </c>
      <c r="G1316" s="590"/>
      <c r="H1316" s="589"/>
      <c r="I1316" s="603"/>
      <c r="J1316" s="589">
        <f>J1313+J1314+J1315</f>
        <v>149647.74131177148</v>
      </c>
    </row>
    <row r="1317" spans="1:10">
      <c r="A1317" s="584"/>
      <c r="B1317" s="585"/>
      <c r="C1317" s="586" t="s">
        <v>590</v>
      </c>
      <c r="D1317" s="133" t="s">
        <v>590</v>
      </c>
      <c r="E1317" s="587" t="s">
        <v>284</v>
      </c>
      <c r="F1317" s="585" t="s">
        <v>285</v>
      </c>
      <c r="G1317" s="591">
        <f>'Thông tin'!E63</f>
        <v>0.06</v>
      </c>
      <c r="H1317" s="589"/>
      <c r="I1317" s="603"/>
      <c r="J1317" s="589">
        <f>(J1312+J1316)*G1317</f>
        <v>95314.099850882136</v>
      </c>
    </row>
    <row r="1318" spans="1:10">
      <c r="A1318" s="584"/>
      <c r="B1318" s="585"/>
      <c r="C1318" s="586" t="s">
        <v>590</v>
      </c>
      <c r="D1318" s="133" t="s">
        <v>590</v>
      </c>
      <c r="E1318" s="592" t="s">
        <v>287</v>
      </c>
      <c r="F1318" s="593" t="s">
        <v>288</v>
      </c>
      <c r="G1318" s="590"/>
      <c r="H1318" s="589"/>
      <c r="I1318" s="603"/>
      <c r="J1318" s="604">
        <f>J1312+J1316+J1317</f>
        <v>1683882.4306989177</v>
      </c>
    </row>
    <row r="1319" spans="1:10">
      <c r="A1319" s="584"/>
      <c r="B1319" s="585"/>
      <c r="C1319" s="586" t="s">
        <v>590</v>
      </c>
      <c r="D1319" s="133" t="s">
        <v>590</v>
      </c>
      <c r="E1319" s="587" t="s">
        <v>290</v>
      </c>
      <c r="F1319" s="585" t="s">
        <v>291</v>
      </c>
      <c r="G1319" s="591">
        <f>'Thông tin'!E61</f>
        <v>0.1</v>
      </c>
      <c r="H1319" s="589"/>
      <c r="I1319" s="603"/>
      <c r="J1319" s="589">
        <f>(J1318)*G1319</f>
        <v>168388.24306989179</v>
      </c>
    </row>
    <row r="1320" spans="1:10">
      <c r="A1320" s="594"/>
      <c r="B1320" s="595"/>
      <c r="C1320" s="596" t="s">
        <v>590</v>
      </c>
      <c r="D1320" s="137" t="s">
        <v>590</v>
      </c>
      <c r="E1320" s="597" t="s">
        <v>293</v>
      </c>
      <c r="F1320" s="598" t="s">
        <v>19</v>
      </c>
      <c r="G1320" s="599"/>
      <c r="H1320" s="600"/>
      <c r="I1320" s="605"/>
      <c r="J1320" s="606">
        <f>J1318+J1319</f>
        <v>1852270.6737688095</v>
      </c>
    </row>
    <row r="1321" spans="1:10">
      <c r="A1321" s="572"/>
      <c r="B1321" s="573"/>
      <c r="C1321" s="574" t="s">
        <v>339</v>
      </c>
      <c r="D1321" s="117" t="s">
        <v>339</v>
      </c>
      <c r="E1321" s="575" t="s">
        <v>519</v>
      </c>
      <c r="F1321" s="573"/>
      <c r="G1321" s="576"/>
      <c r="H1321" s="577"/>
      <c r="I1321" s="601"/>
      <c r="J1321" s="577" t="s">
        <v>597</v>
      </c>
    </row>
    <row r="1322" spans="1:10" ht="27.6">
      <c r="A1322" s="578"/>
      <c r="B1322" s="579">
        <v>72</v>
      </c>
      <c r="C1322" s="578" t="str">
        <f>'5.Tiên lượng'!C165</f>
        <v>AA.22121</v>
      </c>
      <c r="D1322" s="578" t="str">
        <f>'5.Tiên lượng'!C165</f>
        <v>AA.22121</v>
      </c>
      <c r="E1322" s="580" t="str">
        <f>'5.Tiên lượng'!D165</f>
        <v>Phá dỡ kết cấu gạch đá bằng búa căn khí nén 3m3/ph</v>
      </c>
      <c r="F1322" s="579" t="str">
        <f>'5.Tiên lượng'!E165</f>
        <v>m3</v>
      </c>
      <c r="G1322" s="581"/>
      <c r="H1322" s="582"/>
      <c r="I1322" s="602"/>
      <c r="J1322" s="582"/>
    </row>
    <row r="1323" spans="1:10">
      <c r="A1323" s="126"/>
      <c r="B1323" s="127"/>
      <c r="C1323" s="128" t="s">
        <v>590</v>
      </c>
      <c r="D1323" s="128" t="s">
        <v>590</v>
      </c>
      <c r="E1323" s="583" t="s">
        <v>262</v>
      </c>
      <c r="F1323" s="127" t="s">
        <v>263</v>
      </c>
      <c r="G1323" s="130"/>
      <c r="H1323" s="131"/>
      <c r="I1323" s="143"/>
      <c r="J1323" s="131">
        <v>0</v>
      </c>
    </row>
    <row r="1324" spans="1:10">
      <c r="A1324" s="126"/>
      <c r="B1324" s="127"/>
      <c r="C1324" s="128" t="s">
        <v>590</v>
      </c>
      <c r="D1324" s="128" t="s">
        <v>590</v>
      </c>
      <c r="E1324" s="583" t="s">
        <v>265</v>
      </c>
      <c r="F1324" s="127" t="s">
        <v>266</v>
      </c>
      <c r="G1324" s="130"/>
      <c r="H1324" s="131"/>
      <c r="I1324" s="143"/>
      <c r="J1324" s="131">
        <f>SUM(J1325:J1325)</f>
        <v>45723.600000000006</v>
      </c>
    </row>
    <row r="1325" spans="1:10">
      <c r="A1325" s="584"/>
      <c r="B1325" s="585"/>
      <c r="C1325" s="586" t="s">
        <v>590</v>
      </c>
      <c r="D1325" s="133" t="s">
        <v>598</v>
      </c>
      <c r="E1325" s="587" t="str">
        <f>" - "&amp;'Giá NC'!E5</f>
        <v xml:space="preserve"> - Nhân công bậc 3,0/7 - Nhóm 1</v>
      </c>
      <c r="F1325" s="585" t="str">
        <f>'Giá NC'!F5</f>
        <v>công</v>
      </c>
      <c r="G1325" s="588">
        <f>PTVT!G647</f>
        <v>0.2</v>
      </c>
      <c r="H1325" s="589">
        <f>'Giá NC'!K5</f>
        <v>228618</v>
      </c>
      <c r="I1325" s="603">
        <f>'5.Tiên lượng'!W165</f>
        <v>1</v>
      </c>
      <c r="J1325" s="589">
        <f>PRODUCT(G1325,H1325,I1325)</f>
        <v>45723.600000000006</v>
      </c>
    </row>
    <row r="1326" spans="1:10">
      <c r="A1326" s="126"/>
      <c r="B1326" s="127"/>
      <c r="C1326" s="128" t="s">
        <v>590</v>
      </c>
      <c r="D1326" s="128" t="s">
        <v>590</v>
      </c>
      <c r="E1326" s="583" t="s">
        <v>267</v>
      </c>
      <c r="F1326" s="127" t="s">
        <v>268</v>
      </c>
      <c r="G1326" s="130"/>
      <c r="H1326" s="131"/>
      <c r="I1326" s="143"/>
      <c r="J1326" s="131">
        <f>SUM(J1327:J1328)</f>
        <v>90038.426666666666</v>
      </c>
    </row>
    <row r="1327" spans="1:10">
      <c r="A1327" s="584"/>
      <c r="B1327" s="585"/>
      <c r="C1327" s="586" t="s">
        <v>590</v>
      </c>
      <c r="D1327" s="133" t="s">
        <v>673</v>
      </c>
      <c r="E1327" s="587" t="str">
        <f>" - "&amp;'Giá Máy'!E5</f>
        <v xml:space="preserve"> - Búa căn khí nén 3m3/ph</v>
      </c>
      <c r="F1327" s="585" t="str">
        <f>'Giá Máy'!F5</f>
        <v>ca</v>
      </c>
      <c r="G1327" s="588">
        <f>PTVT!G649</f>
        <v>0.15</v>
      </c>
      <c r="H1327" s="589">
        <f>'Giá Máy'!O5</f>
        <v>21146.666666666668</v>
      </c>
      <c r="I1327" s="603">
        <f>'5.Tiên lượng'!X165</f>
        <v>1</v>
      </c>
      <c r="J1327" s="589">
        <f t="shared" ref="J1327:J1328" si="86">PRODUCT(G1327,H1327,I1327)</f>
        <v>3172</v>
      </c>
    </row>
    <row r="1328" spans="1:10">
      <c r="A1328" s="584"/>
      <c r="B1328" s="585"/>
      <c r="C1328" s="586" t="s">
        <v>590</v>
      </c>
      <c r="D1328" s="133" t="s">
        <v>674</v>
      </c>
      <c r="E1328" s="587" t="str">
        <f>" - "&amp;'Giá Máy'!E21</f>
        <v xml:space="preserve"> - Máy nén khí diezel 360m3/h</v>
      </c>
      <c r="F1328" s="585" t="str">
        <f>'Giá Máy'!F21</f>
        <v>ca</v>
      </c>
      <c r="G1328" s="588">
        <f>PTVT!G650</f>
        <v>7.4999999999999997E-2</v>
      </c>
      <c r="H1328" s="589">
        <f>'Giá Máy'!O21</f>
        <v>1158219.0222222223</v>
      </c>
      <c r="I1328" s="603">
        <f>'5.Tiên lượng'!X165</f>
        <v>1</v>
      </c>
      <c r="J1328" s="589">
        <f t="shared" si="86"/>
        <v>86866.426666666666</v>
      </c>
    </row>
    <row r="1329" spans="1:10">
      <c r="A1329" s="584"/>
      <c r="B1329" s="585"/>
      <c r="C1329" s="586" t="s">
        <v>590</v>
      </c>
      <c r="D1329" s="133" t="s">
        <v>590</v>
      </c>
      <c r="E1329" s="587" t="s">
        <v>269</v>
      </c>
      <c r="F1329" s="585" t="s">
        <v>270</v>
      </c>
      <c r="G1329" s="590"/>
      <c r="H1329" s="589"/>
      <c r="I1329" s="603"/>
      <c r="J1329" s="589">
        <f>J1323+J1324+J1326</f>
        <v>135762.02666666667</v>
      </c>
    </row>
    <row r="1330" spans="1:10">
      <c r="A1330" s="584"/>
      <c r="B1330" s="585"/>
      <c r="C1330" s="586" t="s">
        <v>590</v>
      </c>
      <c r="D1330" s="133" t="s">
        <v>590</v>
      </c>
      <c r="E1330" s="587" t="s">
        <v>273</v>
      </c>
      <c r="F1330" s="585" t="s">
        <v>274</v>
      </c>
      <c r="G1330" s="591">
        <f>'Thông tin'!E67</f>
        <v>6.2E-2</v>
      </c>
      <c r="H1330" s="589"/>
      <c r="I1330" s="603"/>
      <c r="J1330" s="589">
        <f>(J1329)*G1330</f>
        <v>8417.2456533333334</v>
      </c>
    </row>
    <row r="1331" spans="1:10">
      <c r="A1331" s="584"/>
      <c r="B1331" s="585"/>
      <c r="C1331" s="586" t="s">
        <v>590</v>
      </c>
      <c r="D1331" s="133" t="s">
        <v>590</v>
      </c>
      <c r="E1331" s="587" t="s">
        <v>276</v>
      </c>
      <c r="F1331" s="585" t="s">
        <v>277</v>
      </c>
      <c r="G1331" s="591">
        <f>'Thông tin'!E60</f>
        <v>2.2000000000000002E-2</v>
      </c>
      <c r="H1331" s="589"/>
      <c r="I1331" s="603"/>
      <c r="J1331" s="589">
        <f>(J1329)*G1331</f>
        <v>2986.7645866666671</v>
      </c>
    </row>
    <row r="1332" spans="1:10" ht="27.6">
      <c r="A1332" s="584"/>
      <c r="B1332" s="585"/>
      <c r="C1332" s="586" t="s">
        <v>590</v>
      </c>
      <c r="D1332" s="133" t="s">
        <v>590</v>
      </c>
      <c r="E1332" s="587" t="s">
        <v>279</v>
      </c>
      <c r="F1332" s="585" t="s">
        <v>142</v>
      </c>
      <c r="G1332" s="591">
        <f>'Thông tin'!E65</f>
        <v>0.02</v>
      </c>
      <c r="H1332" s="589"/>
      <c r="I1332" s="603"/>
      <c r="J1332" s="589">
        <f>(J1329)*G1332</f>
        <v>2715.2405333333336</v>
      </c>
    </row>
    <row r="1333" spans="1:10">
      <c r="A1333" s="584"/>
      <c r="B1333" s="585"/>
      <c r="C1333" s="586" t="s">
        <v>590</v>
      </c>
      <c r="D1333" s="133" t="s">
        <v>590</v>
      </c>
      <c r="E1333" s="587" t="s">
        <v>281</v>
      </c>
      <c r="F1333" s="585" t="s">
        <v>282</v>
      </c>
      <c r="G1333" s="590"/>
      <c r="H1333" s="589"/>
      <c r="I1333" s="603"/>
      <c r="J1333" s="589">
        <f>J1330+J1331+J1332</f>
        <v>14119.250773333333</v>
      </c>
    </row>
    <row r="1334" spans="1:10">
      <c r="A1334" s="584"/>
      <c r="B1334" s="585"/>
      <c r="C1334" s="586" t="s">
        <v>590</v>
      </c>
      <c r="D1334" s="133" t="s">
        <v>590</v>
      </c>
      <c r="E1334" s="587" t="s">
        <v>284</v>
      </c>
      <c r="F1334" s="585" t="s">
        <v>285</v>
      </c>
      <c r="G1334" s="591">
        <f>'Thông tin'!E63</f>
        <v>0.06</v>
      </c>
      <c r="H1334" s="589"/>
      <c r="I1334" s="603"/>
      <c r="J1334" s="589">
        <f>(J1329+J1333)*G1334</f>
        <v>8992.8766464</v>
      </c>
    </row>
    <row r="1335" spans="1:10">
      <c r="A1335" s="584"/>
      <c r="B1335" s="585"/>
      <c r="C1335" s="586" t="s">
        <v>590</v>
      </c>
      <c r="D1335" s="133" t="s">
        <v>590</v>
      </c>
      <c r="E1335" s="592" t="s">
        <v>287</v>
      </c>
      <c r="F1335" s="593" t="s">
        <v>288</v>
      </c>
      <c r="G1335" s="590"/>
      <c r="H1335" s="589"/>
      <c r="I1335" s="603"/>
      <c r="J1335" s="604">
        <f>J1329+J1333+J1334</f>
        <v>158874.1540864</v>
      </c>
    </row>
    <row r="1336" spans="1:10">
      <c r="A1336" s="584"/>
      <c r="B1336" s="585"/>
      <c r="C1336" s="586" t="s">
        <v>590</v>
      </c>
      <c r="D1336" s="133" t="s">
        <v>590</v>
      </c>
      <c r="E1336" s="587" t="s">
        <v>290</v>
      </c>
      <c r="F1336" s="585" t="s">
        <v>291</v>
      </c>
      <c r="G1336" s="591">
        <f>'Thông tin'!E61</f>
        <v>0.1</v>
      </c>
      <c r="H1336" s="589"/>
      <c r="I1336" s="603"/>
      <c r="J1336" s="589">
        <f>(J1335)*G1336</f>
        <v>15887.415408640001</v>
      </c>
    </row>
    <row r="1337" spans="1:10">
      <c r="A1337" s="594"/>
      <c r="B1337" s="595"/>
      <c r="C1337" s="596" t="s">
        <v>590</v>
      </c>
      <c r="D1337" s="137" t="s">
        <v>590</v>
      </c>
      <c r="E1337" s="597" t="s">
        <v>293</v>
      </c>
      <c r="F1337" s="598" t="s">
        <v>19</v>
      </c>
      <c r="G1337" s="599"/>
      <c r="H1337" s="600"/>
      <c r="I1337" s="605"/>
      <c r="J1337" s="606">
        <f>J1335+J1336</f>
        <v>174761.56949503999</v>
      </c>
    </row>
    <row r="1338" spans="1:10">
      <c r="A1338" s="572"/>
      <c r="B1338" s="573"/>
      <c r="C1338" s="574" t="s">
        <v>339</v>
      </c>
      <c r="D1338" s="117" t="s">
        <v>339</v>
      </c>
      <c r="E1338" s="575" t="s">
        <v>524</v>
      </c>
      <c r="F1338" s="573"/>
      <c r="G1338" s="576"/>
      <c r="H1338" s="577"/>
      <c r="I1338" s="601"/>
      <c r="J1338" s="577" t="s">
        <v>597</v>
      </c>
    </row>
    <row r="1339" spans="1:10" ht="27.6">
      <c r="A1339" s="578"/>
      <c r="B1339" s="579">
        <v>73</v>
      </c>
      <c r="C1339" s="578" t="str">
        <f>'5.Tiên lượng'!C169</f>
        <v>AB.25112</v>
      </c>
      <c r="D1339" s="578" t="str">
        <f>'5.Tiên lượng'!C169</f>
        <v>AB.25112</v>
      </c>
      <c r="E1339" s="580" t="str">
        <f>'5.Tiên lượng'!D169</f>
        <v>Đào móng bằng máy đào 0,8m3, chiều rộng móng ≤6m - Cấp đất II</v>
      </c>
      <c r="F1339" s="579" t="str">
        <f>'5.Tiên lượng'!E169</f>
        <v>100m3</v>
      </c>
      <c r="G1339" s="581"/>
      <c r="H1339" s="582"/>
      <c r="I1339" s="602"/>
      <c r="J1339" s="582"/>
    </row>
    <row r="1340" spans="1:10">
      <c r="A1340" s="126"/>
      <c r="B1340" s="127"/>
      <c r="C1340" s="128" t="s">
        <v>590</v>
      </c>
      <c r="D1340" s="128" t="s">
        <v>590</v>
      </c>
      <c r="E1340" s="583" t="s">
        <v>262</v>
      </c>
      <c r="F1340" s="127" t="s">
        <v>263</v>
      </c>
      <c r="G1340" s="130"/>
      <c r="H1340" s="131"/>
      <c r="I1340" s="143"/>
      <c r="J1340" s="131">
        <v>0</v>
      </c>
    </row>
    <row r="1341" spans="1:10">
      <c r="A1341" s="126"/>
      <c r="B1341" s="127"/>
      <c r="C1341" s="128" t="s">
        <v>590</v>
      </c>
      <c r="D1341" s="128" t="s">
        <v>590</v>
      </c>
      <c r="E1341" s="583" t="s">
        <v>265</v>
      </c>
      <c r="F1341" s="127" t="s">
        <v>266</v>
      </c>
      <c r="G1341" s="130"/>
      <c r="H1341" s="131"/>
      <c r="I1341" s="143"/>
      <c r="J1341" s="131">
        <f>SUM(J1342:J1342)</f>
        <v>868748.39999999991</v>
      </c>
    </row>
    <row r="1342" spans="1:10">
      <c r="A1342" s="584"/>
      <c r="B1342" s="585"/>
      <c r="C1342" s="586" t="s">
        <v>590</v>
      </c>
      <c r="D1342" s="133" t="s">
        <v>598</v>
      </c>
      <c r="E1342" s="587" t="str">
        <f>" - "&amp;'Giá NC'!E5</f>
        <v xml:space="preserve"> - Nhân công bậc 3,0/7 - Nhóm 1</v>
      </c>
      <c r="F1342" s="585" t="str">
        <f>'Giá NC'!F5</f>
        <v>công</v>
      </c>
      <c r="G1342" s="588">
        <f>PTVT!G654</f>
        <v>3.8</v>
      </c>
      <c r="H1342" s="589">
        <f>'Giá NC'!K5</f>
        <v>228618</v>
      </c>
      <c r="I1342" s="603">
        <f>'5.Tiên lượng'!W169</f>
        <v>1</v>
      </c>
      <c r="J1342" s="589">
        <f>PRODUCT(G1342,H1342,I1342)</f>
        <v>868748.39999999991</v>
      </c>
    </row>
    <row r="1343" spans="1:10">
      <c r="A1343" s="126"/>
      <c r="B1343" s="127"/>
      <c r="C1343" s="128" t="s">
        <v>590</v>
      </c>
      <c r="D1343" s="128" t="s">
        <v>590</v>
      </c>
      <c r="E1343" s="583" t="s">
        <v>267</v>
      </c>
      <c r="F1343" s="127" t="s">
        <v>268</v>
      </c>
      <c r="G1343" s="130"/>
      <c r="H1343" s="131"/>
      <c r="I1343" s="143"/>
      <c r="J1343" s="131">
        <f>SUM(J1344:J1344)</f>
        <v>946856.55690000008</v>
      </c>
    </row>
    <row r="1344" spans="1:10">
      <c r="A1344" s="584"/>
      <c r="B1344" s="585"/>
      <c r="C1344" s="586" t="s">
        <v>590</v>
      </c>
      <c r="D1344" s="133" t="s">
        <v>675</v>
      </c>
      <c r="E1344" s="587" t="str">
        <f>" - "&amp;'Giá Máy'!E13</f>
        <v xml:space="preserve"> - Máy đào 0,8m3</v>
      </c>
      <c r="F1344" s="585" t="str">
        <f>'Giá Máy'!F13</f>
        <v>ca</v>
      </c>
      <c r="G1344" s="588">
        <f>PTVT!G656</f>
        <v>0.372</v>
      </c>
      <c r="H1344" s="589">
        <f>'Giá Máy'!O13</f>
        <v>2545313.3250000002</v>
      </c>
      <c r="I1344" s="603">
        <f>'5.Tiên lượng'!X169</f>
        <v>1</v>
      </c>
      <c r="J1344" s="589">
        <f>PRODUCT(G1344,H1344,I1344)</f>
        <v>946856.55690000008</v>
      </c>
    </row>
    <row r="1345" spans="1:10">
      <c r="A1345" s="584"/>
      <c r="B1345" s="585"/>
      <c r="C1345" s="586" t="s">
        <v>590</v>
      </c>
      <c r="D1345" s="133" t="s">
        <v>590</v>
      </c>
      <c r="E1345" s="587" t="s">
        <v>269</v>
      </c>
      <c r="F1345" s="585" t="s">
        <v>270</v>
      </c>
      <c r="G1345" s="590"/>
      <c r="H1345" s="589"/>
      <c r="I1345" s="603"/>
      <c r="J1345" s="589">
        <f>J1340+J1341+J1343</f>
        <v>1815604.9569000001</v>
      </c>
    </row>
    <row r="1346" spans="1:10">
      <c r="A1346" s="584"/>
      <c r="B1346" s="585"/>
      <c r="C1346" s="586" t="s">
        <v>590</v>
      </c>
      <c r="D1346" s="133" t="s">
        <v>590</v>
      </c>
      <c r="E1346" s="587" t="s">
        <v>273</v>
      </c>
      <c r="F1346" s="585" t="s">
        <v>274</v>
      </c>
      <c r="G1346" s="591">
        <f>'Thông tin'!E67</f>
        <v>6.2E-2</v>
      </c>
      <c r="H1346" s="589"/>
      <c r="I1346" s="603"/>
      <c r="J1346" s="589">
        <f>(J1345)*G1346</f>
        <v>112567.50732780001</v>
      </c>
    </row>
    <row r="1347" spans="1:10">
      <c r="A1347" s="584"/>
      <c r="B1347" s="585"/>
      <c r="C1347" s="586" t="s">
        <v>590</v>
      </c>
      <c r="D1347" s="133" t="s">
        <v>590</v>
      </c>
      <c r="E1347" s="587" t="s">
        <v>276</v>
      </c>
      <c r="F1347" s="585" t="s">
        <v>277</v>
      </c>
      <c r="G1347" s="591">
        <f>'Thông tin'!E60</f>
        <v>2.2000000000000002E-2</v>
      </c>
      <c r="H1347" s="589"/>
      <c r="I1347" s="603"/>
      <c r="J1347" s="589">
        <f>(J1345)*G1347</f>
        <v>39943.30905180001</v>
      </c>
    </row>
    <row r="1348" spans="1:10" ht="27.6">
      <c r="A1348" s="584"/>
      <c r="B1348" s="585"/>
      <c r="C1348" s="586" t="s">
        <v>590</v>
      </c>
      <c r="D1348" s="133" t="s">
        <v>590</v>
      </c>
      <c r="E1348" s="587" t="s">
        <v>279</v>
      </c>
      <c r="F1348" s="585" t="s">
        <v>142</v>
      </c>
      <c r="G1348" s="591">
        <f>'Thông tin'!E65</f>
        <v>0.02</v>
      </c>
      <c r="H1348" s="589"/>
      <c r="I1348" s="603"/>
      <c r="J1348" s="589">
        <f>(J1345)*G1348</f>
        <v>36312.099138000005</v>
      </c>
    </row>
    <row r="1349" spans="1:10">
      <c r="A1349" s="584"/>
      <c r="B1349" s="585"/>
      <c r="C1349" s="586" t="s">
        <v>590</v>
      </c>
      <c r="D1349" s="133" t="s">
        <v>590</v>
      </c>
      <c r="E1349" s="587" t="s">
        <v>281</v>
      </c>
      <c r="F1349" s="585" t="s">
        <v>282</v>
      </c>
      <c r="G1349" s="590"/>
      <c r="H1349" s="589"/>
      <c r="I1349" s="603"/>
      <c r="J1349" s="589">
        <f>J1346+J1347+J1348</f>
        <v>188822.91551760002</v>
      </c>
    </row>
    <row r="1350" spans="1:10">
      <c r="A1350" s="584"/>
      <c r="B1350" s="585"/>
      <c r="C1350" s="586" t="s">
        <v>590</v>
      </c>
      <c r="D1350" s="133" t="s">
        <v>590</v>
      </c>
      <c r="E1350" s="587" t="s">
        <v>284</v>
      </c>
      <c r="F1350" s="585" t="s">
        <v>285</v>
      </c>
      <c r="G1350" s="591">
        <f>'Thông tin'!E63</f>
        <v>0.06</v>
      </c>
      <c r="H1350" s="589"/>
      <c r="I1350" s="603"/>
      <c r="J1350" s="589">
        <f>(J1345+J1349)*G1350</f>
        <v>120265.67234505601</v>
      </c>
    </row>
    <row r="1351" spans="1:10">
      <c r="A1351" s="584"/>
      <c r="B1351" s="585"/>
      <c r="C1351" s="586" t="s">
        <v>590</v>
      </c>
      <c r="D1351" s="133" t="s">
        <v>590</v>
      </c>
      <c r="E1351" s="592" t="s">
        <v>287</v>
      </c>
      <c r="F1351" s="593" t="s">
        <v>288</v>
      </c>
      <c r="G1351" s="590"/>
      <c r="H1351" s="589"/>
      <c r="I1351" s="603"/>
      <c r="J1351" s="604">
        <f>J1345+J1349+J1350</f>
        <v>2124693.5447626561</v>
      </c>
    </row>
    <row r="1352" spans="1:10">
      <c r="A1352" s="584"/>
      <c r="B1352" s="585"/>
      <c r="C1352" s="586" t="s">
        <v>590</v>
      </c>
      <c r="D1352" s="133" t="s">
        <v>590</v>
      </c>
      <c r="E1352" s="587" t="s">
        <v>290</v>
      </c>
      <c r="F1352" s="585" t="s">
        <v>291</v>
      </c>
      <c r="G1352" s="591">
        <f>'Thông tin'!E61</f>
        <v>0.1</v>
      </c>
      <c r="H1352" s="589"/>
      <c r="I1352" s="603"/>
      <c r="J1352" s="589">
        <f>(J1351)*G1352</f>
        <v>212469.35447626561</v>
      </c>
    </row>
    <row r="1353" spans="1:10">
      <c r="A1353" s="594"/>
      <c r="B1353" s="595"/>
      <c r="C1353" s="596" t="s">
        <v>590</v>
      </c>
      <c r="D1353" s="137" t="s">
        <v>590</v>
      </c>
      <c r="E1353" s="597" t="s">
        <v>293</v>
      </c>
      <c r="F1353" s="598" t="s">
        <v>19</v>
      </c>
      <c r="G1353" s="599"/>
      <c r="H1353" s="600"/>
      <c r="I1353" s="605"/>
      <c r="J1353" s="606">
        <f>J1351+J1352</f>
        <v>2337162.8992389217</v>
      </c>
    </row>
    <row r="1354" spans="1:10" ht="27.6">
      <c r="A1354" s="578"/>
      <c r="B1354" s="579">
        <v>74</v>
      </c>
      <c r="C1354" s="578" t="str">
        <f>'5.Tiên lượng'!C171</f>
        <v>AB.25113</v>
      </c>
      <c r="D1354" s="578" t="str">
        <f>'5.Tiên lượng'!C171</f>
        <v>AB.25113</v>
      </c>
      <c r="E1354" s="580" t="str">
        <f>'5.Tiên lượng'!D171</f>
        <v>Đào móng bằng máy đào 0,8m3, chiều rộng móng ≤6m - Cấp đất III</v>
      </c>
      <c r="F1354" s="579" t="str">
        <f>'5.Tiên lượng'!E171</f>
        <v>100m3</v>
      </c>
      <c r="G1354" s="581"/>
      <c r="H1354" s="582"/>
      <c r="I1354" s="602"/>
      <c r="J1354" s="582"/>
    </row>
    <row r="1355" spans="1:10">
      <c r="A1355" s="126"/>
      <c r="B1355" s="127"/>
      <c r="C1355" s="128" t="s">
        <v>590</v>
      </c>
      <c r="D1355" s="128" t="s">
        <v>590</v>
      </c>
      <c r="E1355" s="583" t="s">
        <v>262</v>
      </c>
      <c r="F1355" s="127" t="s">
        <v>263</v>
      </c>
      <c r="G1355" s="130"/>
      <c r="H1355" s="131"/>
      <c r="I1355" s="143"/>
      <c r="J1355" s="131">
        <v>0</v>
      </c>
    </row>
    <row r="1356" spans="1:10">
      <c r="A1356" s="126"/>
      <c r="B1356" s="127"/>
      <c r="C1356" s="128" t="s">
        <v>590</v>
      </c>
      <c r="D1356" s="128" t="s">
        <v>590</v>
      </c>
      <c r="E1356" s="583" t="s">
        <v>265</v>
      </c>
      <c r="F1356" s="127" t="s">
        <v>266</v>
      </c>
      <c r="G1356" s="130"/>
      <c r="H1356" s="131"/>
      <c r="I1356" s="143"/>
      <c r="J1356" s="131">
        <f>SUM(J1357:J1357)</f>
        <v>1021922.46</v>
      </c>
    </row>
    <row r="1357" spans="1:10">
      <c r="A1357" s="584"/>
      <c r="B1357" s="585"/>
      <c r="C1357" s="586" t="s">
        <v>590</v>
      </c>
      <c r="D1357" s="133" t="s">
        <v>598</v>
      </c>
      <c r="E1357" s="587" t="str">
        <f>" - "&amp;'Giá NC'!E5</f>
        <v xml:space="preserve"> - Nhân công bậc 3,0/7 - Nhóm 1</v>
      </c>
      <c r="F1357" s="585" t="str">
        <f>'Giá NC'!F5</f>
        <v>công</v>
      </c>
      <c r="G1357" s="588">
        <f>PTVT!G659</f>
        <v>4.47</v>
      </c>
      <c r="H1357" s="589">
        <f>'Giá NC'!K5</f>
        <v>228618</v>
      </c>
      <c r="I1357" s="603">
        <f>'5.Tiên lượng'!W171</f>
        <v>1</v>
      </c>
      <c r="J1357" s="589">
        <f>PRODUCT(G1357,H1357,I1357)</f>
        <v>1021922.46</v>
      </c>
    </row>
    <row r="1358" spans="1:10">
      <c r="A1358" s="126"/>
      <c r="B1358" s="127"/>
      <c r="C1358" s="128" t="s">
        <v>590</v>
      </c>
      <c r="D1358" s="128" t="s">
        <v>590</v>
      </c>
      <c r="E1358" s="583" t="s">
        <v>267</v>
      </c>
      <c r="F1358" s="127" t="s">
        <v>268</v>
      </c>
      <c r="G1358" s="130"/>
      <c r="H1358" s="131"/>
      <c r="I1358" s="143"/>
      <c r="J1358" s="131">
        <f>SUM(J1359:J1359)</f>
        <v>1323562.9290000002</v>
      </c>
    </row>
    <row r="1359" spans="1:10">
      <c r="A1359" s="584"/>
      <c r="B1359" s="585"/>
      <c r="C1359" s="586" t="s">
        <v>590</v>
      </c>
      <c r="D1359" s="133" t="s">
        <v>675</v>
      </c>
      <c r="E1359" s="587" t="str">
        <f>" - "&amp;'Giá Máy'!E13</f>
        <v xml:space="preserve"> - Máy đào 0,8m3</v>
      </c>
      <c r="F1359" s="585" t="str">
        <f>'Giá Máy'!F13</f>
        <v>ca</v>
      </c>
      <c r="G1359" s="588">
        <f>PTVT!G661</f>
        <v>0.52</v>
      </c>
      <c r="H1359" s="589">
        <f>'Giá Máy'!O13</f>
        <v>2545313.3250000002</v>
      </c>
      <c r="I1359" s="603">
        <f>'5.Tiên lượng'!X171</f>
        <v>1</v>
      </c>
      <c r="J1359" s="589">
        <f>PRODUCT(G1359,H1359,I1359)</f>
        <v>1323562.9290000002</v>
      </c>
    </row>
    <row r="1360" spans="1:10">
      <c r="A1360" s="584"/>
      <c r="B1360" s="585"/>
      <c r="C1360" s="586" t="s">
        <v>590</v>
      </c>
      <c r="D1360" s="133" t="s">
        <v>590</v>
      </c>
      <c r="E1360" s="587" t="s">
        <v>269</v>
      </c>
      <c r="F1360" s="585" t="s">
        <v>270</v>
      </c>
      <c r="G1360" s="590"/>
      <c r="H1360" s="589"/>
      <c r="I1360" s="603"/>
      <c r="J1360" s="589">
        <f>J1355+J1356+J1358</f>
        <v>2345485.3890000004</v>
      </c>
    </row>
    <row r="1361" spans="1:10">
      <c r="A1361" s="584"/>
      <c r="B1361" s="585"/>
      <c r="C1361" s="586" t="s">
        <v>590</v>
      </c>
      <c r="D1361" s="133" t="s">
        <v>590</v>
      </c>
      <c r="E1361" s="587" t="s">
        <v>273</v>
      </c>
      <c r="F1361" s="585" t="s">
        <v>274</v>
      </c>
      <c r="G1361" s="591">
        <f>'Thông tin'!E67</f>
        <v>6.2E-2</v>
      </c>
      <c r="H1361" s="589"/>
      <c r="I1361" s="603"/>
      <c r="J1361" s="589">
        <f>(J1360)*G1361</f>
        <v>145420.09411800004</v>
      </c>
    </row>
    <row r="1362" spans="1:10">
      <c r="A1362" s="584"/>
      <c r="B1362" s="585"/>
      <c r="C1362" s="586" t="s">
        <v>590</v>
      </c>
      <c r="D1362" s="133" t="s">
        <v>590</v>
      </c>
      <c r="E1362" s="587" t="s">
        <v>276</v>
      </c>
      <c r="F1362" s="585" t="s">
        <v>277</v>
      </c>
      <c r="G1362" s="591">
        <f>'Thông tin'!E60</f>
        <v>2.2000000000000002E-2</v>
      </c>
      <c r="H1362" s="589"/>
      <c r="I1362" s="603"/>
      <c r="J1362" s="589">
        <f>(J1360)*G1362</f>
        <v>51600.678558000014</v>
      </c>
    </row>
    <row r="1363" spans="1:10" ht="27.6">
      <c r="A1363" s="584"/>
      <c r="B1363" s="585"/>
      <c r="C1363" s="586" t="s">
        <v>590</v>
      </c>
      <c r="D1363" s="133" t="s">
        <v>590</v>
      </c>
      <c r="E1363" s="587" t="s">
        <v>279</v>
      </c>
      <c r="F1363" s="585" t="s">
        <v>142</v>
      </c>
      <c r="G1363" s="591">
        <f>'Thông tin'!E65</f>
        <v>0.02</v>
      </c>
      <c r="H1363" s="589"/>
      <c r="I1363" s="603"/>
      <c r="J1363" s="589">
        <f>(J1360)*G1363</f>
        <v>46909.707780000012</v>
      </c>
    </row>
    <row r="1364" spans="1:10">
      <c r="A1364" s="584"/>
      <c r="B1364" s="585"/>
      <c r="C1364" s="586" t="s">
        <v>590</v>
      </c>
      <c r="D1364" s="133" t="s">
        <v>590</v>
      </c>
      <c r="E1364" s="587" t="s">
        <v>281</v>
      </c>
      <c r="F1364" s="585" t="s">
        <v>282</v>
      </c>
      <c r="G1364" s="590"/>
      <c r="H1364" s="589"/>
      <c r="I1364" s="603"/>
      <c r="J1364" s="589">
        <f>J1361+J1362+J1363</f>
        <v>243930.48045600008</v>
      </c>
    </row>
    <row r="1365" spans="1:10">
      <c r="A1365" s="584"/>
      <c r="B1365" s="585"/>
      <c r="C1365" s="586" t="s">
        <v>590</v>
      </c>
      <c r="D1365" s="133" t="s">
        <v>590</v>
      </c>
      <c r="E1365" s="587" t="s">
        <v>284</v>
      </c>
      <c r="F1365" s="585" t="s">
        <v>285</v>
      </c>
      <c r="G1365" s="591">
        <f>'Thông tin'!E63</f>
        <v>0.06</v>
      </c>
      <c r="H1365" s="589"/>
      <c r="I1365" s="603"/>
      <c r="J1365" s="589">
        <f>(J1360+J1364)*G1365</f>
        <v>155364.95216736002</v>
      </c>
    </row>
    <row r="1366" spans="1:10">
      <c r="A1366" s="584"/>
      <c r="B1366" s="585"/>
      <c r="C1366" s="586" t="s">
        <v>590</v>
      </c>
      <c r="D1366" s="133" t="s">
        <v>590</v>
      </c>
      <c r="E1366" s="592" t="s">
        <v>287</v>
      </c>
      <c r="F1366" s="593" t="s">
        <v>288</v>
      </c>
      <c r="G1366" s="590"/>
      <c r="H1366" s="589"/>
      <c r="I1366" s="603"/>
      <c r="J1366" s="604">
        <f>J1360+J1364+J1365</f>
        <v>2744780.8216233607</v>
      </c>
    </row>
    <row r="1367" spans="1:10">
      <c r="A1367" s="584"/>
      <c r="B1367" s="585"/>
      <c r="C1367" s="586" t="s">
        <v>590</v>
      </c>
      <c r="D1367" s="133" t="s">
        <v>590</v>
      </c>
      <c r="E1367" s="587" t="s">
        <v>290</v>
      </c>
      <c r="F1367" s="585" t="s">
        <v>291</v>
      </c>
      <c r="G1367" s="591">
        <f>'Thông tin'!E61</f>
        <v>0.1</v>
      </c>
      <c r="H1367" s="589"/>
      <c r="I1367" s="603"/>
      <c r="J1367" s="589">
        <f>(J1366)*G1367</f>
        <v>274478.0821623361</v>
      </c>
    </row>
    <row r="1368" spans="1:10">
      <c r="A1368" s="594"/>
      <c r="B1368" s="595"/>
      <c r="C1368" s="596" t="s">
        <v>590</v>
      </c>
      <c r="D1368" s="137" t="s">
        <v>590</v>
      </c>
      <c r="E1368" s="597" t="s">
        <v>293</v>
      </c>
      <c r="F1368" s="598" t="s">
        <v>19</v>
      </c>
      <c r="G1368" s="599"/>
      <c r="H1368" s="600"/>
      <c r="I1368" s="605"/>
      <c r="J1368" s="606">
        <f>J1366+J1367</f>
        <v>3019258.9037856967</v>
      </c>
    </row>
    <row r="1369" spans="1:10" ht="27.6">
      <c r="A1369" s="578"/>
      <c r="B1369" s="579">
        <v>75</v>
      </c>
      <c r="C1369" s="578" t="str">
        <f>'5.Tiên lượng'!C173</f>
        <v>AB.25114</v>
      </c>
      <c r="D1369" s="578" t="str">
        <f>'5.Tiên lượng'!C173</f>
        <v>AB.25114</v>
      </c>
      <c r="E1369" s="580" t="str">
        <f>'5.Tiên lượng'!D173</f>
        <v>Đào móng bằng máy đào 0,8m3, chiều rộng móng ≤6m - Cấp đất IV</v>
      </c>
      <c r="F1369" s="579" t="str">
        <f>'5.Tiên lượng'!E173</f>
        <v>100m3</v>
      </c>
      <c r="G1369" s="581"/>
      <c r="H1369" s="582"/>
      <c r="I1369" s="602"/>
      <c r="J1369" s="582"/>
    </row>
    <row r="1370" spans="1:10">
      <c r="A1370" s="126"/>
      <c r="B1370" s="127"/>
      <c r="C1370" s="128" t="s">
        <v>590</v>
      </c>
      <c r="D1370" s="128" t="s">
        <v>590</v>
      </c>
      <c r="E1370" s="583" t="s">
        <v>262</v>
      </c>
      <c r="F1370" s="127" t="s">
        <v>263</v>
      </c>
      <c r="G1370" s="130"/>
      <c r="H1370" s="131"/>
      <c r="I1370" s="143"/>
      <c r="J1370" s="131">
        <v>0</v>
      </c>
    </row>
    <row r="1371" spans="1:10">
      <c r="A1371" s="126"/>
      <c r="B1371" s="127"/>
      <c r="C1371" s="128" t="s">
        <v>590</v>
      </c>
      <c r="D1371" s="128" t="s">
        <v>590</v>
      </c>
      <c r="E1371" s="583" t="s">
        <v>265</v>
      </c>
      <c r="F1371" s="127" t="s">
        <v>266</v>
      </c>
      <c r="G1371" s="130"/>
      <c r="H1371" s="131"/>
      <c r="I1371" s="143"/>
      <c r="J1371" s="131">
        <f>SUM(J1372:J1372)</f>
        <v>1133945.28</v>
      </c>
    </row>
    <row r="1372" spans="1:10">
      <c r="A1372" s="584"/>
      <c r="B1372" s="585"/>
      <c r="C1372" s="586" t="s">
        <v>590</v>
      </c>
      <c r="D1372" s="133" t="s">
        <v>598</v>
      </c>
      <c r="E1372" s="587" t="str">
        <f>" - "&amp;'Giá NC'!E5</f>
        <v xml:space="preserve"> - Nhân công bậc 3,0/7 - Nhóm 1</v>
      </c>
      <c r="F1372" s="585" t="str">
        <f>'Giá NC'!F5</f>
        <v>công</v>
      </c>
      <c r="G1372" s="588">
        <f>PTVT!G664</f>
        <v>4.96</v>
      </c>
      <c r="H1372" s="589">
        <f>'Giá NC'!K5</f>
        <v>228618</v>
      </c>
      <c r="I1372" s="603">
        <f>'5.Tiên lượng'!W173</f>
        <v>1</v>
      </c>
      <c r="J1372" s="589">
        <f>PRODUCT(G1372,H1372,I1372)</f>
        <v>1133945.28</v>
      </c>
    </row>
    <row r="1373" spans="1:10">
      <c r="A1373" s="126"/>
      <c r="B1373" s="127"/>
      <c r="C1373" s="128" t="s">
        <v>590</v>
      </c>
      <c r="D1373" s="128" t="s">
        <v>590</v>
      </c>
      <c r="E1373" s="583" t="s">
        <v>267</v>
      </c>
      <c r="F1373" s="127" t="s">
        <v>268</v>
      </c>
      <c r="G1373" s="130"/>
      <c r="H1373" s="131"/>
      <c r="I1373" s="143"/>
      <c r="J1373" s="131">
        <f>SUM(J1374:J1374)</f>
        <v>1534823.9349750001</v>
      </c>
    </row>
    <row r="1374" spans="1:10">
      <c r="A1374" s="584"/>
      <c r="B1374" s="585"/>
      <c r="C1374" s="586" t="s">
        <v>590</v>
      </c>
      <c r="D1374" s="133" t="s">
        <v>675</v>
      </c>
      <c r="E1374" s="587" t="str">
        <f>" - "&amp;'Giá Máy'!E13</f>
        <v xml:space="preserve"> - Máy đào 0,8m3</v>
      </c>
      <c r="F1374" s="585" t="str">
        <f>'Giá Máy'!F13</f>
        <v>ca</v>
      </c>
      <c r="G1374" s="588">
        <f>PTVT!G666</f>
        <v>0.60299999999999998</v>
      </c>
      <c r="H1374" s="589">
        <f>'Giá Máy'!O13</f>
        <v>2545313.3250000002</v>
      </c>
      <c r="I1374" s="603">
        <f>'5.Tiên lượng'!X173</f>
        <v>1</v>
      </c>
      <c r="J1374" s="589">
        <f>PRODUCT(G1374,H1374,I1374)</f>
        <v>1534823.9349750001</v>
      </c>
    </row>
    <row r="1375" spans="1:10">
      <c r="A1375" s="584"/>
      <c r="B1375" s="585"/>
      <c r="C1375" s="586" t="s">
        <v>590</v>
      </c>
      <c r="D1375" s="133" t="s">
        <v>590</v>
      </c>
      <c r="E1375" s="587" t="s">
        <v>269</v>
      </c>
      <c r="F1375" s="585" t="s">
        <v>270</v>
      </c>
      <c r="G1375" s="590"/>
      <c r="H1375" s="589"/>
      <c r="I1375" s="603"/>
      <c r="J1375" s="589">
        <f>J1370+J1371+J1373</f>
        <v>2668769.2149750004</v>
      </c>
    </row>
    <row r="1376" spans="1:10">
      <c r="A1376" s="584"/>
      <c r="B1376" s="585"/>
      <c r="C1376" s="586" t="s">
        <v>590</v>
      </c>
      <c r="D1376" s="133" t="s">
        <v>590</v>
      </c>
      <c r="E1376" s="587" t="s">
        <v>273</v>
      </c>
      <c r="F1376" s="585" t="s">
        <v>274</v>
      </c>
      <c r="G1376" s="591">
        <f>'Thông tin'!E67</f>
        <v>6.2E-2</v>
      </c>
      <c r="H1376" s="589"/>
      <c r="I1376" s="603"/>
      <c r="J1376" s="589">
        <f>(J1375)*G1376</f>
        <v>165463.69132845002</v>
      </c>
    </row>
    <row r="1377" spans="1:10">
      <c r="A1377" s="584"/>
      <c r="B1377" s="585"/>
      <c r="C1377" s="586" t="s">
        <v>590</v>
      </c>
      <c r="D1377" s="133" t="s">
        <v>590</v>
      </c>
      <c r="E1377" s="587" t="s">
        <v>276</v>
      </c>
      <c r="F1377" s="585" t="s">
        <v>277</v>
      </c>
      <c r="G1377" s="591">
        <f>'Thông tin'!E60</f>
        <v>2.2000000000000002E-2</v>
      </c>
      <c r="H1377" s="589"/>
      <c r="I1377" s="603"/>
      <c r="J1377" s="589">
        <f>(J1375)*G1377</f>
        <v>58712.922729450016</v>
      </c>
    </row>
    <row r="1378" spans="1:10" ht="27.6">
      <c r="A1378" s="584"/>
      <c r="B1378" s="585"/>
      <c r="C1378" s="586" t="s">
        <v>590</v>
      </c>
      <c r="D1378" s="133" t="s">
        <v>590</v>
      </c>
      <c r="E1378" s="587" t="s">
        <v>279</v>
      </c>
      <c r="F1378" s="585" t="s">
        <v>142</v>
      </c>
      <c r="G1378" s="591">
        <f>'Thông tin'!E65</f>
        <v>0.02</v>
      </c>
      <c r="H1378" s="589"/>
      <c r="I1378" s="603"/>
      <c r="J1378" s="589">
        <f>(J1375)*G1378</f>
        <v>53375.384299500009</v>
      </c>
    </row>
    <row r="1379" spans="1:10">
      <c r="A1379" s="584"/>
      <c r="B1379" s="585"/>
      <c r="C1379" s="586" t="s">
        <v>590</v>
      </c>
      <c r="D1379" s="133" t="s">
        <v>590</v>
      </c>
      <c r="E1379" s="587" t="s">
        <v>281</v>
      </c>
      <c r="F1379" s="585" t="s">
        <v>282</v>
      </c>
      <c r="G1379" s="590"/>
      <c r="H1379" s="589"/>
      <c r="I1379" s="603"/>
      <c r="J1379" s="589">
        <f>J1376+J1377+J1378</f>
        <v>277551.99835740007</v>
      </c>
    </row>
    <row r="1380" spans="1:10">
      <c r="A1380" s="584"/>
      <c r="B1380" s="585"/>
      <c r="C1380" s="586" t="s">
        <v>590</v>
      </c>
      <c r="D1380" s="133" t="s">
        <v>590</v>
      </c>
      <c r="E1380" s="587" t="s">
        <v>284</v>
      </c>
      <c r="F1380" s="585" t="s">
        <v>285</v>
      </c>
      <c r="G1380" s="591">
        <f>'Thông tin'!E63</f>
        <v>0.06</v>
      </c>
      <c r="H1380" s="589"/>
      <c r="I1380" s="603"/>
      <c r="J1380" s="589">
        <f>(J1375+J1379)*G1380</f>
        <v>176779.27279994404</v>
      </c>
    </row>
    <row r="1381" spans="1:10">
      <c r="A1381" s="584"/>
      <c r="B1381" s="585"/>
      <c r="C1381" s="586" t="s">
        <v>590</v>
      </c>
      <c r="D1381" s="133" t="s">
        <v>590</v>
      </c>
      <c r="E1381" s="592" t="s">
        <v>287</v>
      </c>
      <c r="F1381" s="593" t="s">
        <v>288</v>
      </c>
      <c r="G1381" s="590"/>
      <c r="H1381" s="589"/>
      <c r="I1381" s="603"/>
      <c r="J1381" s="604">
        <f>J1375+J1379+J1380</f>
        <v>3123100.4861323447</v>
      </c>
    </row>
    <row r="1382" spans="1:10">
      <c r="A1382" s="584"/>
      <c r="B1382" s="585"/>
      <c r="C1382" s="586" t="s">
        <v>590</v>
      </c>
      <c r="D1382" s="133" t="s">
        <v>590</v>
      </c>
      <c r="E1382" s="587" t="s">
        <v>290</v>
      </c>
      <c r="F1382" s="585" t="s">
        <v>291</v>
      </c>
      <c r="G1382" s="591">
        <f>'Thông tin'!E61</f>
        <v>0.1</v>
      </c>
      <c r="H1382" s="589"/>
      <c r="I1382" s="603"/>
      <c r="J1382" s="589">
        <f>(J1381)*G1382</f>
        <v>312310.04861323448</v>
      </c>
    </row>
    <row r="1383" spans="1:10">
      <c r="A1383" s="594"/>
      <c r="B1383" s="595"/>
      <c r="C1383" s="596" t="s">
        <v>590</v>
      </c>
      <c r="D1383" s="137" t="s">
        <v>590</v>
      </c>
      <c r="E1383" s="597" t="s">
        <v>293</v>
      </c>
      <c r="F1383" s="598" t="s">
        <v>19</v>
      </c>
      <c r="G1383" s="599"/>
      <c r="H1383" s="600"/>
      <c r="I1383" s="605"/>
      <c r="J1383" s="606">
        <f>J1381+J1382</f>
        <v>3435410.5347455791</v>
      </c>
    </row>
    <row r="1384" spans="1:10" ht="27.6">
      <c r="A1384" s="578"/>
      <c r="B1384" s="579">
        <v>76</v>
      </c>
      <c r="C1384" s="578" t="str">
        <f>'5.Tiên lượng'!C175</f>
        <v>AB.65130</v>
      </c>
      <c r="D1384" s="578" t="str">
        <f>'5.Tiên lượng'!C175</f>
        <v>AB.65130</v>
      </c>
      <c r="E1384" s="580" t="str">
        <f>'5.Tiên lượng'!D175</f>
        <v>Đắp đất bằng đầm đất cầm tay 70kg, độ chặt Y/C K = 0,95</v>
      </c>
      <c r="F1384" s="579" t="str">
        <f>'5.Tiên lượng'!E175</f>
        <v>100m3</v>
      </c>
      <c r="G1384" s="581"/>
      <c r="H1384" s="582"/>
      <c r="I1384" s="602"/>
      <c r="J1384" s="582"/>
    </row>
    <row r="1385" spans="1:10">
      <c r="A1385" s="126"/>
      <c r="B1385" s="127"/>
      <c r="C1385" s="128" t="s">
        <v>590</v>
      </c>
      <c r="D1385" s="128" t="s">
        <v>590</v>
      </c>
      <c r="E1385" s="583" t="s">
        <v>262</v>
      </c>
      <c r="F1385" s="127" t="s">
        <v>263</v>
      </c>
      <c r="G1385" s="130"/>
      <c r="H1385" s="131"/>
      <c r="I1385" s="143"/>
      <c r="J1385" s="131">
        <v>0</v>
      </c>
    </row>
    <row r="1386" spans="1:10">
      <c r="A1386" s="126"/>
      <c r="B1386" s="127"/>
      <c r="C1386" s="128" t="s">
        <v>590</v>
      </c>
      <c r="D1386" s="128" t="s">
        <v>590</v>
      </c>
      <c r="E1386" s="583" t="s">
        <v>265</v>
      </c>
      <c r="F1386" s="127" t="s">
        <v>266</v>
      </c>
      <c r="G1386" s="130"/>
      <c r="H1386" s="131"/>
      <c r="I1386" s="143"/>
      <c r="J1386" s="131">
        <f>SUM(J1387:J1387)</f>
        <v>1630046.34</v>
      </c>
    </row>
    <row r="1387" spans="1:10">
      <c r="A1387" s="584"/>
      <c r="B1387" s="585"/>
      <c r="C1387" s="586" t="s">
        <v>590</v>
      </c>
      <c r="D1387" s="133" t="s">
        <v>598</v>
      </c>
      <c r="E1387" s="587" t="str">
        <f>" - "&amp;'Giá NC'!E5</f>
        <v xml:space="preserve"> - Nhân công bậc 3,0/7 - Nhóm 1</v>
      </c>
      <c r="F1387" s="585" t="str">
        <f>'Giá NC'!F5</f>
        <v>công</v>
      </c>
      <c r="G1387" s="588">
        <f>PTVT!G669</f>
        <v>7.13</v>
      </c>
      <c r="H1387" s="589">
        <f>'Giá NC'!K5</f>
        <v>228618</v>
      </c>
      <c r="I1387" s="603">
        <f>'5.Tiên lượng'!W175</f>
        <v>1</v>
      </c>
      <c r="J1387" s="589">
        <f>PRODUCT(G1387,H1387,I1387)</f>
        <v>1630046.34</v>
      </c>
    </row>
    <row r="1388" spans="1:10">
      <c r="A1388" s="126"/>
      <c r="B1388" s="127"/>
      <c r="C1388" s="128" t="s">
        <v>590</v>
      </c>
      <c r="D1388" s="128" t="s">
        <v>590</v>
      </c>
      <c r="E1388" s="583" t="s">
        <v>267</v>
      </c>
      <c r="F1388" s="127" t="s">
        <v>268</v>
      </c>
      <c r="G1388" s="130"/>
      <c r="H1388" s="131"/>
      <c r="I1388" s="143"/>
      <c r="J1388" s="131">
        <f>SUM(J1389:J1389)</f>
        <v>1663581.13524</v>
      </c>
    </row>
    <row r="1389" spans="1:10">
      <c r="A1389" s="584"/>
      <c r="B1389" s="585"/>
      <c r="C1389" s="586" t="s">
        <v>590</v>
      </c>
      <c r="D1389" s="133" t="s">
        <v>676</v>
      </c>
      <c r="E1389" s="587" t="str">
        <f>" - "&amp;'Giá Máy'!E11</f>
        <v xml:space="preserve"> - Máy đầm đất cầm tay 70kg</v>
      </c>
      <c r="F1389" s="585" t="str">
        <f>'Giá Máy'!F11</f>
        <v>ca</v>
      </c>
      <c r="G1389" s="588">
        <f>PTVT!G671</f>
        <v>4.4279999999999999</v>
      </c>
      <c r="H1389" s="589">
        <f>'Giá Máy'!O11</f>
        <v>375695.83</v>
      </c>
      <c r="I1389" s="603">
        <f>'5.Tiên lượng'!X175</f>
        <v>1</v>
      </c>
      <c r="J1389" s="589">
        <f>PRODUCT(G1389,H1389,I1389)</f>
        <v>1663581.13524</v>
      </c>
    </row>
    <row r="1390" spans="1:10">
      <c r="A1390" s="584"/>
      <c r="B1390" s="585"/>
      <c r="C1390" s="586" t="s">
        <v>590</v>
      </c>
      <c r="D1390" s="133" t="s">
        <v>590</v>
      </c>
      <c r="E1390" s="587" t="s">
        <v>269</v>
      </c>
      <c r="F1390" s="585" t="s">
        <v>270</v>
      </c>
      <c r="G1390" s="590"/>
      <c r="H1390" s="589"/>
      <c r="I1390" s="603"/>
      <c r="J1390" s="589">
        <f>J1385+J1386+J1388</f>
        <v>3293627.4752400001</v>
      </c>
    </row>
    <row r="1391" spans="1:10">
      <c r="A1391" s="584"/>
      <c r="B1391" s="585"/>
      <c r="C1391" s="586" t="s">
        <v>590</v>
      </c>
      <c r="D1391" s="133" t="s">
        <v>590</v>
      </c>
      <c r="E1391" s="587" t="s">
        <v>273</v>
      </c>
      <c r="F1391" s="585" t="s">
        <v>274</v>
      </c>
      <c r="G1391" s="591">
        <f>'Thông tin'!E67</f>
        <v>6.2E-2</v>
      </c>
      <c r="H1391" s="589"/>
      <c r="I1391" s="603"/>
      <c r="J1391" s="589">
        <f>(J1390)*G1391</f>
        <v>204204.90346488002</v>
      </c>
    </row>
    <row r="1392" spans="1:10">
      <c r="A1392" s="584"/>
      <c r="B1392" s="585"/>
      <c r="C1392" s="586" t="s">
        <v>590</v>
      </c>
      <c r="D1392" s="133" t="s">
        <v>590</v>
      </c>
      <c r="E1392" s="587" t="s">
        <v>276</v>
      </c>
      <c r="F1392" s="585" t="s">
        <v>277</v>
      </c>
      <c r="G1392" s="591">
        <f>'Thông tin'!E60</f>
        <v>2.2000000000000002E-2</v>
      </c>
      <c r="H1392" s="589"/>
      <c r="I1392" s="603"/>
      <c r="J1392" s="589">
        <f>(J1390)*G1392</f>
        <v>72459.804455280013</v>
      </c>
    </row>
    <row r="1393" spans="1:10" ht="27.6">
      <c r="A1393" s="584"/>
      <c r="B1393" s="585"/>
      <c r="C1393" s="586" t="s">
        <v>590</v>
      </c>
      <c r="D1393" s="133" t="s">
        <v>590</v>
      </c>
      <c r="E1393" s="587" t="s">
        <v>279</v>
      </c>
      <c r="F1393" s="585" t="s">
        <v>142</v>
      </c>
      <c r="G1393" s="591">
        <f>'Thông tin'!E65</f>
        <v>0.02</v>
      </c>
      <c r="H1393" s="589"/>
      <c r="I1393" s="603"/>
      <c r="J1393" s="589">
        <f>(J1390)*G1393</f>
        <v>65872.549504800001</v>
      </c>
    </row>
    <row r="1394" spans="1:10">
      <c r="A1394" s="584"/>
      <c r="B1394" s="585"/>
      <c r="C1394" s="586" t="s">
        <v>590</v>
      </c>
      <c r="D1394" s="133" t="s">
        <v>590</v>
      </c>
      <c r="E1394" s="587" t="s">
        <v>281</v>
      </c>
      <c r="F1394" s="585" t="s">
        <v>282</v>
      </c>
      <c r="G1394" s="590"/>
      <c r="H1394" s="589"/>
      <c r="I1394" s="603"/>
      <c r="J1394" s="589">
        <f>J1391+J1392+J1393</f>
        <v>342537.25742496003</v>
      </c>
    </row>
    <row r="1395" spans="1:10">
      <c r="A1395" s="584"/>
      <c r="B1395" s="585"/>
      <c r="C1395" s="586" t="s">
        <v>590</v>
      </c>
      <c r="D1395" s="133" t="s">
        <v>590</v>
      </c>
      <c r="E1395" s="587" t="s">
        <v>284</v>
      </c>
      <c r="F1395" s="585" t="s">
        <v>285</v>
      </c>
      <c r="G1395" s="591">
        <f>'Thông tin'!E63</f>
        <v>0.06</v>
      </c>
      <c r="H1395" s="589"/>
      <c r="I1395" s="603"/>
      <c r="J1395" s="589">
        <f>(J1390+J1394)*G1395</f>
        <v>218169.88395989759</v>
      </c>
    </row>
    <row r="1396" spans="1:10">
      <c r="A1396" s="584"/>
      <c r="B1396" s="585"/>
      <c r="C1396" s="586" t="s">
        <v>590</v>
      </c>
      <c r="D1396" s="133" t="s">
        <v>590</v>
      </c>
      <c r="E1396" s="592" t="s">
        <v>287</v>
      </c>
      <c r="F1396" s="593" t="s">
        <v>288</v>
      </c>
      <c r="G1396" s="590"/>
      <c r="H1396" s="589"/>
      <c r="I1396" s="603"/>
      <c r="J1396" s="604">
        <f>J1390+J1394+J1395</f>
        <v>3854334.6166248578</v>
      </c>
    </row>
    <row r="1397" spans="1:10">
      <c r="A1397" s="584"/>
      <c r="B1397" s="585"/>
      <c r="C1397" s="586" t="s">
        <v>590</v>
      </c>
      <c r="D1397" s="133" t="s">
        <v>590</v>
      </c>
      <c r="E1397" s="587" t="s">
        <v>290</v>
      </c>
      <c r="F1397" s="585" t="s">
        <v>291</v>
      </c>
      <c r="G1397" s="591">
        <f>'Thông tin'!E61</f>
        <v>0.1</v>
      </c>
      <c r="H1397" s="589"/>
      <c r="I1397" s="603"/>
      <c r="J1397" s="589">
        <f>(J1396)*G1397</f>
        <v>385433.46166248579</v>
      </c>
    </row>
    <row r="1398" spans="1:10">
      <c r="A1398" s="594"/>
      <c r="B1398" s="595"/>
      <c r="C1398" s="596" t="s">
        <v>590</v>
      </c>
      <c r="D1398" s="137" t="s">
        <v>590</v>
      </c>
      <c r="E1398" s="597" t="s">
        <v>293</v>
      </c>
      <c r="F1398" s="598" t="s">
        <v>19</v>
      </c>
      <c r="G1398" s="599"/>
      <c r="H1398" s="600"/>
      <c r="I1398" s="605"/>
      <c r="J1398" s="606">
        <f>J1396+J1397</f>
        <v>4239768.0782873435</v>
      </c>
    </row>
    <row r="1399" spans="1:10">
      <c r="A1399" s="572"/>
      <c r="B1399" s="573"/>
      <c r="C1399" s="574" t="s">
        <v>339</v>
      </c>
      <c r="D1399" s="117" t="s">
        <v>339</v>
      </c>
      <c r="E1399" s="575" t="s">
        <v>537</v>
      </c>
      <c r="F1399" s="573"/>
      <c r="G1399" s="576"/>
      <c r="H1399" s="577"/>
      <c r="I1399" s="601"/>
      <c r="J1399" s="577" t="s">
        <v>597</v>
      </c>
    </row>
    <row r="1400" spans="1:10">
      <c r="A1400" s="578"/>
      <c r="B1400" s="579">
        <v>77</v>
      </c>
      <c r="C1400" s="578" t="str">
        <f>'5.Tiên lượng'!C178</f>
        <v>AE.12314</v>
      </c>
      <c r="D1400" s="578" t="str">
        <f>'5.Tiên lượng'!C178</f>
        <v>AE.12314</v>
      </c>
      <c r="E1400" s="580" t="str">
        <f>'5.Tiên lượng'!D178</f>
        <v>Xây cống, vữa XM M100, PCB40</v>
      </c>
      <c r="F1400" s="579" t="str">
        <f>'5.Tiên lượng'!E178</f>
        <v>m3</v>
      </c>
      <c r="G1400" s="581"/>
      <c r="H1400" s="582"/>
      <c r="I1400" s="602"/>
      <c r="J1400" s="582"/>
    </row>
    <row r="1401" spans="1:10">
      <c r="A1401" s="126"/>
      <c r="B1401" s="127"/>
      <c r="C1401" s="128" t="s">
        <v>590</v>
      </c>
      <c r="D1401" s="128" t="s">
        <v>590</v>
      </c>
      <c r="E1401" s="583" t="s">
        <v>262</v>
      </c>
      <c r="F1401" s="127" t="s">
        <v>263</v>
      </c>
      <c r="G1401" s="130"/>
      <c r="H1401" s="131"/>
      <c r="I1401" s="143"/>
      <c r="J1401" s="131">
        <f>SUM(J1402:J1407)</f>
        <v>981057.91544799274</v>
      </c>
    </row>
    <row r="1402" spans="1:10">
      <c r="A1402" s="584"/>
      <c r="B1402" s="585"/>
      <c r="C1402" s="586" t="s">
        <v>590</v>
      </c>
      <c r="D1402" s="133" t="s">
        <v>671</v>
      </c>
      <c r="E1402" s="587" t="str">
        <f>" - "&amp;'Giá VL'!E22</f>
        <v xml:space="preserve"> - Đá hộc</v>
      </c>
      <c r="F1402" s="585" t="str">
        <f>'Giá VL'!F22</f>
        <v>m3</v>
      </c>
      <c r="G1402" s="588">
        <f>PTVT!G675</f>
        <v>1.2</v>
      </c>
      <c r="H1402" s="589">
        <f>'Giá VL'!V22</f>
        <v>306636.9934461856</v>
      </c>
      <c r="I1402" s="603">
        <f>'5.Tiên lượng'!V178</f>
        <v>1</v>
      </c>
      <c r="J1402" s="589">
        <f t="shared" ref="J1402:J1407" si="87">PRODUCT(G1402,H1402,I1402)</f>
        <v>367964.39213542274</v>
      </c>
    </row>
    <row r="1403" spans="1:10">
      <c r="A1403" s="584"/>
      <c r="B1403" s="585"/>
      <c r="C1403" s="586" t="s">
        <v>590</v>
      </c>
      <c r="D1403" s="133" t="s">
        <v>672</v>
      </c>
      <c r="E1403" s="587" t="str">
        <f>" - "&amp;'Giá VL'!E21</f>
        <v xml:space="preserve"> - Đá dăm</v>
      </c>
      <c r="F1403" s="585" t="str">
        <f>'Giá VL'!F21</f>
        <v>m3</v>
      </c>
      <c r="G1403" s="588">
        <f>PTVT!G676</f>
        <v>5.7000000000000002E-2</v>
      </c>
      <c r="H1403" s="589">
        <f>'Giá VL'!V21</f>
        <v>330458.0547558713</v>
      </c>
      <c r="I1403" s="603">
        <f>'5.Tiên lượng'!V178</f>
        <v>1</v>
      </c>
      <c r="J1403" s="589">
        <f t="shared" si="87"/>
        <v>18836.109121084664</v>
      </c>
    </row>
    <row r="1404" spans="1:10">
      <c r="A1404" s="584"/>
      <c r="B1404" s="585"/>
      <c r="C1404" s="586" t="s">
        <v>590</v>
      </c>
      <c r="D1404" s="133" t="s">
        <v>614</v>
      </c>
      <c r="E1404" s="587" t="str">
        <f>" - "&amp;'Giá VL'!E45</f>
        <v xml:space="preserve"> - Xi măng PCB40</v>
      </c>
      <c r="F1404" s="585" t="str">
        <f>'Giá VL'!F45</f>
        <v>kg</v>
      </c>
      <c r="G1404" s="588">
        <f>PTVT!G677</f>
        <v>131.04</v>
      </c>
      <c r="H1404" s="589">
        <f>'Giá VL'!V45</f>
        <v>1730</v>
      </c>
      <c r="I1404" s="603">
        <f>'5.Tiên lượng'!V178</f>
        <v>1</v>
      </c>
      <c r="J1404" s="589">
        <f t="shared" si="87"/>
        <v>226699.19999999998</v>
      </c>
    </row>
    <row r="1405" spans="1:10">
      <c r="A1405" s="584"/>
      <c r="B1405" s="585"/>
      <c r="C1405" s="586" t="s">
        <v>590</v>
      </c>
      <c r="D1405" s="133" t="s">
        <v>615</v>
      </c>
      <c r="E1405" s="587" t="str">
        <f>" - "&amp;'Giá VL'!E17</f>
        <v xml:space="preserve"> - Cát vàng</v>
      </c>
      <c r="F1405" s="585" t="str">
        <f>'Giá VL'!F17</f>
        <v>m3</v>
      </c>
      <c r="G1405" s="588">
        <f>PTVT!G678</f>
        <v>0.48426000000000002</v>
      </c>
      <c r="H1405" s="589">
        <f>'Giá VL'!V17</f>
        <v>659026.49526849983</v>
      </c>
      <c r="I1405" s="603">
        <f>'5.Tiên lượng'!V178</f>
        <v>1</v>
      </c>
      <c r="J1405" s="589">
        <f t="shared" si="87"/>
        <v>319140.17059872375</v>
      </c>
    </row>
    <row r="1406" spans="1:10">
      <c r="A1406" s="584"/>
      <c r="B1406" s="585"/>
      <c r="C1406" s="586" t="s">
        <v>590</v>
      </c>
      <c r="D1406" s="133" t="s">
        <v>617</v>
      </c>
      <c r="E1406" s="587" t="str">
        <f>" - "&amp;'Giá VL'!E33</f>
        <v xml:space="preserve"> - Nước</v>
      </c>
      <c r="F1406" s="585" t="str">
        <f>'Giá VL'!F33</f>
        <v>lít</v>
      </c>
      <c r="G1406" s="588">
        <f>PTVT!G679</f>
        <v>113.4</v>
      </c>
      <c r="H1406" s="589">
        <f>'Giá VL'!V33</f>
        <v>15</v>
      </c>
      <c r="I1406" s="603">
        <f>'5.Tiên lượng'!V178</f>
        <v>1</v>
      </c>
      <c r="J1406" s="589">
        <f t="shared" si="87"/>
        <v>1701</v>
      </c>
    </row>
    <row r="1407" spans="1:10">
      <c r="A1407" s="584"/>
      <c r="B1407" s="585"/>
      <c r="C1407" s="586" t="s">
        <v>590</v>
      </c>
      <c r="D1407" s="133" t="s">
        <v>620</v>
      </c>
      <c r="E1407" s="587" t="s">
        <v>621</v>
      </c>
      <c r="F1407" s="585" t="s">
        <v>37</v>
      </c>
      <c r="G1407" s="588">
        <f>PTVT!G680</f>
        <v>5</v>
      </c>
      <c r="H1407" s="589">
        <f>IF('5.Tiên lượng'!V178&lt;&gt;0,SUM(J1402:J1406)/100/'5.Tiên lượng'!V178,0)</f>
        <v>9343.4087185523131</v>
      </c>
      <c r="I1407" s="603">
        <f>'5.Tiên lượng'!V178</f>
        <v>1</v>
      </c>
      <c r="J1407" s="589">
        <f t="shared" si="87"/>
        <v>46717.043592761562</v>
      </c>
    </row>
    <row r="1408" spans="1:10">
      <c r="A1408" s="126"/>
      <c r="B1408" s="127"/>
      <c r="C1408" s="128" t="s">
        <v>590</v>
      </c>
      <c r="D1408" s="128" t="s">
        <v>590</v>
      </c>
      <c r="E1408" s="583" t="s">
        <v>265</v>
      </c>
      <c r="F1408" s="127" t="s">
        <v>266</v>
      </c>
      <c r="G1408" s="130"/>
      <c r="H1408" s="131"/>
      <c r="I1408" s="143"/>
      <c r="J1408" s="131">
        <f>SUM(J1409:J1409)</f>
        <v>804600</v>
      </c>
    </row>
    <row r="1409" spans="1:10">
      <c r="A1409" s="584"/>
      <c r="B1409" s="585"/>
      <c r="C1409" s="586" t="s">
        <v>590</v>
      </c>
      <c r="D1409" s="133" t="s">
        <v>622</v>
      </c>
      <c r="E1409" s="587" t="str">
        <f>" - "&amp;'Giá NC'!E9</f>
        <v xml:space="preserve"> - Nhân công bậc 3,5/7 - Nhóm 2</v>
      </c>
      <c r="F1409" s="585" t="str">
        <f>'Giá NC'!F9</f>
        <v>công</v>
      </c>
      <c r="G1409" s="588">
        <f>PTVT!G682</f>
        <v>2.98</v>
      </c>
      <c r="H1409" s="589">
        <f>'Giá NC'!K9</f>
        <v>270000</v>
      </c>
      <c r="I1409" s="603">
        <f>'5.Tiên lượng'!W178</f>
        <v>1</v>
      </c>
      <c r="J1409" s="589">
        <f>PRODUCT(G1409,H1409,I1409)</f>
        <v>804600</v>
      </c>
    </row>
    <row r="1410" spans="1:10">
      <c r="A1410" s="126"/>
      <c r="B1410" s="127"/>
      <c r="C1410" s="128" t="s">
        <v>590</v>
      </c>
      <c r="D1410" s="128" t="s">
        <v>590</v>
      </c>
      <c r="E1410" s="583" t="s">
        <v>267</v>
      </c>
      <c r="F1410" s="127" t="s">
        <v>268</v>
      </c>
      <c r="G1410" s="130"/>
      <c r="H1410" s="131"/>
      <c r="I1410" s="143"/>
      <c r="J1410" s="131">
        <f>SUM(J1411:J1411)</f>
        <v>15879.717681032944</v>
      </c>
    </row>
    <row r="1411" spans="1:10">
      <c r="A1411" s="584"/>
      <c r="B1411" s="585"/>
      <c r="C1411" s="586" t="s">
        <v>590</v>
      </c>
      <c r="D1411" s="133" t="s">
        <v>657</v>
      </c>
      <c r="E1411" s="587" t="str">
        <f>" - "&amp;'Giá Máy'!E28</f>
        <v xml:space="preserve"> - Máy trộn vữa 150l</v>
      </c>
      <c r="F1411" s="585" t="str">
        <f>'Giá Máy'!F28</f>
        <v>ca</v>
      </c>
      <c r="G1411" s="588">
        <f>PTVT!G684</f>
        <v>5.2999999999999999E-2</v>
      </c>
      <c r="H1411" s="589">
        <f>'Giá Máy'!O28</f>
        <v>299617.31473647064</v>
      </c>
      <c r="I1411" s="603">
        <f>'5.Tiên lượng'!X178</f>
        <v>1</v>
      </c>
      <c r="J1411" s="589">
        <f>PRODUCT(G1411,H1411,I1411)</f>
        <v>15879.717681032944</v>
      </c>
    </row>
    <row r="1412" spans="1:10">
      <c r="A1412" s="584"/>
      <c r="B1412" s="585"/>
      <c r="C1412" s="586" t="s">
        <v>590</v>
      </c>
      <c r="D1412" s="133" t="s">
        <v>590</v>
      </c>
      <c r="E1412" s="587" t="s">
        <v>269</v>
      </c>
      <c r="F1412" s="585" t="s">
        <v>270</v>
      </c>
      <c r="G1412" s="590"/>
      <c r="H1412" s="589"/>
      <c r="I1412" s="603"/>
      <c r="J1412" s="589">
        <f>J1401+J1408+J1410</f>
        <v>1801537.6331290256</v>
      </c>
    </row>
    <row r="1413" spans="1:10">
      <c r="A1413" s="584"/>
      <c r="B1413" s="585"/>
      <c r="C1413" s="586" t="s">
        <v>590</v>
      </c>
      <c r="D1413" s="133" t="s">
        <v>590</v>
      </c>
      <c r="E1413" s="587" t="s">
        <v>273</v>
      </c>
      <c r="F1413" s="585" t="s">
        <v>274</v>
      </c>
      <c r="G1413" s="591">
        <f>'Thông tin'!E67</f>
        <v>6.2E-2</v>
      </c>
      <c r="H1413" s="589"/>
      <c r="I1413" s="603"/>
      <c r="J1413" s="589">
        <f>(J1412)*G1413</f>
        <v>111695.33325399959</v>
      </c>
    </row>
    <row r="1414" spans="1:10">
      <c r="A1414" s="584"/>
      <c r="B1414" s="585"/>
      <c r="C1414" s="586" t="s">
        <v>590</v>
      </c>
      <c r="D1414" s="133" t="s">
        <v>590</v>
      </c>
      <c r="E1414" s="587" t="s">
        <v>276</v>
      </c>
      <c r="F1414" s="585" t="s">
        <v>277</v>
      </c>
      <c r="G1414" s="591">
        <f>'Thông tin'!E60</f>
        <v>2.2000000000000002E-2</v>
      </c>
      <c r="H1414" s="589"/>
      <c r="I1414" s="603"/>
      <c r="J1414" s="589">
        <f>(J1412)*G1414</f>
        <v>39633.827928838567</v>
      </c>
    </row>
    <row r="1415" spans="1:10" ht="27.6">
      <c r="A1415" s="584"/>
      <c r="B1415" s="585"/>
      <c r="C1415" s="586" t="s">
        <v>590</v>
      </c>
      <c r="D1415" s="133" t="s">
        <v>590</v>
      </c>
      <c r="E1415" s="587" t="s">
        <v>279</v>
      </c>
      <c r="F1415" s="585" t="s">
        <v>142</v>
      </c>
      <c r="G1415" s="591">
        <f>'Thông tin'!E65</f>
        <v>0.02</v>
      </c>
      <c r="H1415" s="589"/>
      <c r="I1415" s="603"/>
      <c r="J1415" s="589">
        <f>(J1412)*G1415</f>
        <v>36030.752662580511</v>
      </c>
    </row>
    <row r="1416" spans="1:10">
      <c r="A1416" s="584"/>
      <c r="B1416" s="585"/>
      <c r="C1416" s="586" t="s">
        <v>590</v>
      </c>
      <c r="D1416" s="133" t="s">
        <v>590</v>
      </c>
      <c r="E1416" s="587" t="s">
        <v>281</v>
      </c>
      <c r="F1416" s="585" t="s">
        <v>282</v>
      </c>
      <c r="G1416" s="590"/>
      <c r="H1416" s="589"/>
      <c r="I1416" s="603"/>
      <c r="J1416" s="589">
        <f>J1413+J1414+J1415</f>
        <v>187359.91384541866</v>
      </c>
    </row>
    <row r="1417" spans="1:10">
      <c r="A1417" s="584"/>
      <c r="B1417" s="585"/>
      <c r="C1417" s="586" t="s">
        <v>590</v>
      </c>
      <c r="D1417" s="133" t="s">
        <v>590</v>
      </c>
      <c r="E1417" s="587" t="s">
        <v>284</v>
      </c>
      <c r="F1417" s="585" t="s">
        <v>285</v>
      </c>
      <c r="G1417" s="591">
        <f>'Thông tin'!E63</f>
        <v>0.06</v>
      </c>
      <c r="H1417" s="589"/>
      <c r="I1417" s="603"/>
      <c r="J1417" s="589">
        <f>(J1412+J1416)*G1417</f>
        <v>119333.85281846665</v>
      </c>
    </row>
    <row r="1418" spans="1:10">
      <c r="A1418" s="584"/>
      <c r="B1418" s="585"/>
      <c r="C1418" s="586" t="s">
        <v>590</v>
      </c>
      <c r="D1418" s="133" t="s">
        <v>590</v>
      </c>
      <c r="E1418" s="592" t="s">
        <v>287</v>
      </c>
      <c r="F1418" s="593" t="s">
        <v>288</v>
      </c>
      <c r="G1418" s="590"/>
      <c r="H1418" s="589"/>
      <c r="I1418" s="603"/>
      <c r="J1418" s="604">
        <f>J1412+J1416+J1417</f>
        <v>2108231.399792911</v>
      </c>
    </row>
    <row r="1419" spans="1:10">
      <c r="A1419" s="584"/>
      <c r="B1419" s="585"/>
      <c r="C1419" s="586" t="s">
        <v>590</v>
      </c>
      <c r="D1419" s="133" t="s">
        <v>590</v>
      </c>
      <c r="E1419" s="587" t="s">
        <v>290</v>
      </c>
      <c r="F1419" s="585" t="s">
        <v>291</v>
      </c>
      <c r="G1419" s="591">
        <f>'Thông tin'!E61</f>
        <v>0.1</v>
      </c>
      <c r="H1419" s="589"/>
      <c r="I1419" s="603"/>
      <c r="J1419" s="589">
        <f>(J1418)*G1419</f>
        <v>210823.13997929113</v>
      </c>
    </row>
    <row r="1420" spans="1:10">
      <c r="A1420" s="594"/>
      <c r="B1420" s="595"/>
      <c r="C1420" s="596" t="s">
        <v>590</v>
      </c>
      <c r="D1420" s="137" t="s">
        <v>590</v>
      </c>
      <c r="E1420" s="597" t="s">
        <v>293</v>
      </c>
      <c r="F1420" s="598" t="s">
        <v>19</v>
      </c>
      <c r="G1420" s="599"/>
      <c r="H1420" s="600"/>
      <c r="I1420" s="605"/>
      <c r="J1420" s="606">
        <f>J1418+J1419</f>
        <v>2319054.5397722023</v>
      </c>
    </row>
    <row r="1421" spans="1:10">
      <c r="A1421" s="578"/>
      <c r="B1421" s="579">
        <v>78</v>
      </c>
      <c r="C1421" s="578" t="str">
        <f>'5.Tiên lượng'!C179</f>
        <v>AK.98110</v>
      </c>
      <c r="D1421" s="578" t="str">
        <f>'5.Tiên lượng'!C179</f>
        <v>AK.98110</v>
      </c>
      <c r="E1421" s="580" t="str">
        <f>'5.Tiên lượng'!D179</f>
        <v>Đá dăm đệm móng, đá (2x4)cm, dày 5cm</v>
      </c>
      <c r="F1421" s="579" t="str">
        <f>'5.Tiên lượng'!E179</f>
        <v>m3</v>
      </c>
      <c r="G1421" s="581"/>
      <c r="H1421" s="582"/>
      <c r="I1421" s="602"/>
      <c r="J1421" s="582"/>
    </row>
    <row r="1422" spans="1:10">
      <c r="A1422" s="126"/>
      <c r="B1422" s="127"/>
      <c r="C1422" s="128" t="s">
        <v>590</v>
      </c>
      <c r="D1422" s="128" t="s">
        <v>590</v>
      </c>
      <c r="E1422" s="583" t="s">
        <v>262</v>
      </c>
      <c r="F1422" s="127" t="s">
        <v>263</v>
      </c>
      <c r="G1422" s="130"/>
      <c r="H1422" s="131"/>
      <c r="I1422" s="143"/>
      <c r="J1422" s="131">
        <f>SUM(J1423:J1424)</f>
        <v>495257.6142875955</v>
      </c>
    </row>
    <row r="1423" spans="1:10">
      <c r="A1423" s="584"/>
      <c r="B1423" s="585"/>
      <c r="C1423" s="586" t="s">
        <v>590</v>
      </c>
      <c r="D1423" s="133" t="s">
        <v>653</v>
      </c>
      <c r="E1423" s="587" t="str">
        <f>" - "&amp;'Giá VL'!E20</f>
        <v xml:space="preserve"> - Đá cấp phối dmax ≤ 4</v>
      </c>
      <c r="F1423" s="585" t="str">
        <f>'Giá VL'!F20</f>
        <v>m3</v>
      </c>
      <c r="G1423" s="588">
        <f>PTVT!G687</f>
        <v>1.2</v>
      </c>
      <c r="H1423" s="589">
        <f>'Giá VL'!V20</f>
        <v>330458.0547558713</v>
      </c>
      <c r="I1423" s="603">
        <f>'5.Tiên lượng'!V179</f>
        <v>1</v>
      </c>
      <c r="J1423" s="589">
        <f t="shared" ref="J1423:J1424" si="88">PRODUCT(G1423,H1423,I1423)</f>
        <v>396549.66570704553</v>
      </c>
    </row>
    <row r="1424" spans="1:10">
      <c r="A1424" s="584"/>
      <c r="B1424" s="585"/>
      <c r="C1424" s="586" t="s">
        <v>590</v>
      </c>
      <c r="D1424" s="133" t="s">
        <v>654</v>
      </c>
      <c r="E1424" s="587" t="str">
        <f>" - "&amp;'Giá VL'!E14</f>
        <v xml:space="preserve"> - Cát</v>
      </c>
      <c r="F1424" s="585" t="str">
        <f>'Giá VL'!F14</f>
        <v>m3</v>
      </c>
      <c r="G1424" s="588">
        <f>PTVT!G688</f>
        <v>0.3</v>
      </c>
      <c r="H1424" s="589">
        <f>'Giá VL'!V14</f>
        <v>329026.49526849983</v>
      </c>
      <c r="I1424" s="603">
        <f>'5.Tiên lượng'!V179</f>
        <v>1</v>
      </c>
      <c r="J1424" s="589">
        <f t="shared" si="88"/>
        <v>98707.948580549943</v>
      </c>
    </row>
    <row r="1425" spans="1:10">
      <c r="A1425" s="126"/>
      <c r="B1425" s="127"/>
      <c r="C1425" s="128" t="s">
        <v>590</v>
      </c>
      <c r="D1425" s="128" t="s">
        <v>590</v>
      </c>
      <c r="E1425" s="583" t="s">
        <v>265</v>
      </c>
      <c r="F1425" s="127" t="s">
        <v>266</v>
      </c>
      <c r="G1425" s="130"/>
      <c r="H1425" s="131"/>
      <c r="I1425" s="143"/>
      <c r="J1425" s="131">
        <f>SUM(J1426:J1426)</f>
        <v>347020.92800000001</v>
      </c>
    </row>
    <row r="1426" spans="1:10">
      <c r="A1426" s="584"/>
      <c r="B1426" s="585"/>
      <c r="C1426" s="586" t="s">
        <v>590</v>
      </c>
      <c r="D1426" s="133" t="s">
        <v>629</v>
      </c>
      <c r="E1426" s="587" t="str">
        <f>" - "&amp;'Giá NC'!E10</f>
        <v xml:space="preserve"> - Nhân công bậc 4,0/7 - Nhóm 2</v>
      </c>
      <c r="F1426" s="585" t="str">
        <f>'Giá NC'!F10</f>
        <v>công</v>
      </c>
      <c r="G1426" s="588">
        <f>PTVT!G690</f>
        <v>1.48</v>
      </c>
      <c r="H1426" s="589">
        <f>'Giá NC'!K10</f>
        <v>293092</v>
      </c>
      <c r="I1426" s="603">
        <f>'5.Tiên lượng'!W179</f>
        <v>0.8</v>
      </c>
      <c r="J1426" s="589">
        <f>PRODUCT(G1426,H1426,I1426)</f>
        <v>347020.92800000001</v>
      </c>
    </row>
    <row r="1427" spans="1:10">
      <c r="A1427" s="126"/>
      <c r="B1427" s="127"/>
      <c r="C1427" s="128" t="s">
        <v>590</v>
      </c>
      <c r="D1427" s="128" t="s">
        <v>590</v>
      </c>
      <c r="E1427" s="583" t="s">
        <v>267</v>
      </c>
      <c r="F1427" s="127" t="s">
        <v>268</v>
      </c>
      <c r="G1427" s="130"/>
      <c r="H1427" s="131"/>
      <c r="I1427" s="143"/>
      <c r="J1427" s="131">
        <v>0</v>
      </c>
    </row>
    <row r="1428" spans="1:10">
      <c r="A1428" s="584"/>
      <c r="B1428" s="585"/>
      <c r="C1428" s="586" t="s">
        <v>590</v>
      </c>
      <c r="D1428" s="133" t="s">
        <v>590</v>
      </c>
      <c r="E1428" s="587" t="s">
        <v>269</v>
      </c>
      <c r="F1428" s="585" t="s">
        <v>270</v>
      </c>
      <c r="G1428" s="590"/>
      <c r="H1428" s="589"/>
      <c r="I1428" s="603"/>
      <c r="J1428" s="589">
        <f>J1422+J1425+J1427</f>
        <v>842278.54228759557</v>
      </c>
    </row>
    <row r="1429" spans="1:10">
      <c r="A1429" s="584"/>
      <c r="B1429" s="585"/>
      <c r="C1429" s="586" t="s">
        <v>590</v>
      </c>
      <c r="D1429" s="133" t="s">
        <v>590</v>
      </c>
      <c r="E1429" s="587" t="s">
        <v>273</v>
      </c>
      <c r="F1429" s="585" t="s">
        <v>274</v>
      </c>
      <c r="G1429" s="591">
        <f>'Thông tin'!E67</f>
        <v>6.2E-2</v>
      </c>
      <c r="H1429" s="589"/>
      <c r="I1429" s="603"/>
      <c r="J1429" s="589">
        <f>(J1428)*G1429</f>
        <v>52221.269621830928</v>
      </c>
    </row>
    <row r="1430" spans="1:10">
      <c r="A1430" s="584"/>
      <c r="B1430" s="585"/>
      <c r="C1430" s="586" t="s">
        <v>590</v>
      </c>
      <c r="D1430" s="133" t="s">
        <v>590</v>
      </c>
      <c r="E1430" s="587" t="s">
        <v>276</v>
      </c>
      <c r="F1430" s="585" t="s">
        <v>277</v>
      </c>
      <c r="G1430" s="591">
        <f>'Thông tin'!E60</f>
        <v>2.2000000000000002E-2</v>
      </c>
      <c r="H1430" s="589"/>
      <c r="I1430" s="603"/>
      <c r="J1430" s="589">
        <f>(J1428)*G1430</f>
        <v>18530.127930327104</v>
      </c>
    </row>
    <row r="1431" spans="1:10" ht="27.6">
      <c r="A1431" s="584"/>
      <c r="B1431" s="585"/>
      <c r="C1431" s="586" t="s">
        <v>590</v>
      </c>
      <c r="D1431" s="133" t="s">
        <v>590</v>
      </c>
      <c r="E1431" s="587" t="s">
        <v>279</v>
      </c>
      <c r="F1431" s="585" t="s">
        <v>142</v>
      </c>
      <c r="G1431" s="591">
        <f>'Thông tin'!E65</f>
        <v>0.02</v>
      </c>
      <c r="H1431" s="589"/>
      <c r="I1431" s="603"/>
      <c r="J1431" s="589">
        <f>(J1428)*G1431</f>
        <v>16845.57084575191</v>
      </c>
    </row>
    <row r="1432" spans="1:10">
      <c r="A1432" s="584"/>
      <c r="B1432" s="585"/>
      <c r="C1432" s="586" t="s">
        <v>590</v>
      </c>
      <c r="D1432" s="133" t="s">
        <v>590</v>
      </c>
      <c r="E1432" s="587" t="s">
        <v>281</v>
      </c>
      <c r="F1432" s="585" t="s">
        <v>282</v>
      </c>
      <c r="G1432" s="590"/>
      <c r="H1432" s="589"/>
      <c r="I1432" s="603"/>
      <c r="J1432" s="589">
        <f>J1429+J1430+J1431</f>
        <v>87596.968397909935</v>
      </c>
    </row>
    <row r="1433" spans="1:10">
      <c r="A1433" s="584"/>
      <c r="B1433" s="585"/>
      <c r="C1433" s="586" t="s">
        <v>590</v>
      </c>
      <c r="D1433" s="133" t="s">
        <v>590</v>
      </c>
      <c r="E1433" s="587" t="s">
        <v>284</v>
      </c>
      <c r="F1433" s="585" t="s">
        <v>285</v>
      </c>
      <c r="G1433" s="591">
        <f>'Thông tin'!E63</f>
        <v>0.06</v>
      </c>
      <c r="H1433" s="589"/>
      <c r="I1433" s="603"/>
      <c r="J1433" s="589">
        <f>(J1428+J1432)*G1433</f>
        <v>55792.530641130325</v>
      </c>
    </row>
    <row r="1434" spans="1:10">
      <c r="A1434" s="584"/>
      <c r="B1434" s="585"/>
      <c r="C1434" s="586" t="s">
        <v>590</v>
      </c>
      <c r="D1434" s="133" t="s">
        <v>590</v>
      </c>
      <c r="E1434" s="592" t="s">
        <v>287</v>
      </c>
      <c r="F1434" s="593" t="s">
        <v>288</v>
      </c>
      <c r="G1434" s="590"/>
      <c r="H1434" s="589"/>
      <c r="I1434" s="603"/>
      <c r="J1434" s="604">
        <f>J1428+J1432+J1433</f>
        <v>985668.04132663575</v>
      </c>
    </row>
    <row r="1435" spans="1:10">
      <c r="A1435" s="584"/>
      <c r="B1435" s="585"/>
      <c r="C1435" s="586" t="s">
        <v>590</v>
      </c>
      <c r="D1435" s="133" t="s">
        <v>590</v>
      </c>
      <c r="E1435" s="587" t="s">
        <v>290</v>
      </c>
      <c r="F1435" s="585" t="s">
        <v>291</v>
      </c>
      <c r="G1435" s="591">
        <f>'Thông tin'!E61</f>
        <v>0.1</v>
      </c>
      <c r="H1435" s="589"/>
      <c r="I1435" s="603"/>
      <c r="J1435" s="589">
        <f>(J1434)*G1435</f>
        <v>98566.804132663587</v>
      </c>
    </row>
    <row r="1436" spans="1:10">
      <c r="A1436" s="594"/>
      <c r="B1436" s="595"/>
      <c r="C1436" s="596" t="s">
        <v>590</v>
      </c>
      <c r="D1436" s="137" t="s">
        <v>590</v>
      </c>
      <c r="E1436" s="597" t="s">
        <v>293</v>
      </c>
      <c r="F1436" s="598" t="s">
        <v>19</v>
      </c>
      <c r="G1436" s="599"/>
      <c r="H1436" s="600"/>
      <c r="I1436" s="605"/>
      <c r="J1436" s="606">
        <f>J1434+J1435</f>
        <v>1084234.8454592994</v>
      </c>
    </row>
    <row r="1437" spans="1:10" ht="27.6">
      <c r="A1437" s="578"/>
      <c r="B1437" s="579">
        <v>79</v>
      </c>
      <c r="C1437" s="578" t="str">
        <f>'5.Tiên lượng'!C180</f>
        <v>BB.11211VD</v>
      </c>
      <c r="D1437" s="578" t="str">
        <f>'5.Tiên lượng'!C180</f>
        <v>BB.11211VD</v>
      </c>
      <c r="E1437" s="580" t="str">
        <f>'5.Tiên lượng'!D180</f>
        <v>Lắp đặt ống bê tông bằng cần cẩu, đoạn ống dài 1m - Đường kính 400mm</v>
      </c>
      <c r="F1437" s="579" t="str">
        <f>'5.Tiên lượng'!E180</f>
        <v>1 đoạn ống</v>
      </c>
      <c r="G1437" s="581"/>
      <c r="H1437" s="582"/>
      <c r="I1437" s="602"/>
      <c r="J1437" s="582"/>
    </row>
    <row r="1438" spans="1:10">
      <c r="A1438" s="126"/>
      <c r="B1438" s="127"/>
      <c r="C1438" s="128" t="s">
        <v>590</v>
      </c>
      <c r="D1438" s="128" t="s">
        <v>590</v>
      </c>
      <c r="E1438" s="583" t="s">
        <v>262</v>
      </c>
      <c r="F1438" s="127" t="s">
        <v>263</v>
      </c>
      <c r="G1438" s="130"/>
      <c r="H1438" s="131"/>
      <c r="I1438" s="143"/>
      <c r="J1438" s="131">
        <f>SUM(J1439:J1440)</f>
        <v>402214.4341169789</v>
      </c>
    </row>
    <row r="1439" spans="1:10">
      <c r="A1439" s="584"/>
      <c r="B1439" s="585"/>
      <c r="C1439" s="586" t="s">
        <v>590</v>
      </c>
      <c r="D1439" s="133" t="s">
        <v>677</v>
      </c>
      <c r="E1439" s="587" t="str">
        <f>" - "&amp;'Giá VL'!E9</f>
        <v xml:space="preserve"> - Ống bê tông D400mm, L=1m</v>
      </c>
      <c r="F1439" s="585" t="str">
        <f>'Giá VL'!F9</f>
        <v>đoạn</v>
      </c>
      <c r="G1439" s="588">
        <f>PTVT!G693</f>
        <v>1</v>
      </c>
      <c r="H1439" s="589">
        <f>'Giá VL'!V9</f>
        <v>402013.42740327725</v>
      </c>
      <c r="I1439" s="603">
        <f>'5.Tiên lượng'!V180</f>
        <v>1</v>
      </c>
      <c r="J1439" s="589">
        <f t="shared" ref="J1439:J1440" si="89">PRODUCT(G1439,H1439,I1439)</f>
        <v>402013.42740327725</v>
      </c>
    </row>
    <row r="1440" spans="1:10">
      <c r="A1440" s="584"/>
      <c r="B1440" s="585"/>
      <c r="C1440" s="586" t="s">
        <v>590</v>
      </c>
      <c r="D1440" s="133" t="s">
        <v>620</v>
      </c>
      <c r="E1440" s="587" t="s">
        <v>668</v>
      </c>
      <c r="F1440" s="585" t="s">
        <v>37</v>
      </c>
      <c r="G1440" s="588">
        <f>PTVT!G694</f>
        <v>0.05</v>
      </c>
      <c r="H1440" s="589">
        <f>IF('5.Tiên lượng'!V180&lt;&gt;0,SUM(J1439:J1439)/100/'5.Tiên lượng'!V180,0)</f>
        <v>4020.1342740327727</v>
      </c>
      <c r="I1440" s="603">
        <f>'5.Tiên lượng'!V180</f>
        <v>1</v>
      </c>
      <c r="J1440" s="589">
        <f t="shared" si="89"/>
        <v>201.00671370163866</v>
      </c>
    </row>
    <row r="1441" spans="1:10">
      <c r="A1441" s="126"/>
      <c r="B1441" s="127"/>
      <c r="C1441" s="128" t="s">
        <v>590</v>
      </c>
      <c r="D1441" s="128" t="s">
        <v>590</v>
      </c>
      <c r="E1441" s="583" t="s">
        <v>265</v>
      </c>
      <c r="F1441" s="127" t="s">
        <v>266</v>
      </c>
      <c r="G1441" s="130"/>
      <c r="H1441" s="131"/>
      <c r="I1441" s="143"/>
      <c r="J1441" s="131">
        <f>SUM(J1442:J1442)</f>
        <v>70200</v>
      </c>
    </row>
    <row r="1442" spans="1:10">
      <c r="A1442" s="584"/>
      <c r="B1442" s="585"/>
      <c r="C1442" s="586" t="s">
        <v>590</v>
      </c>
      <c r="D1442" s="133" t="s">
        <v>622</v>
      </c>
      <c r="E1442" s="587" t="str">
        <f>" - "&amp;'Giá NC'!E9</f>
        <v xml:space="preserve"> - Nhân công bậc 3,5/7 - Nhóm 2</v>
      </c>
      <c r="F1442" s="585" t="str">
        <f>'Giá NC'!F9</f>
        <v>công</v>
      </c>
      <c r="G1442" s="588">
        <f>PTVT!G696</f>
        <v>0.26</v>
      </c>
      <c r="H1442" s="589">
        <f>'Giá NC'!K9</f>
        <v>270000</v>
      </c>
      <c r="I1442" s="603">
        <f>'5.Tiên lượng'!W180</f>
        <v>1</v>
      </c>
      <c r="J1442" s="589">
        <f>PRODUCT(G1442,H1442,I1442)</f>
        <v>70200</v>
      </c>
    </row>
    <row r="1443" spans="1:10">
      <c r="A1443" s="126"/>
      <c r="B1443" s="127"/>
      <c r="C1443" s="128" t="s">
        <v>590</v>
      </c>
      <c r="D1443" s="128" t="s">
        <v>590</v>
      </c>
      <c r="E1443" s="583" t="s">
        <v>267</v>
      </c>
      <c r="F1443" s="127" t="s">
        <v>268</v>
      </c>
      <c r="G1443" s="130"/>
      <c r="H1443" s="131"/>
      <c r="I1443" s="143"/>
      <c r="J1443" s="131">
        <f>SUM(J1444:J1445)</f>
        <v>62618.819794999989</v>
      </c>
    </row>
    <row r="1444" spans="1:10">
      <c r="A1444" s="584"/>
      <c r="B1444" s="585"/>
      <c r="C1444" s="586" t="s">
        <v>590</v>
      </c>
      <c r="D1444" s="133" t="s">
        <v>665</v>
      </c>
      <c r="E1444" s="587" t="str">
        <f>" - "&amp;'Giá Máy'!E6</f>
        <v xml:space="preserve"> - Cần cẩu bánh hơi 6T</v>
      </c>
      <c r="F1444" s="585" t="str">
        <f>'Giá Máy'!F6</f>
        <v>ca</v>
      </c>
      <c r="G1444" s="588">
        <f>PTVT!G698</f>
        <v>3.6999999999999998E-2</v>
      </c>
      <c r="H1444" s="589">
        <f>'Giá Máy'!O6</f>
        <v>1611810.0333333332</v>
      </c>
      <c r="I1444" s="603">
        <f>'5.Tiên lượng'!X180</f>
        <v>1</v>
      </c>
      <c r="J1444" s="589">
        <f t="shared" ref="J1444:J1445" si="90">PRODUCT(G1444,H1444,I1444)</f>
        <v>59636.971233333323</v>
      </c>
    </row>
    <row r="1445" spans="1:10">
      <c r="A1445" s="584"/>
      <c r="B1445" s="585"/>
      <c r="C1445" s="586" t="s">
        <v>590</v>
      </c>
      <c r="D1445" s="133" t="s">
        <v>611</v>
      </c>
      <c r="E1445" s="587" t="s">
        <v>612</v>
      </c>
      <c r="F1445" s="585" t="s">
        <v>37</v>
      </c>
      <c r="G1445" s="588">
        <f>PTVT!G699</f>
        <v>5</v>
      </c>
      <c r="H1445" s="589">
        <f>IF('5.Tiên lượng'!X180&lt;&gt;0,SUM(J1444:J1444)/100/'5.Tiên lượng'!X180,0)</f>
        <v>596.36971233333327</v>
      </c>
      <c r="I1445" s="603">
        <f>'5.Tiên lượng'!X180</f>
        <v>1</v>
      </c>
      <c r="J1445" s="589">
        <f t="shared" si="90"/>
        <v>2981.8485616666662</v>
      </c>
    </row>
    <row r="1446" spans="1:10">
      <c r="A1446" s="584"/>
      <c r="B1446" s="585"/>
      <c r="C1446" s="586" t="s">
        <v>590</v>
      </c>
      <c r="D1446" s="133" t="s">
        <v>590</v>
      </c>
      <c r="E1446" s="587" t="s">
        <v>269</v>
      </c>
      <c r="F1446" s="585" t="s">
        <v>270</v>
      </c>
      <c r="G1446" s="590"/>
      <c r="H1446" s="589"/>
      <c r="I1446" s="603"/>
      <c r="J1446" s="589">
        <f>J1438+J1441+J1443</f>
        <v>535033.25391197891</v>
      </c>
    </row>
    <row r="1447" spans="1:10">
      <c r="A1447" s="584"/>
      <c r="B1447" s="585"/>
      <c r="C1447" s="586" t="s">
        <v>590</v>
      </c>
      <c r="D1447" s="133" t="s">
        <v>590</v>
      </c>
      <c r="E1447" s="587" t="s">
        <v>273</v>
      </c>
      <c r="F1447" s="585" t="s">
        <v>274</v>
      </c>
      <c r="G1447" s="591">
        <f>'Thông tin'!E67</f>
        <v>6.2E-2</v>
      </c>
      <c r="H1447" s="589"/>
      <c r="I1447" s="603"/>
      <c r="J1447" s="589">
        <f>(J1446)*G1447</f>
        <v>33172.06174254269</v>
      </c>
    </row>
    <row r="1448" spans="1:10">
      <c r="A1448" s="584"/>
      <c r="B1448" s="585"/>
      <c r="C1448" s="586" t="s">
        <v>590</v>
      </c>
      <c r="D1448" s="133" t="s">
        <v>590</v>
      </c>
      <c r="E1448" s="587" t="s">
        <v>276</v>
      </c>
      <c r="F1448" s="585" t="s">
        <v>277</v>
      </c>
      <c r="G1448" s="591">
        <f>'Thông tin'!E60</f>
        <v>2.2000000000000002E-2</v>
      </c>
      <c r="H1448" s="589"/>
      <c r="I1448" s="603"/>
      <c r="J1448" s="589">
        <f>(J1446)*G1448</f>
        <v>11770.731586063537</v>
      </c>
    </row>
    <row r="1449" spans="1:10" ht="27.6">
      <c r="A1449" s="584"/>
      <c r="B1449" s="585"/>
      <c r="C1449" s="586" t="s">
        <v>590</v>
      </c>
      <c r="D1449" s="133" t="s">
        <v>590</v>
      </c>
      <c r="E1449" s="587" t="s">
        <v>279</v>
      </c>
      <c r="F1449" s="585" t="s">
        <v>142</v>
      </c>
      <c r="G1449" s="591">
        <f>'Thông tin'!E65</f>
        <v>0.02</v>
      </c>
      <c r="H1449" s="589"/>
      <c r="I1449" s="603"/>
      <c r="J1449" s="589">
        <f>(J1446)*G1449</f>
        <v>10700.665078239579</v>
      </c>
    </row>
    <row r="1450" spans="1:10">
      <c r="A1450" s="584"/>
      <c r="B1450" s="585"/>
      <c r="C1450" s="586" t="s">
        <v>590</v>
      </c>
      <c r="D1450" s="133" t="s">
        <v>590</v>
      </c>
      <c r="E1450" s="587" t="s">
        <v>281</v>
      </c>
      <c r="F1450" s="585" t="s">
        <v>282</v>
      </c>
      <c r="G1450" s="590"/>
      <c r="H1450" s="589"/>
      <c r="I1450" s="603"/>
      <c r="J1450" s="589">
        <f>J1447+J1448+J1449</f>
        <v>55643.458406845806</v>
      </c>
    </row>
    <row r="1451" spans="1:10">
      <c r="A1451" s="584"/>
      <c r="B1451" s="585"/>
      <c r="C1451" s="586" t="s">
        <v>590</v>
      </c>
      <c r="D1451" s="133" t="s">
        <v>590</v>
      </c>
      <c r="E1451" s="587" t="s">
        <v>284</v>
      </c>
      <c r="F1451" s="585" t="s">
        <v>285</v>
      </c>
      <c r="G1451" s="591">
        <f>'Thông tin'!E63</f>
        <v>0.06</v>
      </c>
      <c r="H1451" s="589"/>
      <c r="I1451" s="603"/>
      <c r="J1451" s="589">
        <f>(J1446+J1450)*G1451</f>
        <v>35440.602739129485</v>
      </c>
    </row>
    <row r="1452" spans="1:10">
      <c r="A1452" s="584"/>
      <c r="B1452" s="585"/>
      <c r="C1452" s="586" t="s">
        <v>590</v>
      </c>
      <c r="D1452" s="133" t="s">
        <v>590</v>
      </c>
      <c r="E1452" s="592" t="s">
        <v>287</v>
      </c>
      <c r="F1452" s="593" t="s">
        <v>288</v>
      </c>
      <c r="G1452" s="590"/>
      <c r="H1452" s="589"/>
      <c r="I1452" s="603"/>
      <c r="J1452" s="604">
        <f>J1446+J1450+J1451</f>
        <v>626117.31505795417</v>
      </c>
    </row>
    <row r="1453" spans="1:10">
      <c r="A1453" s="584"/>
      <c r="B1453" s="585"/>
      <c r="C1453" s="586" t="s">
        <v>590</v>
      </c>
      <c r="D1453" s="133" t="s">
        <v>590</v>
      </c>
      <c r="E1453" s="587" t="s">
        <v>290</v>
      </c>
      <c r="F1453" s="585" t="s">
        <v>291</v>
      </c>
      <c r="G1453" s="591">
        <f>'Thông tin'!E61</f>
        <v>0.1</v>
      </c>
      <c r="H1453" s="589"/>
      <c r="I1453" s="603"/>
      <c r="J1453" s="589">
        <f>(J1452)*G1453</f>
        <v>62611.731505795418</v>
      </c>
    </row>
    <row r="1454" spans="1:10">
      <c r="A1454" s="594"/>
      <c r="B1454" s="595"/>
      <c r="C1454" s="596" t="s">
        <v>590</v>
      </c>
      <c r="D1454" s="137" t="s">
        <v>590</v>
      </c>
      <c r="E1454" s="597" t="s">
        <v>293</v>
      </c>
      <c r="F1454" s="598" t="s">
        <v>19</v>
      </c>
      <c r="G1454" s="599"/>
      <c r="H1454" s="600"/>
      <c r="I1454" s="605"/>
      <c r="J1454" s="606">
        <f>J1452+J1453</f>
        <v>688729.04656374955</v>
      </c>
    </row>
    <row r="1455" spans="1:10" ht="27.6">
      <c r="A1455" s="578"/>
      <c r="B1455" s="579">
        <v>80</v>
      </c>
      <c r="C1455" s="578" t="str">
        <f>'5.Tiên lượng'!C181</f>
        <v>BB.11221VD</v>
      </c>
      <c r="D1455" s="578" t="str">
        <f>'5.Tiên lượng'!C181</f>
        <v>BB.11221VD</v>
      </c>
      <c r="E1455" s="580" t="str">
        <f>'5.Tiên lượng'!D181</f>
        <v>Lắp đặt ống bê tông bằng cần cẩu, đoạn ống dài 2m - Đường kính 400mm</v>
      </c>
      <c r="F1455" s="579" t="str">
        <f>'5.Tiên lượng'!E181</f>
        <v>1 đoạn ống</v>
      </c>
      <c r="G1455" s="581"/>
      <c r="H1455" s="582"/>
      <c r="I1455" s="602"/>
      <c r="J1455" s="582"/>
    </row>
    <row r="1456" spans="1:10">
      <c r="A1456" s="126"/>
      <c r="B1456" s="127"/>
      <c r="C1456" s="128" t="s">
        <v>590</v>
      </c>
      <c r="D1456" s="128" t="s">
        <v>590</v>
      </c>
      <c r="E1456" s="583" t="s">
        <v>262</v>
      </c>
      <c r="F1456" s="127" t="s">
        <v>263</v>
      </c>
      <c r="G1456" s="130"/>
      <c r="H1456" s="131"/>
      <c r="I1456" s="143"/>
      <c r="J1456" s="131">
        <f>SUM(J1457:J1458)</f>
        <v>804428.86823395779</v>
      </c>
    </row>
    <row r="1457" spans="1:10">
      <c r="A1457" s="584"/>
      <c r="B1457" s="585"/>
      <c r="C1457" s="586" t="s">
        <v>590</v>
      </c>
      <c r="D1457" s="133" t="s">
        <v>678</v>
      </c>
      <c r="E1457" s="587" t="str">
        <f>" - "&amp;'Giá VL'!E11</f>
        <v xml:space="preserve"> - Ống bê tông D400mm, L=2m</v>
      </c>
      <c r="F1457" s="585" t="str">
        <f>'Giá VL'!F11</f>
        <v>đoạn</v>
      </c>
      <c r="G1457" s="588">
        <f>PTVT!G702</f>
        <v>1</v>
      </c>
      <c r="H1457" s="589">
        <f>'Giá VL'!V11</f>
        <v>804026.8548065545</v>
      </c>
      <c r="I1457" s="603">
        <f>'5.Tiên lượng'!V181</f>
        <v>1</v>
      </c>
      <c r="J1457" s="589">
        <f t="shared" ref="J1457:J1458" si="91">PRODUCT(G1457,H1457,I1457)</f>
        <v>804026.8548065545</v>
      </c>
    </row>
    <row r="1458" spans="1:10">
      <c r="A1458" s="584"/>
      <c r="B1458" s="585"/>
      <c r="C1458" s="586" t="s">
        <v>590</v>
      </c>
      <c r="D1458" s="133" t="s">
        <v>620</v>
      </c>
      <c r="E1458" s="587" t="s">
        <v>668</v>
      </c>
      <c r="F1458" s="585" t="s">
        <v>37</v>
      </c>
      <c r="G1458" s="588">
        <f>PTVT!G703</f>
        <v>0.05</v>
      </c>
      <c r="H1458" s="589">
        <f>IF('5.Tiên lượng'!V181&lt;&gt;0,SUM(J1457:J1457)/100/'5.Tiên lượng'!V181,0)</f>
        <v>8040.2685480655455</v>
      </c>
      <c r="I1458" s="603">
        <f>'5.Tiên lượng'!V181</f>
        <v>1</v>
      </c>
      <c r="J1458" s="589">
        <f t="shared" si="91"/>
        <v>402.01342740327732</v>
      </c>
    </row>
    <row r="1459" spans="1:10">
      <c r="A1459" s="126"/>
      <c r="B1459" s="127"/>
      <c r="C1459" s="128" t="s">
        <v>590</v>
      </c>
      <c r="D1459" s="128" t="s">
        <v>590</v>
      </c>
      <c r="E1459" s="583" t="s">
        <v>265</v>
      </c>
      <c r="F1459" s="127" t="s">
        <v>266</v>
      </c>
      <c r="G1459" s="130"/>
      <c r="H1459" s="131"/>
      <c r="I1459" s="143"/>
      <c r="J1459" s="131">
        <f>SUM(J1460:J1460)</f>
        <v>94500</v>
      </c>
    </row>
    <row r="1460" spans="1:10">
      <c r="A1460" s="584"/>
      <c r="B1460" s="585"/>
      <c r="C1460" s="586" t="s">
        <v>590</v>
      </c>
      <c r="D1460" s="133" t="s">
        <v>622</v>
      </c>
      <c r="E1460" s="587" t="str">
        <f>" - "&amp;'Giá NC'!E9</f>
        <v xml:space="preserve"> - Nhân công bậc 3,5/7 - Nhóm 2</v>
      </c>
      <c r="F1460" s="585" t="str">
        <f>'Giá NC'!F9</f>
        <v>công</v>
      </c>
      <c r="G1460" s="588">
        <f>PTVT!G705</f>
        <v>0.35</v>
      </c>
      <c r="H1460" s="589">
        <f>'Giá NC'!K9</f>
        <v>270000</v>
      </c>
      <c r="I1460" s="603">
        <f>'5.Tiên lượng'!W181</f>
        <v>1</v>
      </c>
      <c r="J1460" s="589">
        <f>PRODUCT(G1460,H1460,I1460)</f>
        <v>94500</v>
      </c>
    </row>
    <row r="1461" spans="1:10">
      <c r="A1461" s="126"/>
      <c r="B1461" s="127"/>
      <c r="C1461" s="128" t="s">
        <v>590</v>
      </c>
      <c r="D1461" s="128" t="s">
        <v>590</v>
      </c>
      <c r="E1461" s="583" t="s">
        <v>267</v>
      </c>
      <c r="F1461" s="127" t="s">
        <v>268</v>
      </c>
      <c r="G1461" s="130"/>
      <c r="H1461" s="131"/>
      <c r="I1461" s="143"/>
      <c r="J1461" s="131">
        <f>SUM(J1462:J1463)</f>
        <v>94774.429959999994</v>
      </c>
    </row>
    <row r="1462" spans="1:10">
      <c r="A1462" s="584"/>
      <c r="B1462" s="585"/>
      <c r="C1462" s="586" t="s">
        <v>590</v>
      </c>
      <c r="D1462" s="133" t="s">
        <v>665</v>
      </c>
      <c r="E1462" s="587" t="str">
        <f>" - "&amp;'Giá Máy'!E6</f>
        <v xml:space="preserve"> - Cần cẩu bánh hơi 6T</v>
      </c>
      <c r="F1462" s="585" t="str">
        <f>'Giá Máy'!F6</f>
        <v>ca</v>
      </c>
      <c r="G1462" s="588">
        <f>PTVT!G707</f>
        <v>5.6000000000000001E-2</v>
      </c>
      <c r="H1462" s="589">
        <f>'Giá Máy'!O6</f>
        <v>1611810.0333333332</v>
      </c>
      <c r="I1462" s="603">
        <f>'5.Tiên lượng'!X181</f>
        <v>1</v>
      </c>
      <c r="J1462" s="589">
        <f t="shared" ref="J1462:J1463" si="92">PRODUCT(G1462,H1462,I1462)</f>
        <v>90261.361866666659</v>
      </c>
    </row>
    <row r="1463" spans="1:10">
      <c r="A1463" s="584"/>
      <c r="B1463" s="585"/>
      <c r="C1463" s="586" t="s">
        <v>590</v>
      </c>
      <c r="D1463" s="133" t="s">
        <v>611</v>
      </c>
      <c r="E1463" s="587" t="s">
        <v>612</v>
      </c>
      <c r="F1463" s="585" t="s">
        <v>37</v>
      </c>
      <c r="G1463" s="588">
        <f>PTVT!G708</f>
        <v>5</v>
      </c>
      <c r="H1463" s="589">
        <f>IF('5.Tiên lượng'!X181&lt;&gt;0,SUM(J1462:J1462)/100/'5.Tiên lượng'!X181,0)</f>
        <v>902.61361866666664</v>
      </c>
      <c r="I1463" s="603">
        <f>'5.Tiên lượng'!X181</f>
        <v>1</v>
      </c>
      <c r="J1463" s="589">
        <f t="shared" si="92"/>
        <v>4513.0680933333333</v>
      </c>
    </row>
    <row r="1464" spans="1:10">
      <c r="A1464" s="584"/>
      <c r="B1464" s="585"/>
      <c r="C1464" s="586" t="s">
        <v>590</v>
      </c>
      <c r="D1464" s="133" t="s">
        <v>590</v>
      </c>
      <c r="E1464" s="587" t="s">
        <v>269</v>
      </c>
      <c r="F1464" s="585" t="s">
        <v>270</v>
      </c>
      <c r="G1464" s="590"/>
      <c r="H1464" s="589"/>
      <c r="I1464" s="603"/>
      <c r="J1464" s="589">
        <f>J1456+J1459+J1461</f>
        <v>993703.29819395777</v>
      </c>
    </row>
    <row r="1465" spans="1:10">
      <c r="A1465" s="584"/>
      <c r="B1465" s="585"/>
      <c r="C1465" s="586" t="s">
        <v>590</v>
      </c>
      <c r="D1465" s="133" t="s">
        <v>590</v>
      </c>
      <c r="E1465" s="587" t="s">
        <v>273</v>
      </c>
      <c r="F1465" s="585" t="s">
        <v>274</v>
      </c>
      <c r="G1465" s="591">
        <f>'Thông tin'!E67</f>
        <v>6.2E-2</v>
      </c>
      <c r="H1465" s="589"/>
      <c r="I1465" s="603"/>
      <c r="J1465" s="589">
        <f>(J1464)*G1465</f>
        <v>61609.604488025383</v>
      </c>
    </row>
    <row r="1466" spans="1:10">
      <c r="A1466" s="584"/>
      <c r="B1466" s="585"/>
      <c r="C1466" s="586" t="s">
        <v>590</v>
      </c>
      <c r="D1466" s="133" t="s">
        <v>590</v>
      </c>
      <c r="E1466" s="587" t="s">
        <v>276</v>
      </c>
      <c r="F1466" s="585" t="s">
        <v>277</v>
      </c>
      <c r="G1466" s="591">
        <f>'Thông tin'!E60</f>
        <v>2.2000000000000002E-2</v>
      </c>
      <c r="H1466" s="589"/>
      <c r="I1466" s="603"/>
      <c r="J1466" s="589">
        <f>(J1464)*G1466</f>
        <v>21861.472560267073</v>
      </c>
    </row>
    <row r="1467" spans="1:10" ht="27.6">
      <c r="A1467" s="584"/>
      <c r="B1467" s="585"/>
      <c r="C1467" s="586" t="s">
        <v>590</v>
      </c>
      <c r="D1467" s="133" t="s">
        <v>590</v>
      </c>
      <c r="E1467" s="587" t="s">
        <v>279</v>
      </c>
      <c r="F1467" s="585" t="s">
        <v>142</v>
      </c>
      <c r="G1467" s="591">
        <f>'Thông tin'!E65</f>
        <v>0.02</v>
      </c>
      <c r="H1467" s="589"/>
      <c r="I1467" s="603"/>
      <c r="J1467" s="589">
        <f>(J1464)*G1467</f>
        <v>19874.065963879155</v>
      </c>
    </row>
    <row r="1468" spans="1:10">
      <c r="A1468" s="584"/>
      <c r="B1468" s="585"/>
      <c r="C1468" s="586" t="s">
        <v>590</v>
      </c>
      <c r="D1468" s="133" t="s">
        <v>590</v>
      </c>
      <c r="E1468" s="587" t="s">
        <v>281</v>
      </c>
      <c r="F1468" s="585" t="s">
        <v>282</v>
      </c>
      <c r="G1468" s="590"/>
      <c r="H1468" s="589"/>
      <c r="I1468" s="603"/>
      <c r="J1468" s="589">
        <f>J1465+J1466+J1467</f>
        <v>103345.14301217161</v>
      </c>
    </row>
    <row r="1469" spans="1:10">
      <c r="A1469" s="584"/>
      <c r="B1469" s="585"/>
      <c r="C1469" s="586" t="s">
        <v>590</v>
      </c>
      <c r="D1469" s="133" t="s">
        <v>590</v>
      </c>
      <c r="E1469" s="587" t="s">
        <v>284</v>
      </c>
      <c r="F1469" s="585" t="s">
        <v>285</v>
      </c>
      <c r="G1469" s="591">
        <f>'Thông tin'!E63</f>
        <v>0.06</v>
      </c>
      <c r="H1469" s="589"/>
      <c r="I1469" s="603"/>
      <c r="J1469" s="589">
        <f>(J1464+J1468)*G1469</f>
        <v>65822.906472367758</v>
      </c>
    </row>
    <row r="1470" spans="1:10">
      <c r="A1470" s="584"/>
      <c r="B1470" s="585"/>
      <c r="C1470" s="586" t="s">
        <v>590</v>
      </c>
      <c r="D1470" s="133" t="s">
        <v>590</v>
      </c>
      <c r="E1470" s="592" t="s">
        <v>287</v>
      </c>
      <c r="F1470" s="593" t="s">
        <v>288</v>
      </c>
      <c r="G1470" s="590"/>
      <c r="H1470" s="589"/>
      <c r="I1470" s="603"/>
      <c r="J1470" s="604">
        <f>J1464+J1468+J1469</f>
        <v>1162871.347678497</v>
      </c>
    </row>
    <row r="1471" spans="1:10">
      <c r="A1471" s="584"/>
      <c r="B1471" s="585"/>
      <c r="C1471" s="586" t="s">
        <v>590</v>
      </c>
      <c r="D1471" s="133" t="s">
        <v>590</v>
      </c>
      <c r="E1471" s="587" t="s">
        <v>290</v>
      </c>
      <c r="F1471" s="585" t="s">
        <v>291</v>
      </c>
      <c r="G1471" s="591">
        <f>'Thông tin'!E61</f>
        <v>0.1</v>
      </c>
      <c r="H1471" s="589"/>
      <c r="I1471" s="603"/>
      <c r="J1471" s="589">
        <f>(J1470)*G1471</f>
        <v>116287.1347678497</v>
      </c>
    </row>
    <row r="1472" spans="1:10">
      <c r="A1472" s="594"/>
      <c r="B1472" s="595"/>
      <c r="C1472" s="596" t="s">
        <v>590</v>
      </c>
      <c r="D1472" s="137" t="s">
        <v>590</v>
      </c>
      <c r="E1472" s="597" t="s">
        <v>293</v>
      </c>
      <c r="F1472" s="598" t="s">
        <v>19</v>
      </c>
      <c r="G1472" s="599"/>
      <c r="H1472" s="600"/>
      <c r="I1472" s="605"/>
      <c r="J1472" s="606">
        <f>J1470+J1471</f>
        <v>1279158.4824463467</v>
      </c>
    </row>
    <row r="1473" spans="1:10" ht="27.6">
      <c r="A1473" s="578"/>
      <c r="B1473" s="579">
        <v>81</v>
      </c>
      <c r="C1473" s="578" t="str">
        <f>'5.Tiên lượng'!C182</f>
        <v>BB.11211</v>
      </c>
      <c r="D1473" s="578" t="str">
        <f>'5.Tiên lượng'!C182</f>
        <v>BB.11211</v>
      </c>
      <c r="E1473" s="580" t="str">
        <f>'5.Tiên lượng'!D182</f>
        <v>Lắp đặt ống bê tông bằng cần cẩu, đoạn ống dài 1m - Đường kính 600mm</v>
      </c>
      <c r="F1473" s="579" t="str">
        <f>'5.Tiên lượng'!E182</f>
        <v>1 đoạn ống</v>
      </c>
      <c r="G1473" s="581"/>
      <c r="H1473" s="582"/>
      <c r="I1473" s="602"/>
      <c r="J1473" s="582"/>
    </row>
    <row r="1474" spans="1:10">
      <c r="A1474" s="126"/>
      <c r="B1474" s="127"/>
      <c r="C1474" s="128" t="s">
        <v>590</v>
      </c>
      <c r="D1474" s="128" t="s">
        <v>590</v>
      </c>
      <c r="E1474" s="583" t="s">
        <v>262</v>
      </c>
      <c r="F1474" s="127" t="s">
        <v>263</v>
      </c>
      <c r="G1474" s="130"/>
      <c r="H1474" s="131"/>
      <c r="I1474" s="143"/>
      <c r="J1474" s="131">
        <f>SUM(J1475:J1476)</f>
        <v>566455.93552208727</v>
      </c>
    </row>
    <row r="1475" spans="1:10">
      <c r="A1475" s="584"/>
      <c r="B1475" s="585"/>
      <c r="C1475" s="586" t="s">
        <v>590</v>
      </c>
      <c r="D1475" s="133" t="s">
        <v>677</v>
      </c>
      <c r="E1475" s="587" t="str">
        <f>" - "&amp;'Giá VL'!E8</f>
        <v xml:space="preserve"> - Ống bê tông D ≤600mm, L=1m</v>
      </c>
      <c r="F1475" s="585" t="str">
        <f>'Giá VL'!F8</f>
        <v>đoạn</v>
      </c>
      <c r="G1475" s="588">
        <f>PTVT!G711</f>
        <v>1</v>
      </c>
      <c r="H1475" s="589">
        <f>'Giá VL'!V8</f>
        <v>566172.84909753851</v>
      </c>
      <c r="I1475" s="603">
        <f>'5.Tiên lượng'!V182</f>
        <v>1</v>
      </c>
      <c r="J1475" s="589">
        <f t="shared" ref="J1475:J1476" si="93">PRODUCT(G1475,H1475,I1475)</f>
        <v>566172.84909753851</v>
      </c>
    </row>
    <row r="1476" spans="1:10">
      <c r="A1476" s="584"/>
      <c r="B1476" s="585"/>
      <c r="C1476" s="586" t="s">
        <v>590</v>
      </c>
      <c r="D1476" s="133" t="s">
        <v>620</v>
      </c>
      <c r="E1476" s="587" t="s">
        <v>668</v>
      </c>
      <c r="F1476" s="585" t="s">
        <v>37</v>
      </c>
      <c r="G1476" s="588">
        <f>PTVT!G712</f>
        <v>0.05</v>
      </c>
      <c r="H1476" s="589">
        <f>IF('5.Tiên lượng'!V182&lt;&gt;0,SUM(J1475:J1475)/100/'5.Tiên lượng'!V182,0)</f>
        <v>5661.7284909753853</v>
      </c>
      <c r="I1476" s="603">
        <f>'5.Tiên lượng'!V182</f>
        <v>1</v>
      </c>
      <c r="J1476" s="589">
        <f t="shared" si="93"/>
        <v>283.08642454876929</v>
      </c>
    </row>
    <row r="1477" spans="1:10">
      <c r="A1477" s="126"/>
      <c r="B1477" s="127"/>
      <c r="C1477" s="128" t="s">
        <v>590</v>
      </c>
      <c r="D1477" s="128" t="s">
        <v>590</v>
      </c>
      <c r="E1477" s="583" t="s">
        <v>265</v>
      </c>
      <c r="F1477" s="127" t="s">
        <v>266</v>
      </c>
      <c r="G1477" s="130"/>
      <c r="H1477" s="131"/>
      <c r="I1477" s="143"/>
      <c r="J1477" s="131">
        <f>SUM(J1478:J1478)</f>
        <v>70200</v>
      </c>
    </row>
    <row r="1478" spans="1:10">
      <c r="A1478" s="584"/>
      <c r="B1478" s="585"/>
      <c r="C1478" s="586" t="s">
        <v>590</v>
      </c>
      <c r="D1478" s="133" t="s">
        <v>622</v>
      </c>
      <c r="E1478" s="587" t="str">
        <f>" - "&amp;'Giá NC'!E9</f>
        <v xml:space="preserve"> - Nhân công bậc 3,5/7 - Nhóm 2</v>
      </c>
      <c r="F1478" s="585" t="str">
        <f>'Giá NC'!F9</f>
        <v>công</v>
      </c>
      <c r="G1478" s="588">
        <f>PTVT!G714</f>
        <v>0.26</v>
      </c>
      <c r="H1478" s="589">
        <f>'Giá NC'!K9</f>
        <v>270000</v>
      </c>
      <c r="I1478" s="603">
        <f>'5.Tiên lượng'!W182</f>
        <v>1</v>
      </c>
      <c r="J1478" s="589">
        <f>PRODUCT(G1478,H1478,I1478)</f>
        <v>70200</v>
      </c>
    </row>
    <row r="1479" spans="1:10">
      <c r="A1479" s="126"/>
      <c r="B1479" s="127"/>
      <c r="C1479" s="128" t="s">
        <v>590</v>
      </c>
      <c r="D1479" s="128" t="s">
        <v>590</v>
      </c>
      <c r="E1479" s="583" t="s">
        <v>267</v>
      </c>
      <c r="F1479" s="127" t="s">
        <v>268</v>
      </c>
      <c r="G1479" s="130"/>
      <c r="H1479" s="131"/>
      <c r="I1479" s="143"/>
      <c r="J1479" s="131">
        <f>SUM(J1480:J1481)</f>
        <v>62618.819794999989</v>
      </c>
    </row>
    <row r="1480" spans="1:10">
      <c r="A1480" s="584"/>
      <c r="B1480" s="585"/>
      <c r="C1480" s="586" t="s">
        <v>590</v>
      </c>
      <c r="D1480" s="133" t="s">
        <v>665</v>
      </c>
      <c r="E1480" s="587" t="str">
        <f>" - "&amp;'Giá Máy'!E6</f>
        <v xml:space="preserve"> - Cần cẩu bánh hơi 6T</v>
      </c>
      <c r="F1480" s="585" t="str">
        <f>'Giá Máy'!F6</f>
        <v>ca</v>
      </c>
      <c r="G1480" s="588">
        <f>PTVT!G716</f>
        <v>3.6999999999999998E-2</v>
      </c>
      <c r="H1480" s="589">
        <f>'Giá Máy'!O6</f>
        <v>1611810.0333333332</v>
      </c>
      <c r="I1480" s="603">
        <f>'5.Tiên lượng'!X182</f>
        <v>1</v>
      </c>
      <c r="J1480" s="589">
        <f t="shared" ref="J1480:J1481" si="94">PRODUCT(G1480,H1480,I1480)</f>
        <v>59636.971233333323</v>
      </c>
    </row>
    <row r="1481" spans="1:10">
      <c r="A1481" s="584"/>
      <c r="B1481" s="585"/>
      <c r="C1481" s="586" t="s">
        <v>590</v>
      </c>
      <c r="D1481" s="133" t="s">
        <v>611</v>
      </c>
      <c r="E1481" s="587" t="s">
        <v>612</v>
      </c>
      <c r="F1481" s="585" t="s">
        <v>37</v>
      </c>
      <c r="G1481" s="588">
        <f>PTVT!G717</f>
        <v>5</v>
      </c>
      <c r="H1481" s="589">
        <f>IF('5.Tiên lượng'!X182&lt;&gt;0,SUM(J1480:J1480)/100/'5.Tiên lượng'!X182,0)</f>
        <v>596.36971233333327</v>
      </c>
      <c r="I1481" s="603">
        <f>'5.Tiên lượng'!X182</f>
        <v>1</v>
      </c>
      <c r="J1481" s="589">
        <f t="shared" si="94"/>
        <v>2981.8485616666662</v>
      </c>
    </row>
    <row r="1482" spans="1:10">
      <c r="A1482" s="584"/>
      <c r="B1482" s="585"/>
      <c r="C1482" s="586" t="s">
        <v>590</v>
      </c>
      <c r="D1482" s="133" t="s">
        <v>590</v>
      </c>
      <c r="E1482" s="587" t="s">
        <v>269</v>
      </c>
      <c r="F1482" s="585" t="s">
        <v>270</v>
      </c>
      <c r="G1482" s="590"/>
      <c r="H1482" s="589"/>
      <c r="I1482" s="603"/>
      <c r="J1482" s="589">
        <f>J1474+J1477+J1479</f>
        <v>699274.75531708729</v>
      </c>
    </row>
    <row r="1483" spans="1:10">
      <c r="A1483" s="584"/>
      <c r="B1483" s="585"/>
      <c r="C1483" s="586" t="s">
        <v>590</v>
      </c>
      <c r="D1483" s="133" t="s">
        <v>590</v>
      </c>
      <c r="E1483" s="587" t="s">
        <v>273</v>
      </c>
      <c r="F1483" s="585" t="s">
        <v>274</v>
      </c>
      <c r="G1483" s="591">
        <f>'Thông tin'!E67</f>
        <v>6.2E-2</v>
      </c>
      <c r="H1483" s="589"/>
      <c r="I1483" s="603"/>
      <c r="J1483" s="589">
        <f>(J1482)*G1483</f>
        <v>43355.034829659409</v>
      </c>
    </row>
    <row r="1484" spans="1:10">
      <c r="A1484" s="584"/>
      <c r="B1484" s="585"/>
      <c r="C1484" s="586" t="s">
        <v>590</v>
      </c>
      <c r="D1484" s="133" t="s">
        <v>590</v>
      </c>
      <c r="E1484" s="587" t="s">
        <v>276</v>
      </c>
      <c r="F1484" s="585" t="s">
        <v>277</v>
      </c>
      <c r="G1484" s="591">
        <f>'Thông tin'!E60</f>
        <v>2.2000000000000002E-2</v>
      </c>
      <c r="H1484" s="589"/>
      <c r="I1484" s="603"/>
      <c r="J1484" s="589">
        <f>(J1482)*G1484</f>
        <v>15384.044616975922</v>
      </c>
    </row>
    <row r="1485" spans="1:10" ht="27.6">
      <c r="A1485" s="584"/>
      <c r="B1485" s="585"/>
      <c r="C1485" s="586" t="s">
        <v>590</v>
      </c>
      <c r="D1485" s="133" t="s">
        <v>590</v>
      </c>
      <c r="E1485" s="587" t="s">
        <v>279</v>
      </c>
      <c r="F1485" s="585" t="s">
        <v>142</v>
      </c>
      <c r="G1485" s="591">
        <f>'Thông tin'!E65</f>
        <v>0.02</v>
      </c>
      <c r="H1485" s="589"/>
      <c r="I1485" s="603"/>
      <c r="J1485" s="589">
        <f>(J1482)*G1485</f>
        <v>13985.495106341747</v>
      </c>
    </row>
    <row r="1486" spans="1:10">
      <c r="A1486" s="584"/>
      <c r="B1486" s="585"/>
      <c r="C1486" s="586" t="s">
        <v>590</v>
      </c>
      <c r="D1486" s="133" t="s">
        <v>590</v>
      </c>
      <c r="E1486" s="587" t="s">
        <v>281</v>
      </c>
      <c r="F1486" s="585" t="s">
        <v>282</v>
      </c>
      <c r="G1486" s="590"/>
      <c r="H1486" s="589"/>
      <c r="I1486" s="603"/>
      <c r="J1486" s="589">
        <f>J1483+J1484+J1485</f>
        <v>72724.574552977079</v>
      </c>
    </row>
    <row r="1487" spans="1:10">
      <c r="A1487" s="584"/>
      <c r="B1487" s="585"/>
      <c r="C1487" s="586" t="s">
        <v>590</v>
      </c>
      <c r="D1487" s="133" t="s">
        <v>590</v>
      </c>
      <c r="E1487" s="587" t="s">
        <v>284</v>
      </c>
      <c r="F1487" s="585" t="s">
        <v>285</v>
      </c>
      <c r="G1487" s="591">
        <f>'Thông tin'!E63</f>
        <v>0.06</v>
      </c>
      <c r="H1487" s="589"/>
      <c r="I1487" s="603"/>
      <c r="J1487" s="589">
        <f>(J1482+J1486)*G1487</f>
        <v>46319.959792203859</v>
      </c>
    </row>
    <row r="1488" spans="1:10">
      <c r="A1488" s="584"/>
      <c r="B1488" s="585"/>
      <c r="C1488" s="586" t="s">
        <v>590</v>
      </c>
      <c r="D1488" s="133" t="s">
        <v>590</v>
      </c>
      <c r="E1488" s="592" t="s">
        <v>287</v>
      </c>
      <c r="F1488" s="593" t="s">
        <v>288</v>
      </c>
      <c r="G1488" s="590"/>
      <c r="H1488" s="589"/>
      <c r="I1488" s="603"/>
      <c r="J1488" s="604">
        <f>J1482+J1486+J1487</f>
        <v>818319.28966226825</v>
      </c>
    </row>
    <row r="1489" spans="1:10">
      <c r="A1489" s="584"/>
      <c r="B1489" s="585"/>
      <c r="C1489" s="586" t="s">
        <v>590</v>
      </c>
      <c r="D1489" s="133" t="s">
        <v>590</v>
      </c>
      <c r="E1489" s="587" t="s">
        <v>290</v>
      </c>
      <c r="F1489" s="585" t="s">
        <v>291</v>
      </c>
      <c r="G1489" s="591">
        <f>'Thông tin'!E61</f>
        <v>0.1</v>
      </c>
      <c r="H1489" s="589"/>
      <c r="I1489" s="603"/>
      <c r="J1489" s="589">
        <f>(J1488)*G1489</f>
        <v>81831.928966226827</v>
      </c>
    </row>
    <row r="1490" spans="1:10">
      <c r="A1490" s="594"/>
      <c r="B1490" s="595"/>
      <c r="C1490" s="596" t="s">
        <v>590</v>
      </c>
      <c r="D1490" s="137" t="s">
        <v>590</v>
      </c>
      <c r="E1490" s="597" t="s">
        <v>293</v>
      </c>
      <c r="F1490" s="598" t="s">
        <v>19</v>
      </c>
      <c r="G1490" s="599"/>
      <c r="H1490" s="600"/>
      <c r="I1490" s="605"/>
      <c r="J1490" s="606">
        <f>J1488+J1489</f>
        <v>900151.21862849512</v>
      </c>
    </row>
    <row r="1491" spans="1:10" ht="27.6">
      <c r="A1491" s="578"/>
      <c r="B1491" s="579">
        <v>82</v>
      </c>
      <c r="C1491" s="578" t="str">
        <f>'5.Tiên lượng'!C183</f>
        <v>BB.11221</v>
      </c>
      <c r="D1491" s="578" t="str">
        <f>'5.Tiên lượng'!C183</f>
        <v>BB.11221</v>
      </c>
      <c r="E1491" s="580" t="str">
        <f>'5.Tiên lượng'!D183</f>
        <v>Lắp đặt ống bê tông bằng cần cẩu, đoạn ống dài 2m - Đường kính 600mm</v>
      </c>
      <c r="F1491" s="579" t="str">
        <f>'5.Tiên lượng'!E183</f>
        <v>1 đoạn ống</v>
      </c>
      <c r="G1491" s="581"/>
      <c r="H1491" s="582"/>
      <c r="I1491" s="602"/>
      <c r="J1491" s="582"/>
    </row>
    <row r="1492" spans="1:10">
      <c r="A1492" s="126"/>
      <c r="B1492" s="127"/>
      <c r="C1492" s="128" t="s">
        <v>590</v>
      </c>
      <c r="D1492" s="128" t="s">
        <v>590</v>
      </c>
      <c r="E1492" s="583" t="s">
        <v>262</v>
      </c>
      <c r="F1492" s="127" t="s">
        <v>263</v>
      </c>
      <c r="G1492" s="130"/>
      <c r="H1492" s="131"/>
      <c r="I1492" s="143"/>
      <c r="J1492" s="131">
        <f>SUM(J1493:J1494)</f>
        <v>1130810.8293843376</v>
      </c>
    </row>
    <row r="1493" spans="1:10">
      <c r="A1493" s="584"/>
      <c r="B1493" s="585"/>
      <c r="C1493" s="586" t="s">
        <v>590</v>
      </c>
      <c r="D1493" s="133" t="s">
        <v>678</v>
      </c>
      <c r="E1493" s="587" t="str">
        <f>" - "&amp;'Giá VL'!E10</f>
        <v xml:space="preserve"> - Ống bê tông D ≤600mm, L=2m</v>
      </c>
      <c r="F1493" s="585" t="str">
        <f>'Giá VL'!F10</f>
        <v>đoạn</v>
      </c>
      <c r="G1493" s="588">
        <f>PTVT!G720</f>
        <v>1</v>
      </c>
      <c r="H1493" s="589">
        <f>'Giá VL'!V10</f>
        <v>1130245.706531072</v>
      </c>
      <c r="I1493" s="603">
        <f>'5.Tiên lượng'!V183</f>
        <v>1</v>
      </c>
      <c r="J1493" s="589">
        <f t="shared" ref="J1493:J1494" si="95">PRODUCT(G1493,H1493,I1493)</f>
        <v>1130245.706531072</v>
      </c>
    </row>
    <row r="1494" spans="1:10">
      <c r="A1494" s="584"/>
      <c r="B1494" s="585"/>
      <c r="C1494" s="586" t="s">
        <v>590</v>
      </c>
      <c r="D1494" s="133" t="s">
        <v>620</v>
      </c>
      <c r="E1494" s="587" t="s">
        <v>668</v>
      </c>
      <c r="F1494" s="585" t="s">
        <v>37</v>
      </c>
      <c r="G1494" s="588">
        <f>PTVT!G721</f>
        <v>0.05</v>
      </c>
      <c r="H1494" s="589">
        <f>IF('5.Tiên lượng'!V183&lt;&gt;0,SUM(J1493:J1493)/100/'5.Tiên lượng'!V183,0)</f>
        <v>11302.45706531072</v>
      </c>
      <c r="I1494" s="603">
        <f>'5.Tiên lượng'!V183</f>
        <v>1</v>
      </c>
      <c r="J1494" s="589">
        <f t="shared" si="95"/>
        <v>565.12285326553604</v>
      </c>
    </row>
    <row r="1495" spans="1:10">
      <c r="A1495" s="126"/>
      <c r="B1495" s="127"/>
      <c r="C1495" s="128" t="s">
        <v>590</v>
      </c>
      <c r="D1495" s="128" t="s">
        <v>590</v>
      </c>
      <c r="E1495" s="583" t="s">
        <v>265</v>
      </c>
      <c r="F1495" s="127" t="s">
        <v>266</v>
      </c>
      <c r="G1495" s="130"/>
      <c r="H1495" s="131"/>
      <c r="I1495" s="143"/>
      <c r="J1495" s="131">
        <f>SUM(J1496:J1496)</f>
        <v>94500</v>
      </c>
    </row>
    <row r="1496" spans="1:10">
      <c r="A1496" s="584"/>
      <c r="B1496" s="585"/>
      <c r="C1496" s="586" t="s">
        <v>590</v>
      </c>
      <c r="D1496" s="133" t="s">
        <v>622</v>
      </c>
      <c r="E1496" s="587" t="str">
        <f>" - "&amp;'Giá NC'!E9</f>
        <v xml:space="preserve"> - Nhân công bậc 3,5/7 - Nhóm 2</v>
      </c>
      <c r="F1496" s="585" t="str">
        <f>'Giá NC'!F9</f>
        <v>công</v>
      </c>
      <c r="G1496" s="588">
        <f>PTVT!G723</f>
        <v>0.35</v>
      </c>
      <c r="H1496" s="589">
        <f>'Giá NC'!K9</f>
        <v>270000</v>
      </c>
      <c r="I1496" s="603">
        <f>'5.Tiên lượng'!W183</f>
        <v>1</v>
      </c>
      <c r="J1496" s="589">
        <f>PRODUCT(G1496,H1496,I1496)</f>
        <v>94500</v>
      </c>
    </row>
    <row r="1497" spans="1:10">
      <c r="A1497" s="126"/>
      <c r="B1497" s="127"/>
      <c r="C1497" s="128" t="s">
        <v>590</v>
      </c>
      <c r="D1497" s="128" t="s">
        <v>590</v>
      </c>
      <c r="E1497" s="583" t="s">
        <v>267</v>
      </c>
      <c r="F1497" s="127" t="s">
        <v>268</v>
      </c>
      <c r="G1497" s="130"/>
      <c r="H1497" s="131"/>
      <c r="I1497" s="143"/>
      <c r="J1497" s="131">
        <f>SUM(J1498:J1499)</f>
        <v>94774.429959999994</v>
      </c>
    </row>
    <row r="1498" spans="1:10">
      <c r="A1498" s="584"/>
      <c r="B1498" s="585"/>
      <c r="C1498" s="586" t="s">
        <v>590</v>
      </c>
      <c r="D1498" s="133" t="s">
        <v>665</v>
      </c>
      <c r="E1498" s="587" t="str">
        <f>" - "&amp;'Giá Máy'!E6</f>
        <v xml:space="preserve"> - Cần cẩu bánh hơi 6T</v>
      </c>
      <c r="F1498" s="585" t="str">
        <f>'Giá Máy'!F6</f>
        <v>ca</v>
      </c>
      <c r="G1498" s="588">
        <f>PTVT!G725</f>
        <v>5.6000000000000001E-2</v>
      </c>
      <c r="H1498" s="589">
        <f>'Giá Máy'!O6</f>
        <v>1611810.0333333332</v>
      </c>
      <c r="I1498" s="603">
        <f>'5.Tiên lượng'!X183</f>
        <v>1</v>
      </c>
      <c r="J1498" s="589">
        <f t="shared" ref="J1498:J1499" si="96">PRODUCT(G1498,H1498,I1498)</f>
        <v>90261.361866666659</v>
      </c>
    </row>
    <row r="1499" spans="1:10">
      <c r="A1499" s="584"/>
      <c r="B1499" s="585"/>
      <c r="C1499" s="586" t="s">
        <v>590</v>
      </c>
      <c r="D1499" s="133" t="s">
        <v>611</v>
      </c>
      <c r="E1499" s="587" t="s">
        <v>612</v>
      </c>
      <c r="F1499" s="585" t="s">
        <v>37</v>
      </c>
      <c r="G1499" s="588">
        <f>PTVT!G726</f>
        <v>5</v>
      </c>
      <c r="H1499" s="589">
        <f>IF('5.Tiên lượng'!X183&lt;&gt;0,SUM(J1498:J1498)/100/'5.Tiên lượng'!X183,0)</f>
        <v>902.61361866666664</v>
      </c>
      <c r="I1499" s="603">
        <f>'5.Tiên lượng'!X183</f>
        <v>1</v>
      </c>
      <c r="J1499" s="589">
        <f t="shared" si="96"/>
        <v>4513.0680933333333</v>
      </c>
    </row>
    <row r="1500" spans="1:10">
      <c r="A1500" s="584"/>
      <c r="B1500" s="585"/>
      <c r="C1500" s="586" t="s">
        <v>590</v>
      </c>
      <c r="D1500" s="133" t="s">
        <v>590</v>
      </c>
      <c r="E1500" s="587" t="s">
        <v>269</v>
      </c>
      <c r="F1500" s="585" t="s">
        <v>270</v>
      </c>
      <c r="G1500" s="590"/>
      <c r="H1500" s="589"/>
      <c r="I1500" s="603"/>
      <c r="J1500" s="589">
        <f>J1492+J1495+J1497</f>
        <v>1320085.2593443377</v>
      </c>
    </row>
    <row r="1501" spans="1:10">
      <c r="A1501" s="584"/>
      <c r="B1501" s="585"/>
      <c r="C1501" s="586" t="s">
        <v>590</v>
      </c>
      <c r="D1501" s="133" t="s">
        <v>590</v>
      </c>
      <c r="E1501" s="587" t="s">
        <v>273</v>
      </c>
      <c r="F1501" s="585" t="s">
        <v>274</v>
      </c>
      <c r="G1501" s="591">
        <f>'Thông tin'!E67</f>
        <v>6.2E-2</v>
      </c>
      <c r="H1501" s="589"/>
      <c r="I1501" s="603"/>
      <c r="J1501" s="589">
        <f>(J1500)*G1501</f>
        <v>81845.286079348938</v>
      </c>
    </row>
    <row r="1502" spans="1:10">
      <c r="A1502" s="584"/>
      <c r="B1502" s="585"/>
      <c r="C1502" s="586" t="s">
        <v>590</v>
      </c>
      <c r="D1502" s="133" t="s">
        <v>590</v>
      </c>
      <c r="E1502" s="587" t="s">
        <v>276</v>
      </c>
      <c r="F1502" s="585" t="s">
        <v>277</v>
      </c>
      <c r="G1502" s="591">
        <f>'Thông tin'!E60</f>
        <v>2.2000000000000002E-2</v>
      </c>
      <c r="H1502" s="589"/>
      <c r="I1502" s="603"/>
      <c r="J1502" s="589">
        <f>(J1500)*G1502</f>
        <v>29041.875705575432</v>
      </c>
    </row>
    <row r="1503" spans="1:10" ht="27.6">
      <c r="A1503" s="584"/>
      <c r="B1503" s="585"/>
      <c r="C1503" s="586" t="s">
        <v>590</v>
      </c>
      <c r="D1503" s="133" t="s">
        <v>590</v>
      </c>
      <c r="E1503" s="587" t="s">
        <v>279</v>
      </c>
      <c r="F1503" s="585" t="s">
        <v>142</v>
      </c>
      <c r="G1503" s="591">
        <f>'Thông tin'!E65</f>
        <v>0.02</v>
      </c>
      <c r="H1503" s="589"/>
      <c r="I1503" s="603"/>
      <c r="J1503" s="589">
        <f>(J1500)*G1503</f>
        <v>26401.705186886757</v>
      </c>
    </row>
    <row r="1504" spans="1:10">
      <c r="A1504" s="584"/>
      <c r="B1504" s="585"/>
      <c r="C1504" s="586" t="s">
        <v>590</v>
      </c>
      <c r="D1504" s="133" t="s">
        <v>590</v>
      </c>
      <c r="E1504" s="587" t="s">
        <v>281</v>
      </c>
      <c r="F1504" s="585" t="s">
        <v>282</v>
      </c>
      <c r="G1504" s="590"/>
      <c r="H1504" s="589"/>
      <c r="I1504" s="603"/>
      <c r="J1504" s="589">
        <f>J1501+J1502+J1503</f>
        <v>137288.86697181111</v>
      </c>
    </row>
    <row r="1505" spans="1:10">
      <c r="A1505" s="584"/>
      <c r="B1505" s="585"/>
      <c r="C1505" s="586" t="s">
        <v>590</v>
      </c>
      <c r="D1505" s="133" t="s">
        <v>590</v>
      </c>
      <c r="E1505" s="587" t="s">
        <v>284</v>
      </c>
      <c r="F1505" s="585" t="s">
        <v>285</v>
      </c>
      <c r="G1505" s="591">
        <f>'Thông tin'!E63</f>
        <v>0.06</v>
      </c>
      <c r="H1505" s="589"/>
      <c r="I1505" s="603"/>
      <c r="J1505" s="589">
        <f>(J1500+J1504)*G1505</f>
        <v>87442.447578968917</v>
      </c>
    </row>
    <row r="1506" spans="1:10">
      <c r="A1506" s="584"/>
      <c r="B1506" s="585"/>
      <c r="C1506" s="586" t="s">
        <v>590</v>
      </c>
      <c r="D1506" s="133" t="s">
        <v>590</v>
      </c>
      <c r="E1506" s="592" t="s">
        <v>287</v>
      </c>
      <c r="F1506" s="593" t="s">
        <v>288</v>
      </c>
      <c r="G1506" s="590"/>
      <c r="H1506" s="589"/>
      <c r="I1506" s="603"/>
      <c r="J1506" s="604">
        <f>J1500+J1504+J1505</f>
        <v>1544816.5738951177</v>
      </c>
    </row>
    <row r="1507" spans="1:10">
      <c r="A1507" s="584"/>
      <c r="B1507" s="585"/>
      <c r="C1507" s="586" t="s">
        <v>590</v>
      </c>
      <c r="D1507" s="133" t="s">
        <v>590</v>
      </c>
      <c r="E1507" s="587" t="s">
        <v>290</v>
      </c>
      <c r="F1507" s="585" t="s">
        <v>291</v>
      </c>
      <c r="G1507" s="591">
        <f>'Thông tin'!E61</f>
        <v>0.1</v>
      </c>
      <c r="H1507" s="589"/>
      <c r="I1507" s="603"/>
      <c r="J1507" s="589">
        <f>(J1506)*G1507</f>
        <v>154481.65738951179</v>
      </c>
    </row>
    <row r="1508" spans="1:10">
      <c r="A1508" s="594"/>
      <c r="B1508" s="595"/>
      <c r="C1508" s="596" t="s">
        <v>590</v>
      </c>
      <c r="D1508" s="137" t="s">
        <v>590</v>
      </c>
      <c r="E1508" s="597" t="s">
        <v>293</v>
      </c>
      <c r="F1508" s="598" t="s">
        <v>19</v>
      </c>
      <c r="G1508" s="599"/>
      <c r="H1508" s="600"/>
      <c r="I1508" s="605"/>
      <c r="J1508" s="606">
        <f>J1506+J1507</f>
        <v>1699298.2312846296</v>
      </c>
    </row>
    <row r="1509" spans="1:10" ht="27.6">
      <c r="A1509" s="578"/>
      <c r="B1509" s="579">
        <v>83</v>
      </c>
      <c r="C1509" s="578" t="str">
        <f>'5.Tiên lượng'!C184</f>
        <v>BB.11222VD</v>
      </c>
      <c r="D1509" s="578" t="str">
        <f>'5.Tiên lượng'!C184</f>
        <v>BB.11222VD</v>
      </c>
      <c r="E1509" s="580" t="str">
        <f>'5.Tiên lượng'!D184</f>
        <v>Lắp đặt ống bê tông bằng cần cẩu, đoạn ống dài 2m - Đường kính 800mm</v>
      </c>
      <c r="F1509" s="579" t="str">
        <f>'5.Tiên lượng'!E184</f>
        <v>1 đoạn ống</v>
      </c>
      <c r="G1509" s="581"/>
      <c r="H1509" s="582"/>
      <c r="I1509" s="602"/>
      <c r="J1509" s="582"/>
    </row>
    <row r="1510" spans="1:10">
      <c r="A1510" s="126"/>
      <c r="B1510" s="127"/>
      <c r="C1510" s="128" t="s">
        <v>590</v>
      </c>
      <c r="D1510" s="128" t="s">
        <v>590</v>
      </c>
      <c r="E1510" s="583" t="s">
        <v>262</v>
      </c>
      <c r="F1510" s="127" t="s">
        <v>263</v>
      </c>
      <c r="G1510" s="130"/>
      <c r="H1510" s="131"/>
      <c r="I1510" s="143"/>
      <c r="J1510" s="131">
        <f>SUM(J1511:J1512)</f>
        <v>1942165.0296418353</v>
      </c>
    </row>
    <row r="1511" spans="1:10">
      <c r="A1511" s="584"/>
      <c r="B1511" s="585"/>
      <c r="C1511" s="586" t="s">
        <v>590</v>
      </c>
      <c r="D1511" s="133" t="s">
        <v>679</v>
      </c>
      <c r="E1511" s="587" t="str">
        <f>" - "&amp;'Giá VL'!E7</f>
        <v xml:space="preserve"> - Ống bê tông D800mm, L=2m</v>
      </c>
      <c r="F1511" s="585" t="str">
        <f>'Giá VL'!F7</f>
        <v>đoạn</v>
      </c>
      <c r="G1511" s="588">
        <f>PTVT!G729</f>
        <v>1</v>
      </c>
      <c r="H1511" s="589">
        <f>'Giá VL'!V7</f>
        <v>1941194.4324256224</v>
      </c>
      <c r="I1511" s="603">
        <f>'5.Tiên lượng'!V184</f>
        <v>1</v>
      </c>
      <c r="J1511" s="589">
        <f t="shared" ref="J1511:J1512" si="97">PRODUCT(G1511,H1511,I1511)</f>
        <v>1941194.4324256224</v>
      </c>
    </row>
    <row r="1512" spans="1:10">
      <c r="A1512" s="584"/>
      <c r="B1512" s="585"/>
      <c r="C1512" s="586" t="s">
        <v>590</v>
      </c>
      <c r="D1512" s="133" t="s">
        <v>620</v>
      </c>
      <c r="E1512" s="587" t="s">
        <v>668</v>
      </c>
      <c r="F1512" s="585" t="s">
        <v>37</v>
      </c>
      <c r="G1512" s="588">
        <f>PTVT!G730</f>
        <v>0.05</v>
      </c>
      <c r="H1512" s="589">
        <f>IF('5.Tiên lượng'!V184&lt;&gt;0,SUM(J1511:J1511)/100/'5.Tiên lượng'!V184,0)</f>
        <v>19411.944324256223</v>
      </c>
      <c r="I1512" s="603">
        <f>'5.Tiên lượng'!V184</f>
        <v>1</v>
      </c>
      <c r="J1512" s="589">
        <f t="shared" si="97"/>
        <v>970.59721621281119</v>
      </c>
    </row>
    <row r="1513" spans="1:10">
      <c r="A1513" s="126"/>
      <c r="B1513" s="127"/>
      <c r="C1513" s="128" t="s">
        <v>590</v>
      </c>
      <c r="D1513" s="128" t="s">
        <v>590</v>
      </c>
      <c r="E1513" s="583" t="s">
        <v>265</v>
      </c>
      <c r="F1513" s="127" t="s">
        <v>266</v>
      </c>
      <c r="G1513" s="130"/>
      <c r="H1513" s="131"/>
      <c r="I1513" s="143"/>
      <c r="J1513" s="131">
        <f>SUM(J1514:J1514)</f>
        <v>170100</v>
      </c>
    </row>
    <row r="1514" spans="1:10">
      <c r="A1514" s="584"/>
      <c r="B1514" s="585"/>
      <c r="C1514" s="586" t="s">
        <v>590</v>
      </c>
      <c r="D1514" s="133" t="s">
        <v>622</v>
      </c>
      <c r="E1514" s="587" t="str">
        <f>" - "&amp;'Giá NC'!E9</f>
        <v xml:space="preserve"> - Nhân công bậc 3,5/7 - Nhóm 2</v>
      </c>
      <c r="F1514" s="585" t="str">
        <f>'Giá NC'!F9</f>
        <v>công</v>
      </c>
      <c r="G1514" s="588">
        <f>PTVT!G732</f>
        <v>0.63</v>
      </c>
      <c r="H1514" s="589">
        <f>'Giá NC'!K9</f>
        <v>270000</v>
      </c>
      <c r="I1514" s="603">
        <f>'5.Tiên lượng'!W184</f>
        <v>1</v>
      </c>
      <c r="J1514" s="589">
        <f>PRODUCT(G1514,H1514,I1514)</f>
        <v>170100</v>
      </c>
    </row>
    <row r="1515" spans="1:10">
      <c r="A1515" s="126"/>
      <c r="B1515" s="127"/>
      <c r="C1515" s="128" t="s">
        <v>590</v>
      </c>
      <c r="D1515" s="128" t="s">
        <v>590</v>
      </c>
      <c r="E1515" s="583" t="s">
        <v>267</v>
      </c>
      <c r="F1515" s="127" t="s">
        <v>268</v>
      </c>
      <c r="G1515" s="130"/>
      <c r="H1515" s="131"/>
      <c r="I1515" s="143"/>
      <c r="J1515" s="131">
        <f>SUM(J1516:J1517)</f>
        <v>101544.03209999998</v>
      </c>
    </row>
    <row r="1516" spans="1:10">
      <c r="A1516" s="584"/>
      <c r="B1516" s="585"/>
      <c r="C1516" s="586" t="s">
        <v>590</v>
      </c>
      <c r="D1516" s="133" t="s">
        <v>665</v>
      </c>
      <c r="E1516" s="587" t="str">
        <f>" - "&amp;'Giá Máy'!E6</f>
        <v xml:space="preserve"> - Cần cẩu bánh hơi 6T</v>
      </c>
      <c r="F1516" s="585" t="str">
        <f>'Giá Máy'!F6</f>
        <v>ca</v>
      </c>
      <c r="G1516" s="588">
        <f>PTVT!G734</f>
        <v>0.06</v>
      </c>
      <c r="H1516" s="589">
        <f>'Giá Máy'!O6</f>
        <v>1611810.0333333332</v>
      </c>
      <c r="I1516" s="603">
        <f>'5.Tiên lượng'!X184</f>
        <v>1</v>
      </c>
      <c r="J1516" s="589">
        <f t="shared" ref="J1516:J1517" si="98">PRODUCT(G1516,H1516,I1516)</f>
        <v>96708.601999999984</v>
      </c>
    </row>
    <row r="1517" spans="1:10">
      <c r="A1517" s="584"/>
      <c r="B1517" s="585"/>
      <c r="C1517" s="586" t="s">
        <v>590</v>
      </c>
      <c r="D1517" s="133" t="s">
        <v>611</v>
      </c>
      <c r="E1517" s="587" t="s">
        <v>612</v>
      </c>
      <c r="F1517" s="585" t="s">
        <v>37</v>
      </c>
      <c r="G1517" s="588">
        <f>PTVT!G735</f>
        <v>5</v>
      </c>
      <c r="H1517" s="589">
        <f>IF('5.Tiên lượng'!X184&lt;&gt;0,SUM(J1516:J1516)/100/'5.Tiên lượng'!X184,0)</f>
        <v>967.08601999999985</v>
      </c>
      <c r="I1517" s="603">
        <f>'5.Tiên lượng'!X184</f>
        <v>1</v>
      </c>
      <c r="J1517" s="589">
        <f t="shared" si="98"/>
        <v>4835.4300999999996</v>
      </c>
    </row>
    <row r="1518" spans="1:10">
      <c r="A1518" s="584"/>
      <c r="B1518" s="585"/>
      <c r="C1518" s="586" t="s">
        <v>590</v>
      </c>
      <c r="D1518" s="133" t="s">
        <v>590</v>
      </c>
      <c r="E1518" s="587" t="s">
        <v>269</v>
      </c>
      <c r="F1518" s="585" t="s">
        <v>270</v>
      </c>
      <c r="G1518" s="590"/>
      <c r="H1518" s="589"/>
      <c r="I1518" s="603"/>
      <c r="J1518" s="589">
        <f>J1510+J1513+J1515</f>
        <v>2213809.061741835</v>
      </c>
    </row>
    <row r="1519" spans="1:10">
      <c r="A1519" s="584"/>
      <c r="B1519" s="585"/>
      <c r="C1519" s="586" t="s">
        <v>590</v>
      </c>
      <c r="D1519" s="133" t="s">
        <v>590</v>
      </c>
      <c r="E1519" s="587" t="s">
        <v>273</v>
      </c>
      <c r="F1519" s="585" t="s">
        <v>274</v>
      </c>
      <c r="G1519" s="591">
        <f>'Thông tin'!E67</f>
        <v>6.2E-2</v>
      </c>
      <c r="H1519" s="589"/>
      <c r="I1519" s="603"/>
      <c r="J1519" s="589">
        <f>(J1518)*G1519</f>
        <v>137256.16182799375</v>
      </c>
    </row>
    <row r="1520" spans="1:10">
      <c r="A1520" s="584"/>
      <c r="B1520" s="585"/>
      <c r="C1520" s="586" t="s">
        <v>590</v>
      </c>
      <c r="D1520" s="133" t="s">
        <v>590</v>
      </c>
      <c r="E1520" s="587" t="s">
        <v>276</v>
      </c>
      <c r="F1520" s="585" t="s">
        <v>277</v>
      </c>
      <c r="G1520" s="591">
        <f>'Thông tin'!E60</f>
        <v>2.2000000000000002E-2</v>
      </c>
      <c r="H1520" s="589"/>
      <c r="I1520" s="603"/>
      <c r="J1520" s="589">
        <f>(J1518)*G1520</f>
        <v>48703.799358320372</v>
      </c>
    </row>
    <row r="1521" spans="1:10" ht="27.6">
      <c r="A1521" s="584"/>
      <c r="B1521" s="585"/>
      <c r="C1521" s="586" t="s">
        <v>590</v>
      </c>
      <c r="D1521" s="133" t="s">
        <v>590</v>
      </c>
      <c r="E1521" s="587" t="s">
        <v>279</v>
      </c>
      <c r="F1521" s="585" t="s">
        <v>142</v>
      </c>
      <c r="G1521" s="591">
        <f>'Thông tin'!E65</f>
        <v>0.02</v>
      </c>
      <c r="H1521" s="589"/>
      <c r="I1521" s="603"/>
      <c r="J1521" s="589">
        <f>(J1518)*G1521</f>
        <v>44276.181234836702</v>
      </c>
    </row>
    <row r="1522" spans="1:10">
      <c r="A1522" s="584"/>
      <c r="B1522" s="585"/>
      <c r="C1522" s="586" t="s">
        <v>590</v>
      </c>
      <c r="D1522" s="133" t="s">
        <v>590</v>
      </c>
      <c r="E1522" s="587" t="s">
        <v>281</v>
      </c>
      <c r="F1522" s="585" t="s">
        <v>282</v>
      </c>
      <c r="G1522" s="590"/>
      <c r="H1522" s="589"/>
      <c r="I1522" s="603"/>
      <c r="J1522" s="589">
        <f>J1519+J1520+J1521</f>
        <v>230236.14242115081</v>
      </c>
    </row>
    <row r="1523" spans="1:10">
      <c r="A1523" s="584"/>
      <c r="B1523" s="585"/>
      <c r="C1523" s="586" t="s">
        <v>590</v>
      </c>
      <c r="D1523" s="133" t="s">
        <v>590</v>
      </c>
      <c r="E1523" s="587" t="s">
        <v>284</v>
      </c>
      <c r="F1523" s="585" t="s">
        <v>285</v>
      </c>
      <c r="G1523" s="591">
        <f>'Thông tin'!E63</f>
        <v>0.06</v>
      </c>
      <c r="H1523" s="589"/>
      <c r="I1523" s="603"/>
      <c r="J1523" s="589">
        <f>(J1518+J1522)*G1523</f>
        <v>146642.71224977914</v>
      </c>
    </row>
    <row r="1524" spans="1:10">
      <c r="A1524" s="584"/>
      <c r="B1524" s="585"/>
      <c r="C1524" s="586" t="s">
        <v>590</v>
      </c>
      <c r="D1524" s="133" t="s">
        <v>590</v>
      </c>
      <c r="E1524" s="592" t="s">
        <v>287</v>
      </c>
      <c r="F1524" s="593" t="s">
        <v>288</v>
      </c>
      <c r="G1524" s="590"/>
      <c r="H1524" s="589"/>
      <c r="I1524" s="603"/>
      <c r="J1524" s="604">
        <f>J1518+J1522+J1523</f>
        <v>2590687.9164127652</v>
      </c>
    </row>
    <row r="1525" spans="1:10">
      <c r="A1525" s="584"/>
      <c r="B1525" s="585"/>
      <c r="C1525" s="586" t="s">
        <v>590</v>
      </c>
      <c r="D1525" s="133" t="s">
        <v>590</v>
      </c>
      <c r="E1525" s="587" t="s">
        <v>290</v>
      </c>
      <c r="F1525" s="585" t="s">
        <v>291</v>
      </c>
      <c r="G1525" s="591">
        <f>'Thông tin'!E61</f>
        <v>0.1</v>
      </c>
      <c r="H1525" s="589"/>
      <c r="I1525" s="603"/>
      <c r="J1525" s="589">
        <f>(J1524)*G1525</f>
        <v>259068.79164127653</v>
      </c>
    </row>
    <row r="1526" spans="1:10">
      <c r="A1526" s="594"/>
      <c r="B1526" s="595"/>
      <c r="C1526" s="596" t="s">
        <v>590</v>
      </c>
      <c r="D1526" s="137" t="s">
        <v>590</v>
      </c>
      <c r="E1526" s="597" t="s">
        <v>293</v>
      </c>
      <c r="F1526" s="598" t="s">
        <v>19</v>
      </c>
      <c r="G1526" s="599"/>
      <c r="H1526" s="600"/>
      <c r="I1526" s="605"/>
      <c r="J1526" s="606">
        <f>J1524+J1525</f>
        <v>2849756.7080540415</v>
      </c>
    </row>
    <row r="1527" spans="1:10" ht="27.6">
      <c r="A1527" s="578"/>
      <c r="B1527" s="579">
        <v>84</v>
      </c>
      <c r="C1527" s="578" t="str">
        <f>'5.Tiên lượng'!C185</f>
        <v>BB.13503</v>
      </c>
      <c r="D1527" s="578" t="str">
        <f>'5.Tiên lượng'!C185</f>
        <v>BB.13503</v>
      </c>
      <c r="E1527" s="580" t="str">
        <f>'5.Tiên lượng'!D185</f>
        <v>Nối ống bê tông bằng phương pháp xảm - Đường kính 400mm</v>
      </c>
      <c r="F1527" s="579" t="str">
        <f>'5.Tiên lượng'!E185</f>
        <v>mối nối</v>
      </c>
      <c r="G1527" s="581"/>
      <c r="H1527" s="582"/>
      <c r="I1527" s="602"/>
      <c r="J1527" s="582"/>
    </row>
    <row r="1528" spans="1:10">
      <c r="A1528" s="126"/>
      <c r="B1528" s="127"/>
      <c r="C1528" s="128" t="s">
        <v>590</v>
      </c>
      <c r="D1528" s="128" t="s">
        <v>590</v>
      </c>
      <c r="E1528" s="583" t="s">
        <v>262</v>
      </c>
      <c r="F1528" s="127" t="s">
        <v>263</v>
      </c>
      <c r="G1528" s="130"/>
      <c r="H1528" s="131"/>
      <c r="I1528" s="143"/>
      <c r="J1528" s="131">
        <f>SUM(J1529:J1531)</f>
        <v>9629.2935134712206</v>
      </c>
    </row>
    <row r="1529" spans="1:10">
      <c r="A1529" s="584"/>
      <c r="B1529" s="585"/>
      <c r="C1529" s="586" t="s">
        <v>590</v>
      </c>
      <c r="D1529" s="133" t="s">
        <v>615</v>
      </c>
      <c r="E1529" s="587" t="str">
        <f>" - "&amp;'Giá VL'!E17</f>
        <v xml:space="preserve"> - Cát vàng</v>
      </c>
      <c r="F1529" s="585" t="str">
        <f>'Giá VL'!F17</f>
        <v>m3</v>
      </c>
      <c r="G1529" s="588">
        <f>PTVT!G738</f>
        <v>6.7904000000000003E-3</v>
      </c>
      <c r="H1529" s="589">
        <f>'Giá VL'!V17</f>
        <v>659026.49526849983</v>
      </c>
      <c r="I1529" s="603">
        <f>'5.Tiên lượng'!V185</f>
        <v>1</v>
      </c>
      <c r="J1529" s="589">
        <f t="shared" ref="J1529:J1531" si="99">PRODUCT(G1529,H1529,I1529)</f>
        <v>4475.0535134712218</v>
      </c>
    </row>
    <row r="1530" spans="1:10">
      <c r="A1530" s="584"/>
      <c r="B1530" s="585"/>
      <c r="C1530" s="586" t="s">
        <v>590</v>
      </c>
      <c r="D1530" s="133" t="s">
        <v>617</v>
      </c>
      <c r="E1530" s="587" t="str">
        <f>" - "&amp;'Giá VL'!E33</f>
        <v xml:space="preserve"> - Nước</v>
      </c>
      <c r="F1530" s="585" t="str">
        <f>'Giá VL'!F33</f>
        <v>lít</v>
      </c>
      <c r="G1530" s="588">
        <f>PTVT!G739</f>
        <v>1.7023999999999999</v>
      </c>
      <c r="H1530" s="589">
        <f>'Giá VL'!V33</f>
        <v>15</v>
      </c>
      <c r="I1530" s="603">
        <f>'5.Tiên lượng'!V185</f>
        <v>1</v>
      </c>
      <c r="J1530" s="589">
        <f t="shared" si="99"/>
        <v>25.535999999999998</v>
      </c>
    </row>
    <row r="1531" spans="1:10">
      <c r="A1531" s="584"/>
      <c r="B1531" s="585"/>
      <c r="C1531" s="586" t="s">
        <v>590</v>
      </c>
      <c r="D1531" s="133" t="s">
        <v>670</v>
      </c>
      <c r="E1531" s="587" t="str">
        <f>" - "&amp;'Giá VL'!E44</f>
        <v xml:space="preserve"> - Xi măng PCB30</v>
      </c>
      <c r="F1531" s="585" t="str">
        <f>'Giá VL'!F44</f>
        <v>kg</v>
      </c>
      <c r="G1531" s="588">
        <f>PTVT!G740</f>
        <v>3.0528</v>
      </c>
      <c r="H1531" s="589">
        <f>'Giá VL'!V44</f>
        <v>1680</v>
      </c>
      <c r="I1531" s="603">
        <f>'5.Tiên lượng'!V185</f>
        <v>1</v>
      </c>
      <c r="J1531" s="589">
        <f t="shared" si="99"/>
        <v>5128.7039999999997</v>
      </c>
    </row>
    <row r="1532" spans="1:10">
      <c r="A1532" s="126"/>
      <c r="B1532" s="127"/>
      <c r="C1532" s="128" t="s">
        <v>590</v>
      </c>
      <c r="D1532" s="128" t="s">
        <v>590</v>
      </c>
      <c r="E1532" s="583" t="s">
        <v>265</v>
      </c>
      <c r="F1532" s="127" t="s">
        <v>266</v>
      </c>
      <c r="G1532" s="130"/>
      <c r="H1532" s="131"/>
      <c r="I1532" s="143"/>
      <c r="J1532" s="131">
        <f>SUM(J1533:J1533)</f>
        <v>24300</v>
      </c>
    </row>
    <row r="1533" spans="1:10">
      <c r="A1533" s="584"/>
      <c r="B1533" s="585"/>
      <c r="C1533" s="586" t="s">
        <v>590</v>
      </c>
      <c r="D1533" s="133" t="s">
        <v>622</v>
      </c>
      <c r="E1533" s="587" t="str">
        <f>" - "&amp;'Giá NC'!E9</f>
        <v xml:space="preserve"> - Nhân công bậc 3,5/7 - Nhóm 2</v>
      </c>
      <c r="F1533" s="585" t="str">
        <f>'Giá NC'!F9</f>
        <v>công</v>
      </c>
      <c r="G1533" s="588">
        <f>PTVT!G742</f>
        <v>0.09</v>
      </c>
      <c r="H1533" s="589">
        <f>'Giá NC'!K9</f>
        <v>270000</v>
      </c>
      <c r="I1533" s="603">
        <f>'5.Tiên lượng'!W185</f>
        <v>1</v>
      </c>
      <c r="J1533" s="589">
        <f>PRODUCT(G1533,H1533,I1533)</f>
        <v>24300</v>
      </c>
    </row>
    <row r="1534" spans="1:10">
      <c r="A1534" s="126"/>
      <c r="B1534" s="127"/>
      <c r="C1534" s="128" t="s">
        <v>590</v>
      </c>
      <c r="D1534" s="128" t="s">
        <v>590</v>
      </c>
      <c r="E1534" s="583" t="s">
        <v>267</v>
      </c>
      <c r="F1534" s="127" t="s">
        <v>268</v>
      </c>
      <c r="G1534" s="130"/>
      <c r="H1534" s="131"/>
      <c r="I1534" s="143"/>
      <c r="J1534" s="131">
        <v>0</v>
      </c>
    </row>
    <row r="1535" spans="1:10">
      <c r="A1535" s="584"/>
      <c r="B1535" s="585"/>
      <c r="C1535" s="586" t="s">
        <v>590</v>
      </c>
      <c r="D1535" s="133" t="s">
        <v>590</v>
      </c>
      <c r="E1535" s="587" t="s">
        <v>269</v>
      </c>
      <c r="F1535" s="585" t="s">
        <v>270</v>
      </c>
      <c r="G1535" s="590"/>
      <c r="H1535" s="589"/>
      <c r="I1535" s="603"/>
      <c r="J1535" s="589">
        <f>J1528+J1532+J1534</f>
        <v>33929.293513471217</v>
      </c>
    </row>
    <row r="1536" spans="1:10">
      <c r="A1536" s="584"/>
      <c r="B1536" s="585"/>
      <c r="C1536" s="586" t="s">
        <v>590</v>
      </c>
      <c r="D1536" s="133" t="s">
        <v>590</v>
      </c>
      <c r="E1536" s="587" t="s">
        <v>273</v>
      </c>
      <c r="F1536" s="585" t="s">
        <v>274</v>
      </c>
      <c r="G1536" s="591">
        <f>'Thông tin'!E67</f>
        <v>6.2E-2</v>
      </c>
      <c r="H1536" s="589"/>
      <c r="I1536" s="603"/>
      <c r="J1536" s="589">
        <f>(J1535)*G1536</f>
        <v>2103.6161978352156</v>
      </c>
    </row>
    <row r="1537" spans="1:10">
      <c r="A1537" s="584"/>
      <c r="B1537" s="585"/>
      <c r="C1537" s="586" t="s">
        <v>590</v>
      </c>
      <c r="D1537" s="133" t="s">
        <v>590</v>
      </c>
      <c r="E1537" s="587" t="s">
        <v>276</v>
      </c>
      <c r="F1537" s="585" t="s">
        <v>277</v>
      </c>
      <c r="G1537" s="591">
        <f>'Thông tin'!E60</f>
        <v>2.2000000000000002E-2</v>
      </c>
      <c r="H1537" s="589"/>
      <c r="I1537" s="603"/>
      <c r="J1537" s="589">
        <f>(J1535)*G1537</f>
        <v>746.44445729636686</v>
      </c>
    </row>
    <row r="1538" spans="1:10" ht="27.6">
      <c r="A1538" s="584"/>
      <c r="B1538" s="585"/>
      <c r="C1538" s="586" t="s">
        <v>590</v>
      </c>
      <c r="D1538" s="133" t="s">
        <v>590</v>
      </c>
      <c r="E1538" s="587" t="s">
        <v>279</v>
      </c>
      <c r="F1538" s="585" t="s">
        <v>142</v>
      </c>
      <c r="G1538" s="591">
        <f>'Thông tin'!E65</f>
        <v>0.02</v>
      </c>
      <c r="H1538" s="589"/>
      <c r="I1538" s="603"/>
      <c r="J1538" s="589">
        <f>(J1535)*G1538</f>
        <v>678.58587026942439</v>
      </c>
    </row>
    <row r="1539" spans="1:10">
      <c r="A1539" s="584"/>
      <c r="B1539" s="585"/>
      <c r="C1539" s="586" t="s">
        <v>590</v>
      </c>
      <c r="D1539" s="133" t="s">
        <v>590</v>
      </c>
      <c r="E1539" s="587" t="s">
        <v>281</v>
      </c>
      <c r="F1539" s="585" t="s">
        <v>282</v>
      </c>
      <c r="G1539" s="590"/>
      <c r="H1539" s="589"/>
      <c r="I1539" s="603"/>
      <c r="J1539" s="589">
        <f>J1536+J1537+J1538</f>
        <v>3528.6465254010068</v>
      </c>
    </row>
    <row r="1540" spans="1:10">
      <c r="A1540" s="584"/>
      <c r="B1540" s="585"/>
      <c r="C1540" s="586" t="s">
        <v>590</v>
      </c>
      <c r="D1540" s="133" t="s">
        <v>590</v>
      </c>
      <c r="E1540" s="587" t="s">
        <v>284</v>
      </c>
      <c r="F1540" s="585" t="s">
        <v>285</v>
      </c>
      <c r="G1540" s="591">
        <f>'Thông tin'!E63</f>
        <v>0.06</v>
      </c>
      <c r="H1540" s="589"/>
      <c r="I1540" s="603"/>
      <c r="J1540" s="589">
        <f>(J1535+J1539)*G1540</f>
        <v>2247.4764023323332</v>
      </c>
    </row>
    <row r="1541" spans="1:10">
      <c r="A1541" s="584"/>
      <c r="B1541" s="585"/>
      <c r="C1541" s="586" t="s">
        <v>590</v>
      </c>
      <c r="D1541" s="133" t="s">
        <v>590</v>
      </c>
      <c r="E1541" s="592" t="s">
        <v>287</v>
      </c>
      <c r="F1541" s="593" t="s">
        <v>288</v>
      </c>
      <c r="G1541" s="590"/>
      <c r="H1541" s="589"/>
      <c r="I1541" s="603"/>
      <c r="J1541" s="604">
        <f>J1535+J1539+J1540</f>
        <v>39705.41644120455</v>
      </c>
    </row>
    <row r="1542" spans="1:10">
      <c r="A1542" s="584"/>
      <c r="B1542" s="585"/>
      <c r="C1542" s="586" t="s">
        <v>590</v>
      </c>
      <c r="D1542" s="133" t="s">
        <v>590</v>
      </c>
      <c r="E1542" s="587" t="s">
        <v>290</v>
      </c>
      <c r="F1542" s="585" t="s">
        <v>291</v>
      </c>
      <c r="G1542" s="591">
        <f>'Thông tin'!E61</f>
        <v>0.1</v>
      </c>
      <c r="H1542" s="589"/>
      <c r="I1542" s="603"/>
      <c r="J1542" s="589">
        <f>(J1541)*G1542</f>
        <v>3970.5416441204552</v>
      </c>
    </row>
    <row r="1543" spans="1:10">
      <c r="A1543" s="594"/>
      <c r="B1543" s="595"/>
      <c r="C1543" s="596" t="s">
        <v>590</v>
      </c>
      <c r="D1543" s="137" t="s">
        <v>590</v>
      </c>
      <c r="E1543" s="597" t="s">
        <v>293</v>
      </c>
      <c r="F1543" s="598" t="s">
        <v>19</v>
      </c>
      <c r="G1543" s="599"/>
      <c r="H1543" s="600"/>
      <c r="I1543" s="605"/>
      <c r="J1543" s="606">
        <f>J1541+J1542</f>
        <v>43675.958085325008</v>
      </c>
    </row>
    <row r="1544" spans="1:10" ht="27.6">
      <c r="A1544" s="578"/>
      <c r="B1544" s="579">
        <v>85</v>
      </c>
      <c r="C1544" s="578" t="str">
        <f>'5.Tiên lượng'!C186</f>
        <v>BB.13505</v>
      </c>
      <c r="D1544" s="578" t="str">
        <f>'5.Tiên lượng'!C186</f>
        <v>BB.13505</v>
      </c>
      <c r="E1544" s="580" t="str">
        <f>'5.Tiên lượng'!D186</f>
        <v>Nối ống bê tông bằng phương pháp xảm - Đường kính 600mm</v>
      </c>
      <c r="F1544" s="579" t="str">
        <f>'5.Tiên lượng'!E186</f>
        <v>mối nối</v>
      </c>
      <c r="G1544" s="581"/>
      <c r="H1544" s="582"/>
      <c r="I1544" s="602"/>
      <c r="J1544" s="582"/>
    </row>
    <row r="1545" spans="1:10">
      <c r="A1545" s="126"/>
      <c r="B1545" s="127"/>
      <c r="C1545" s="128" t="s">
        <v>590</v>
      </c>
      <c r="D1545" s="128" t="s">
        <v>590</v>
      </c>
      <c r="E1545" s="583" t="s">
        <v>262</v>
      </c>
      <c r="F1545" s="127" t="s">
        <v>263</v>
      </c>
      <c r="G1545" s="130"/>
      <c r="H1545" s="131"/>
      <c r="I1545" s="143"/>
      <c r="J1545" s="131">
        <f>SUM(J1546:J1548)</f>
        <v>14443.940270206833</v>
      </c>
    </row>
    <row r="1546" spans="1:10">
      <c r="A1546" s="584"/>
      <c r="B1546" s="585"/>
      <c r="C1546" s="586" t="s">
        <v>590</v>
      </c>
      <c r="D1546" s="133" t="s">
        <v>615</v>
      </c>
      <c r="E1546" s="587" t="str">
        <f>" - "&amp;'Giá VL'!E17</f>
        <v xml:space="preserve"> - Cát vàng</v>
      </c>
      <c r="F1546" s="585" t="str">
        <f>'Giá VL'!F17</f>
        <v>m3</v>
      </c>
      <c r="G1546" s="588">
        <f>PTVT!G745</f>
        <v>1.01856E-2</v>
      </c>
      <c r="H1546" s="589">
        <f>'Giá VL'!V17</f>
        <v>659026.49526849983</v>
      </c>
      <c r="I1546" s="603">
        <f>'5.Tiên lượng'!V186</f>
        <v>1</v>
      </c>
      <c r="J1546" s="589">
        <f t="shared" ref="J1546:J1548" si="100">PRODUCT(G1546,H1546,I1546)</f>
        <v>6712.5802702068313</v>
      </c>
    </row>
    <row r="1547" spans="1:10">
      <c r="A1547" s="584"/>
      <c r="B1547" s="585"/>
      <c r="C1547" s="586" t="s">
        <v>590</v>
      </c>
      <c r="D1547" s="133" t="s">
        <v>617</v>
      </c>
      <c r="E1547" s="587" t="str">
        <f>" - "&amp;'Giá VL'!E33</f>
        <v xml:space="preserve"> - Nước</v>
      </c>
      <c r="F1547" s="585" t="str">
        <f>'Giá VL'!F33</f>
        <v>lít</v>
      </c>
      <c r="G1547" s="588">
        <f>PTVT!G746</f>
        <v>2.5535999999999999</v>
      </c>
      <c r="H1547" s="589">
        <f>'Giá VL'!V33</f>
        <v>15</v>
      </c>
      <c r="I1547" s="603">
        <f>'5.Tiên lượng'!V186</f>
        <v>1</v>
      </c>
      <c r="J1547" s="589">
        <f t="shared" si="100"/>
        <v>38.303999999999995</v>
      </c>
    </row>
    <row r="1548" spans="1:10">
      <c r="A1548" s="584"/>
      <c r="B1548" s="585"/>
      <c r="C1548" s="586" t="s">
        <v>590</v>
      </c>
      <c r="D1548" s="133" t="s">
        <v>670</v>
      </c>
      <c r="E1548" s="587" t="str">
        <f>" - "&amp;'Giá VL'!E44</f>
        <v xml:space="preserve"> - Xi măng PCB30</v>
      </c>
      <c r="F1548" s="585" t="str">
        <f>'Giá VL'!F44</f>
        <v>kg</v>
      </c>
      <c r="G1548" s="588">
        <f>PTVT!G747</f>
        <v>4.5792000000000002</v>
      </c>
      <c r="H1548" s="589">
        <f>'Giá VL'!V44</f>
        <v>1680</v>
      </c>
      <c r="I1548" s="603">
        <f>'5.Tiên lượng'!V186</f>
        <v>1</v>
      </c>
      <c r="J1548" s="589">
        <f t="shared" si="100"/>
        <v>7693.0560000000005</v>
      </c>
    </row>
    <row r="1549" spans="1:10">
      <c r="A1549" s="126"/>
      <c r="B1549" s="127"/>
      <c r="C1549" s="128" t="s">
        <v>590</v>
      </c>
      <c r="D1549" s="128" t="s">
        <v>590</v>
      </c>
      <c r="E1549" s="583" t="s">
        <v>265</v>
      </c>
      <c r="F1549" s="127" t="s">
        <v>266</v>
      </c>
      <c r="G1549" s="130"/>
      <c r="H1549" s="131"/>
      <c r="I1549" s="143"/>
      <c r="J1549" s="131">
        <f>SUM(J1550:J1550)</f>
        <v>35100</v>
      </c>
    </row>
    <row r="1550" spans="1:10">
      <c r="A1550" s="584"/>
      <c r="B1550" s="585"/>
      <c r="C1550" s="586" t="s">
        <v>590</v>
      </c>
      <c r="D1550" s="133" t="s">
        <v>622</v>
      </c>
      <c r="E1550" s="587" t="str">
        <f>" - "&amp;'Giá NC'!E9</f>
        <v xml:space="preserve"> - Nhân công bậc 3,5/7 - Nhóm 2</v>
      </c>
      <c r="F1550" s="585" t="str">
        <f>'Giá NC'!F9</f>
        <v>công</v>
      </c>
      <c r="G1550" s="588">
        <f>PTVT!G749</f>
        <v>0.13</v>
      </c>
      <c r="H1550" s="589">
        <f>'Giá NC'!K9</f>
        <v>270000</v>
      </c>
      <c r="I1550" s="603">
        <f>'5.Tiên lượng'!W186</f>
        <v>1</v>
      </c>
      <c r="J1550" s="589">
        <f>PRODUCT(G1550,H1550,I1550)</f>
        <v>35100</v>
      </c>
    </row>
    <row r="1551" spans="1:10">
      <c r="A1551" s="126"/>
      <c r="B1551" s="127"/>
      <c r="C1551" s="128" t="s">
        <v>590</v>
      </c>
      <c r="D1551" s="128" t="s">
        <v>590</v>
      </c>
      <c r="E1551" s="583" t="s">
        <v>267</v>
      </c>
      <c r="F1551" s="127" t="s">
        <v>268</v>
      </c>
      <c r="G1551" s="130"/>
      <c r="H1551" s="131"/>
      <c r="I1551" s="143"/>
      <c r="J1551" s="131">
        <v>0</v>
      </c>
    </row>
    <row r="1552" spans="1:10">
      <c r="A1552" s="584"/>
      <c r="B1552" s="585"/>
      <c r="C1552" s="586" t="s">
        <v>590</v>
      </c>
      <c r="D1552" s="133" t="s">
        <v>590</v>
      </c>
      <c r="E1552" s="587" t="s">
        <v>269</v>
      </c>
      <c r="F1552" s="585" t="s">
        <v>270</v>
      </c>
      <c r="G1552" s="590"/>
      <c r="H1552" s="589"/>
      <c r="I1552" s="603"/>
      <c r="J1552" s="589">
        <f>J1545+J1549+J1551</f>
        <v>49543.940270206833</v>
      </c>
    </row>
    <row r="1553" spans="1:10">
      <c r="A1553" s="584"/>
      <c r="B1553" s="585"/>
      <c r="C1553" s="586" t="s">
        <v>590</v>
      </c>
      <c r="D1553" s="133" t="s">
        <v>590</v>
      </c>
      <c r="E1553" s="587" t="s">
        <v>273</v>
      </c>
      <c r="F1553" s="585" t="s">
        <v>274</v>
      </c>
      <c r="G1553" s="591">
        <f>'Thông tin'!E67</f>
        <v>6.2E-2</v>
      </c>
      <c r="H1553" s="589"/>
      <c r="I1553" s="603"/>
      <c r="J1553" s="589">
        <f>(J1552)*G1553</f>
        <v>3071.7242967528236</v>
      </c>
    </row>
    <row r="1554" spans="1:10">
      <c r="A1554" s="584"/>
      <c r="B1554" s="585"/>
      <c r="C1554" s="586" t="s">
        <v>590</v>
      </c>
      <c r="D1554" s="133" t="s">
        <v>590</v>
      </c>
      <c r="E1554" s="587" t="s">
        <v>276</v>
      </c>
      <c r="F1554" s="585" t="s">
        <v>277</v>
      </c>
      <c r="G1554" s="591">
        <f>'Thông tin'!E60</f>
        <v>2.2000000000000002E-2</v>
      </c>
      <c r="H1554" s="589"/>
      <c r="I1554" s="603"/>
      <c r="J1554" s="589">
        <f>(J1552)*G1554</f>
        <v>1089.9666859445504</v>
      </c>
    </row>
    <row r="1555" spans="1:10" ht="27.6">
      <c r="A1555" s="584"/>
      <c r="B1555" s="585"/>
      <c r="C1555" s="586" t="s">
        <v>590</v>
      </c>
      <c r="D1555" s="133" t="s">
        <v>590</v>
      </c>
      <c r="E1555" s="587" t="s">
        <v>279</v>
      </c>
      <c r="F1555" s="585" t="s">
        <v>142</v>
      </c>
      <c r="G1555" s="591">
        <f>'Thông tin'!E65</f>
        <v>0.02</v>
      </c>
      <c r="H1555" s="589"/>
      <c r="I1555" s="603"/>
      <c r="J1555" s="589">
        <f>(J1552)*G1555</f>
        <v>990.87880540413664</v>
      </c>
    </row>
    <row r="1556" spans="1:10">
      <c r="A1556" s="584"/>
      <c r="B1556" s="585"/>
      <c r="C1556" s="586" t="s">
        <v>590</v>
      </c>
      <c r="D1556" s="133" t="s">
        <v>590</v>
      </c>
      <c r="E1556" s="587" t="s">
        <v>281</v>
      </c>
      <c r="F1556" s="585" t="s">
        <v>282</v>
      </c>
      <c r="G1556" s="590"/>
      <c r="H1556" s="589"/>
      <c r="I1556" s="603"/>
      <c r="J1556" s="589">
        <f>J1553+J1554+J1555</f>
        <v>5152.5697881015112</v>
      </c>
    </row>
    <row r="1557" spans="1:10">
      <c r="A1557" s="584"/>
      <c r="B1557" s="585"/>
      <c r="C1557" s="586" t="s">
        <v>590</v>
      </c>
      <c r="D1557" s="133" t="s">
        <v>590</v>
      </c>
      <c r="E1557" s="587" t="s">
        <v>284</v>
      </c>
      <c r="F1557" s="585" t="s">
        <v>285</v>
      </c>
      <c r="G1557" s="591">
        <f>'Thông tin'!E63</f>
        <v>0.06</v>
      </c>
      <c r="H1557" s="589"/>
      <c r="I1557" s="603"/>
      <c r="J1557" s="589">
        <f>(J1552+J1556)*G1557</f>
        <v>3281.7906034985003</v>
      </c>
    </row>
    <row r="1558" spans="1:10">
      <c r="A1558" s="584"/>
      <c r="B1558" s="585"/>
      <c r="C1558" s="586" t="s">
        <v>590</v>
      </c>
      <c r="D1558" s="133" t="s">
        <v>590</v>
      </c>
      <c r="E1558" s="592" t="s">
        <v>287</v>
      </c>
      <c r="F1558" s="593" t="s">
        <v>288</v>
      </c>
      <c r="G1558" s="590"/>
      <c r="H1558" s="589"/>
      <c r="I1558" s="603"/>
      <c r="J1558" s="604">
        <f>J1552+J1556+J1557</f>
        <v>57978.300661806839</v>
      </c>
    </row>
    <row r="1559" spans="1:10">
      <c r="A1559" s="584"/>
      <c r="B1559" s="585"/>
      <c r="C1559" s="586" t="s">
        <v>590</v>
      </c>
      <c r="D1559" s="133" t="s">
        <v>590</v>
      </c>
      <c r="E1559" s="587" t="s">
        <v>290</v>
      </c>
      <c r="F1559" s="585" t="s">
        <v>291</v>
      </c>
      <c r="G1559" s="591">
        <f>'Thông tin'!E61</f>
        <v>0.1</v>
      </c>
      <c r="H1559" s="589"/>
      <c r="I1559" s="603"/>
      <c r="J1559" s="589">
        <f>(J1558)*G1559</f>
        <v>5797.8300661806843</v>
      </c>
    </row>
    <row r="1560" spans="1:10">
      <c r="A1560" s="594"/>
      <c r="B1560" s="595"/>
      <c r="C1560" s="596" t="s">
        <v>590</v>
      </c>
      <c r="D1560" s="137" t="s">
        <v>590</v>
      </c>
      <c r="E1560" s="597" t="s">
        <v>293</v>
      </c>
      <c r="F1560" s="598" t="s">
        <v>19</v>
      </c>
      <c r="G1560" s="599"/>
      <c r="H1560" s="600"/>
      <c r="I1560" s="605"/>
      <c r="J1560" s="606">
        <f>J1558+J1559</f>
        <v>63776.130727987525</v>
      </c>
    </row>
    <row r="1561" spans="1:10" ht="27.6">
      <c r="A1561" s="578"/>
      <c r="B1561" s="579">
        <v>86</v>
      </c>
      <c r="C1561" s="578" t="str">
        <f>'5.Tiên lượng'!C187</f>
        <v>BB.13507</v>
      </c>
      <c r="D1561" s="578" t="str">
        <f>'5.Tiên lượng'!C187</f>
        <v>BB.13507</v>
      </c>
      <c r="E1561" s="580" t="str">
        <f>'5.Tiên lượng'!D187</f>
        <v>Nối ống bê tông bằng phương pháp xảm - Đường kính 800mm</v>
      </c>
      <c r="F1561" s="579" t="str">
        <f>'5.Tiên lượng'!E187</f>
        <v>mối nối</v>
      </c>
      <c r="G1561" s="581"/>
      <c r="H1561" s="582"/>
      <c r="I1561" s="602"/>
      <c r="J1561" s="582"/>
    </row>
    <row r="1562" spans="1:10">
      <c r="A1562" s="126"/>
      <c r="B1562" s="127"/>
      <c r="C1562" s="128" t="s">
        <v>590</v>
      </c>
      <c r="D1562" s="128" t="s">
        <v>590</v>
      </c>
      <c r="E1562" s="583" t="s">
        <v>262</v>
      </c>
      <c r="F1562" s="127" t="s">
        <v>263</v>
      </c>
      <c r="G1562" s="130"/>
      <c r="H1562" s="131"/>
      <c r="I1562" s="143"/>
      <c r="J1562" s="131">
        <f>SUM(J1563:J1565)</f>
        <v>19108.129315794456</v>
      </c>
    </row>
    <row r="1563" spans="1:10">
      <c r="A1563" s="584"/>
      <c r="B1563" s="585"/>
      <c r="C1563" s="586" t="s">
        <v>590</v>
      </c>
      <c r="D1563" s="133" t="s">
        <v>615</v>
      </c>
      <c r="E1563" s="587" t="str">
        <f>" - "&amp;'Giá VL'!E17</f>
        <v xml:space="preserve"> - Cát vàng</v>
      </c>
      <c r="F1563" s="585" t="str">
        <f>'Giá VL'!F17</f>
        <v>m3</v>
      </c>
      <c r="G1563" s="588">
        <f>PTVT!G752</f>
        <v>1.3474699999999999E-2</v>
      </c>
      <c r="H1563" s="589">
        <f>'Giá VL'!V17</f>
        <v>659026.49526849983</v>
      </c>
      <c r="I1563" s="603">
        <f>'5.Tiên lượng'!V187</f>
        <v>1</v>
      </c>
      <c r="J1563" s="589">
        <f t="shared" ref="J1563:J1565" si="101">PRODUCT(G1563,H1563,I1563)</f>
        <v>8880.184315794455</v>
      </c>
    </row>
    <row r="1564" spans="1:10">
      <c r="A1564" s="584"/>
      <c r="B1564" s="585"/>
      <c r="C1564" s="586" t="s">
        <v>590</v>
      </c>
      <c r="D1564" s="133" t="s">
        <v>617</v>
      </c>
      <c r="E1564" s="587" t="str">
        <f>" - "&amp;'Giá VL'!E33</f>
        <v xml:space="preserve"> - Nước</v>
      </c>
      <c r="F1564" s="585" t="str">
        <f>'Giá VL'!F33</f>
        <v>lít</v>
      </c>
      <c r="G1564" s="588">
        <f>PTVT!G753</f>
        <v>3.3782000000000001</v>
      </c>
      <c r="H1564" s="589">
        <f>'Giá VL'!V33</f>
        <v>15</v>
      </c>
      <c r="I1564" s="603">
        <f>'5.Tiên lượng'!V187</f>
        <v>1</v>
      </c>
      <c r="J1564" s="589">
        <f t="shared" si="101"/>
        <v>50.673000000000002</v>
      </c>
    </row>
    <row r="1565" spans="1:10">
      <c r="A1565" s="584"/>
      <c r="B1565" s="585"/>
      <c r="C1565" s="586" t="s">
        <v>590</v>
      </c>
      <c r="D1565" s="133" t="s">
        <v>670</v>
      </c>
      <c r="E1565" s="587" t="str">
        <f>" - "&amp;'Giá VL'!E44</f>
        <v xml:space="preserve"> - Xi măng PCB30</v>
      </c>
      <c r="F1565" s="585" t="str">
        <f>'Giá VL'!F44</f>
        <v>kg</v>
      </c>
      <c r="G1565" s="588">
        <f>PTVT!G754</f>
        <v>6.0579000000000001</v>
      </c>
      <c r="H1565" s="589">
        <f>'Giá VL'!V44</f>
        <v>1680</v>
      </c>
      <c r="I1565" s="603">
        <f>'5.Tiên lượng'!V187</f>
        <v>1</v>
      </c>
      <c r="J1565" s="589">
        <f t="shared" si="101"/>
        <v>10177.272000000001</v>
      </c>
    </row>
    <row r="1566" spans="1:10">
      <c r="A1566" s="126"/>
      <c r="B1566" s="127"/>
      <c r="C1566" s="128" t="s">
        <v>590</v>
      </c>
      <c r="D1566" s="128" t="s">
        <v>590</v>
      </c>
      <c r="E1566" s="583" t="s">
        <v>265</v>
      </c>
      <c r="F1566" s="127" t="s">
        <v>266</v>
      </c>
      <c r="G1566" s="130"/>
      <c r="H1566" s="131"/>
      <c r="I1566" s="143"/>
      <c r="J1566" s="131">
        <f>SUM(J1567:J1567)</f>
        <v>48600</v>
      </c>
    </row>
    <row r="1567" spans="1:10">
      <c r="A1567" s="584"/>
      <c r="B1567" s="585"/>
      <c r="C1567" s="586" t="s">
        <v>590</v>
      </c>
      <c r="D1567" s="133" t="s">
        <v>622</v>
      </c>
      <c r="E1567" s="587" t="str">
        <f>" - "&amp;'Giá NC'!E9</f>
        <v xml:space="preserve"> - Nhân công bậc 3,5/7 - Nhóm 2</v>
      </c>
      <c r="F1567" s="585" t="str">
        <f>'Giá NC'!F9</f>
        <v>công</v>
      </c>
      <c r="G1567" s="588">
        <f>PTVT!G756</f>
        <v>0.18</v>
      </c>
      <c r="H1567" s="589">
        <f>'Giá NC'!K9</f>
        <v>270000</v>
      </c>
      <c r="I1567" s="603">
        <f>'5.Tiên lượng'!W187</f>
        <v>1</v>
      </c>
      <c r="J1567" s="589">
        <f>PRODUCT(G1567,H1567,I1567)</f>
        <v>48600</v>
      </c>
    </row>
    <row r="1568" spans="1:10">
      <c r="A1568" s="126"/>
      <c r="B1568" s="127"/>
      <c r="C1568" s="128" t="s">
        <v>590</v>
      </c>
      <c r="D1568" s="128" t="s">
        <v>590</v>
      </c>
      <c r="E1568" s="583" t="s">
        <v>267</v>
      </c>
      <c r="F1568" s="127" t="s">
        <v>268</v>
      </c>
      <c r="G1568" s="130"/>
      <c r="H1568" s="131"/>
      <c r="I1568" s="143"/>
      <c r="J1568" s="131">
        <v>0</v>
      </c>
    </row>
    <row r="1569" spans="1:10">
      <c r="A1569" s="584"/>
      <c r="B1569" s="585"/>
      <c r="C1569" s="586" t="s">
        <v>590</v>
      </c>
      <c r="D1569" s="133" t="s">
        <v>590</v>
      </c>
      <c r="E1569" s="587" t="s">
        <v>269</v>
      </c>
      <c r="F1569" s="585" t="s">
        <v>270</v>
      </c>
      <c r="G1569" s="590"/>
      <c r="H1569" s="589"/>
      <c r="I1569" s="603"/>
      <c r="J1569" s="589">
        <f>J1562+J1566+J1568</f>
        <v>67708.12931579446</v>
      </c>
    </row>
    <row r="1570" spans="1:10">
      <c r="A1570" s="584"/>
      <c r="B1570" s="585"/>
      <c r="C1570" s="586" t="s">
        <v>590</v>
      </c>
      <c r="D1570" s="133" t="s">
        <v>590</v>
      </c>
      <c r="E1570" s="587" t="s">
        <v>273</v>
      </c>
      <c r="F1570" s="585" t="s">
        <v>274</v>
      </c>
      <c r="G1570" s="591">
        <f>'Thông tin'!E67</f>
        <v>6.2E-2</v>
      </c>
      <c r="H1570" s="589"/>
      <c r="I1570" s="603"/>
      <c r="J1570" s="589">
        <f>(J1569)*G1570</f>
        <v>4197.9040175792561</v>
      </c>
    </row>
    <row r="1571" spans="1:10">
      <c r="A1571" s="584"/>
      <c r="B1571" s="585"/>
      <c r="C1571" s="586" t="s">
        <v>590</v>
      </c>
      <c r="D1571" s="133" t="s">
        <v>590</v>
      </c>
      <c r="E1571" s="587" t="s">
        <v>276</v>
      </c>
      <c r="F1571" s="585" t="s">
        <v>277</v>
      </c>
      <c r="G1571" s="591">
        <f>'Thông tin'!E60</f>
        <v>2.2000000000000002E-2</v>
      </c>
      <c r="H1571" s="589"/>
      <c r="I1571" s="603"/>
      <c r="J1571" s="589">
        <f>(J1569)*G1571</f>
        <v>1489.5788449474783</v>
      </c>
    </row>
    <row r="1572" spans="1:10" ht="27.6">
      <c r="A1572" s="584"/>
      <c r="B1572" s="585"/>
      <c r="C1572" s="586" t="s">
        <v>590</v>
      </c>
      <c r="D1572" s="133" t="s">
        <v>590</v>
      </c>
      <c r="E1572" s="587" t="s">
        <v>279</v>
      </c>
      <c r="F1572" s="585" t="s">
        <v>142</v>
      </c>
      <c r="G1572" s="591">
        <f>'Thông tin'!E65</f>
        <v>0.02</v>
      </c>
      <c r="H1572" s="589"/>
      <c r="I1572" s="603"/>
      <c r="J1572" s="589">
        <f>(J1569)*G1572</f>
        <v>1354.1625863158893</v>
      </c>
    </row>
    <row r="1573" spans="1:10">
      <c r="A1573" s="584"/>
      <c r="B1573" s="585"/>
      <c r="C1573" s="586" t="s">
        <v>590</v>
      </c>
      <c r="D1573" s="133" t="s">
        <v>590</v>
      </c>
      <c r="E1573" s="587" t="s">
        <v>281</v>
      </c>
      <c r="F1573" s="585" t="s">
        <v>282</v>
      </c>
      <c r="G1573" s="590"/>
      <c r="H1573" s="589"/>
      <c r="I1573" s="603"/>
      <c r="J1573" s="589">
        <f>J1570+J1571+J1572</f>
        <v>7041.6454488426243</v>
      </c>
    </row>
    <row r="1574" spans="1:10">
      <c r="A1574" s="584"/>
      <c r="B1574" s="585"/>
      <c r="C1574" s="586" t="s">
        <v>590</v>
      </c>
      <c r="D1574" s="133" t="s">
        <v>590</v>
      </c>
      <c r="E1574" s="587" t="s">
        <v>284</v>
      </c>
      <c r="F1574" s="585" t="s">
        <v>285</v>
      </c>
      <c r="G1574" s="591">
        <f>'Thông tin'!E63</f>
        <v>0.06</v>
      </c>
      <c r="H1574" s="589"/>
      <c r="I1574" s="603"/>
      <c r="J1574" s="589">
        <f>(J1569+J1573)*G1574</f>
        <v>4484.9864858782248</v>
      </c>
    </row>
    <row r="1575" spans="1:10">
      <c r="A1575" s="584"/>
      <c r="B1575" s="585"/>
      <c r="C1575" s="586" t="s">
        <v>590</v>
      </c>
      <c r="D1575" s="133" t="s">
        <v>590</v>
      </c>
      <c r="E1575" s="592" t="s">
        <v>287</v>
      </c>
      <c r="F1575" s="593" t="s">
        <v>288</v>
      </c>
      <c r="G1575" s="590"/>
      <c r="H1575" s="589"/>
      <c r="I1575" s="603"/>
      <c r="J1575" s="604">
        <f>J1569+J1573+J1574</f>
        <v>79234.761250515308</v>
      </c>
    </row>
    <row r="1576" spans="1:10">
      <c r="A1576" s="584"/>
      <c r="B1576" s="585"/>
      <c r="C1576" s="586" t="s">
        <v>590</v>
      </c>
      <c r="D1576" s="133" t="s">
        <v>590</v>
      </c>
      <c r="E1576" s="587" t="s">
        <v>290</v>
      </c>
      <c r="F1576" s="585" t="s">
        <v>291</v>
      </c>
      <c r="G1576" s="591">
        <f>'Thông tin'!E61</f>
        <v>0.1</v>
      </c>
      <c r="H1576" s="589"/>
      <c r="I1576" s="603"/>
      <c r="J1576" s="589">
        <f>(J1575)*G1576</f>
        <v>7923.4761250515312</v>
      </c>
    </row>
    <row r="1577" spans="1:10">
      <c r="A1577" s="594"/>
      <c r="B1577" s="595"/>
      <c r="C1577" s="596" t="s">
        <v>590</v>
      </c>
      <c r="D1577" s="137" t="s">
        <v>590</v>
      </c>
      <c r="E1577" s="597" t="s">
        <v>293</v>
      </c>
      <c r="F1577" s="598" t="s">
        <v>19</v>
      </c>
      <c r="G1577" s="599"/>
      <c r="H1577" s="600"/>
      <c r="I1577" s="605"/>
      <c r="J1577" s="606">
        <f>J1575+J1576</f>
        <v>87158.237375566838</v>
      </c>
    </row>
    <row r="1578" spans="1:10" ht="27.6">
      <c r="A1578" s="578"/>
      <c r="B1578" s="579">
        <v>87</v>
      </c>
      <c r="C1578" s="578" t="str">
        <f>'5.Tiên lượng'!C188</f>
        <v>BB.33011</v>
      </c>
      <c r="D1578" s="578" t="str">
        <f>'5.Tiên lượng'!C188</f>
        <v>BB.33011</v>
      </c>
      <c r="E1578" s="580" t="str">
        <f>'5.Tiên lượng'!D188</f>
        <v>Khối xây gia cố bằng đá hộc - Chiều dày ≤60cm, vữa XM M100, PCB40</v>
      </c>
      <c r="F1578" s="579" t="str">
        <f>'5.Tiên lượng'!E188</f>
        <v>100m</v>
      </c>
      <c r="G1578" s="581"/>
      <c r="H1578" s="582"/>
      <c r="I1578" s="602"/>
      <c r="J1578" s="582"/>
    </row>
    <row r="1579" spans="1:10">
      <c r="A1579" s="126"/>
      <c r="B1579" s="127"/>
      <c r="C1579" s="128" t="s">
        <v>590</v>
      </c>
      <c r="D1579" s="128" t="s">
        <v>590</v>
      </c>
      <c r="E1579" s="583" t="s">
        <v>262</v>
      </c>
      <c r="F1579" s="127" t="s">
        <v>263</v>
      </c>
      <c r="G1579" s="130"/>
      <c r="H1579" s="131"/>
      <c r="I1579" s="143"/>
      <c r="J1579" s="131">
        <f>SUM(J1580:J1582)</f>
        <v>42496661.741250001</v>
      </c>
    </row>
    <row r="1580" spans="1:10">
      <c r="A1580" s="584"/>
      <c r="B1580" s="585"/>
      <c r="C1580" s="586" t="s">
        <v>590</v>
      </c>
      <c r="D1580" s="133" t="s">
        <v>680</v>
      </c>
      <c r="E1580" s="587" t="str">
        <f>" - "&amp;'Giá VL'!E35</f>
        <v xml:space="preserve"> - Ống thép tráng kẽm D200mm, L=8m</v>
      </c>
      <c r="F1580" s="585" t="str">
        <f>'Giá VL'!F35</f>
        <v>m</v>
      </c>
      <c r="G1580" s="588">
        <f>PTVT!G759</f>
        <v>100.5</v>
      </c>
      <c r="H1580" s="589">
        <f>'Giá VL'!V35</f>
        <v>391025</v>
      </c>
      <c r="I1580" s="603">
        <f>'5.Tiên lượng'!V188</f>
        <v>1</v>
      </c>
      <c r="J1580" s="589">
        <f t="shared" ref="J1580:J1582" si="102">PRODUCT(G1580,H1580,I1580)</f>
        <v>39298012.5</v>
      </c>
    </row>
    <row r="1581" spans="1:10">
      <c r="A1581" s="584"/>
      <c r="B1581" s="585"/>
      <c r="C1581" s="586" t="s">
        <v>590</v>
      </c>
      <c r="D1581" s="133" t="s">
        <v>681</v>
      </c>
      <c r="E1581" s="587" t="str">
        <f>" - "&amp;'Giá VL'!E29</f>
        <v xml:space="preserve"> - Măng sông thép tráng kẽm D200mm</v>
      </c>
      <c r="F1581" s="585" t="str">
        <f>'Giá VL'!F29</f>
        <v>cái</v>
      </c>
      <c r="G1581" s="588">
        <f>PTVT!G760</f>
        <v>12</v>
      </c>
      <c r="H1581" s="589">
        <f>'Giá VL'!V29</f>
        <v>266200</v>
      </c>
      <c r="I1581" s="603">
        <f>'5.Tiên lượng'!V188</f>
        <v>1</v>
      </c>
      <c r="J1581" s="589">
        <f t="shared" si="102"/>
        <v>3194400</v>
      </c>
    </row>
    <row r="1582" spans="1:10">
      <c r="A1582" s="584"/>
      <c r="B1582" s="585"/>
      <c r="C1582" s="586" t="s">
        <v>590</v>
      </c>
      <c r="D1582" s="133" t="s">
        <v>620</v>
      </c>
      <c r="E1582" s="587" t="s">
        <v>668</v>
      </c>
      <c r="F1582" s="585" t="s">
        <v>37</v>
      </c>
      <c r="G1582" s="588">
        <f>PTVT!G761</f>
        <v>0.01</v>
      </c>
      <c r="H1582" s="589">
        <f>IF('5.Tiên lượng'!V188&lt;&gt;0,SUM(J1580:J1581)/100/'5.Tiên lượng'!V188,0)</f>
        <v>424924.125</v>
      </c>
      <c r="I1582" s="603">
        <f>'5.Tiên lượng'!V188</f>
        <v>1</v>
      </c>
      <c r="J1582" s="589">
        <f t="shared" si="102"/>
        <v>4249.24125</v>
      </c>
    </row>
    <row r="1583" spans="1:10">
      <c r="A1583" s="126"/>
      <c r="B1583" s="127"/>
      <c r="C1583" s="128" t="s">
        <v>590</v>
      </c>
      <c r="D1583" s="128" t="s">
        <v>590</v>
      </c>
      <c r="E1583" s="583" t="s">
        <v>265</v>
      </c>
      <c r="F1583" s="127" t="s">
        <v>266</v>
      </c>
      <c r="G1583" s="130"/>
      <c r="H1583" s="131"/>
      <c r="I1583" s="143"/>
      <c r="J1583" s="131">
        <f>SUM(J1584:J1584)</f>
        <v>8745300</v>
      </c>
    </row>
    <row r="1584" spans="1:10">
      <c r="A1584" s="584"/>
      <c r="B1584" s="585"/>
      <c r="C1584" s="586" t="s">
        <v>590</v>
      </c>
      <c r="D1584" s="133" t="s">
        <v>622</v>
      </c>
      <c r="E1584" s="587" t="str">
        <f>" - "&amp;'Giá NC'!E9</f>
        <v xml:space="preserve"> - Nhân công bậc 3,5/7 - Nhóm 2</v>
      </c>
      <c r="F1584" s="585" t="str">
        <f>'Giá NC'!F9</f>
        <v>công</v>
      </c>
      <c r="G1584" s="588">
        <f>PTVT!G763</f>
        <v>32.39</v>
      </c>
      <c r="H1584" s="589">
        <f>'Giá NC'!K9</f>
        <v>270000</v>
      </c>
      <c r="I1584" s="603">
        <f>'5.Tiên lượng'!W188</f>
        <v>1</v>
      </c>
      <c r="J1584" s="589">
        <f>PRODUCT(G1584,H1584,I1584)</f>
        <v>8745300</v>
      </c>
    </row>
    <row r="1585" spans="1:10">
      <c r="A1585" s="126"/>
      <c r="B1585" s="127"/>
      <c r="C1585" s="128" t="s">
        <v>590</v>
      </c>
      <c r="D1585" s="128" t="s">
        <v>590</v>
      </c>
      <c r="E1585" s="583" t="s">
        <v>267</v>
      </c>
      <c r="F1585" s="127" t="s">
        <v>268</v>
      </c>
      <c r="G1585" s="130"/>
      <c r="H1585" s="131"/>
      <c r="I1585" s="143"/>
      <c r="J1585" s="131">
        <v>0</v>
      </c>
    </row>
    <row r="1586" spans="1:10">
      <c r="A1586" s="584"/>
      <c r="B1586" s="585"/>
      <c r="C1586" s="586" t="s">
        <v>590</v>
      </c>
      <c r="D1586" s="133" t="s">
        <v>590</v>
      </c>
      <c r="E1586" s="587" t="s">
        <v>269</v>
      </c>
      <c r="F1586" s="585" t="s">
        <v>270</v>
      </c>
      <c r="G1586" s="590"/>
      <c r="H1586" s="589"/>
      <c r="I1586" s="603"/>
      <c r="J1586" s="589">
        <f>J1579+J1583+J1585</f>
        <v>51241961.741250001</v>
      </c>
    </row>
    <row r="1587" spans="1:10">
      <c r="A1587" s="584"/>
      <c r="B1587" s="585"/>
      <c r="C1587" s="586" t="s">
        <v>590</v>
      </c>
      <c r="D1587" s="133" t="s">
        <v>590</v>
      </c>
      <c r="E1587" s="587" t="s">
        <v>273</v>
      </c>
      <c r="F1587" s="585" t="s">
        <v>274</v>
      </c>
      <c r="G1587" s="591">
        <f>'Thông tin'!E67</f>
        <v>6.2E-2</v>
      </c>
      <c r="H1587" s="589"/>
      <c r="I1587" s="603"/>
      <c r="J1587" s="589">
        <f>(J1586)*G1587</f>
        <v>3177001.6279575001</v>
      </c>
    </row>
    <row r="1588" spans="1:10">
      <c r="A1588" s="584"/>
      <c r="B1588" s="585"/>
      <c r="C1588" s="586" t="s">
        <v>590</v>
      </c>
      <c r="D1588" s="133" t="s">
        <v>590</v>
      </c>
      <c r="E1588" s="587" t="s">
        <v>276</v>
      </c>
      <c r="F1588" s="585" t="s">
        <v>277</v>
      </c>
      <c r="G1588" s="591">
        <f>'Thông tin'!E60</f>
        <v>2.2000000000000002E-2</v>
      </c>
      <c r="H1588" s="589"/>
      <c r="I1588" s="603"/>
      <c r="J1588" s="589">
        <f>(J1586)*G1588</f>
        <v>1127323.1583075002</v>
      </c>
    </row>
    <row r="1589" spans="1:10" ht="27.6">
      <c r="A1589" s="584"/>
      <c r="B1589" s="585"/>
      <c r="C1589" s="586" t="s">
        <v>590</v>
      </c>
      <c r="D1589" s="133" t="s">
        <v>590</v>
      </c>
      <c r="E1589" s="587" t="s">
        <v>279</v>
      </c>
      <c r="F1589" s="585" t="s">
        <v>142</v>
      </c>
      <c r="G1589" s="591">
        <f>'Thông tin'!E65</f>
        <v>0.02</v>
      </c>
      <c r="H1589" s="589"/>
      <c r="I1589" s="603"/>
      <c r="J1589" s="589">
        <f>(J1586)*G1589</f>
        <v>1024839.2348250001</v>
      </c>
    </row>
    <row r="1590" spans="1:10">
      <c r="A1590" s="584"/>
      <c r="B1590" s="585"/>
      <c r="C1590" s="586" t="s">
        <v>590</v>
      </c>
      <c r="D1590" s="133" t="s">
        <v>590</v>
      </c>
      <c r="E1590" s="587" t="s">
        <v>281</v>
      </c>
      <c r="F1590" s="585" t="s">
        <v>282</v>
      </c>
      <c r="G1590" s="590"/>
      <c r="H1590" s="589"/>
      <c r="I1590" s="603"/>
      <c r="J1590" s="589">
        <f>J1587+J1588+J1589</f>
        <v>5329164.0210900009</v>
      </c>
    </row>
    <row r="1591" spans="1:10">
      <c r="A1591" s="584"/>
      <c r="B1591" s="585"/>
      <c r="C1591" s="586" t="s">
        <v>590</v>
      </c>
      <c r="D1591" s="133" t="s">
        <v>590</v>
      </c>
      <c r="E1591" s="587" t="s">
        <v>284</v>
      </c>
      <c r="F1591" s="585" t="s">
        <v>285</v>
      </c>
      <c r="G1591" s="591">
        <f>'Thông tin'!E63</f>
        <v>0.06</v>
      </c>
      <c r="H1591" s="589"/>
      <c r="I1591" s="603"/>
      <c r="J1591" s="589">
        <f>(J1586+J1590)*G1591</f>
        <v>3394267.5457404</v>
      </c>
    </row>
    <row r="1592" spans="1:10">
      <c r="A1592" s="584"/>
      <c r="B1592" s="585"/>
      <c r="C1592" s="586" t="s">
        <v>590</v>
      </c>
      <c r="D1592" s="133" t="s">
        <v>590</v>
      </c>
      <c r="E1592" s="592" t="s">
        <v>287</v>
      </c>
      <c r="F1592" s="593" t="s">
        <v>288</v>
      </c>
      <c r="G1592" s="590"/>
      <c r="H1592" s="589"/>
      <c r="I1592" s="603"/>
      <c r="J1592" s="604">
        <f>J1586+J1590+J1591</f>
        <v>59965393.308080405</v>
      </c>
    </row>
    <row r="1593" spans="1:10">
      <c r="A1593" s="584"/>
      <c r="B1593" s="585"/>
      <c r="C1593" s="586" t="s">
        <v>590</v>
      </c>
      <c r="D1593" s="133" t="s">
        <v>590</v>
      </c>
      <c r="E1593" s="587" t="s">
        <v>290</v>
      </c>
      <c r="F1593" s="585" t="s">
        <v>291</v>
      </c>
      <c r="G1593" s="591">
        <f>'Thông tin'!E61</f>
        <v>0.1</v>
      </c>
      <c r="H1593" s="589"/>
      <c r="I1593" s="603"/>
      <c r="J1593" s="589">
        <f>(J1592)*G1593</f>
        <v>5996539.3308080407</v>
      </c>
    </row>
    <row r="1594" spans="1:10">
      <c r="A1594" s="594"/>
      <c r="B1594" s="595"/>
      <c r="C1594" s="596" t="s">
        <v>590</v>
      </c>
      <c r="D1594" s="137" t="s">
        <v>590</v>
      </c>
      <c r="E1594" s="597" t="s">
        <v>293</v>
      </c>
      <c r="F1594" s="598" t="s">
        <v>19</v>
      </c>
      <c r="G1594" s="599"/>
      <c r="H1594" s="600"/>
      <c r="I1594" s="605"/>
      <c r="J1594" s="606">
        <f>J1592+J1593</f>
        <v>65961932.638888448</v>
      </c>
    </row>
    <row r="1595" spans="1:10">
      <c r="A1595" s="578"/>
      <c r="B1595" s="579">
        <v>88</v>
      </c>
      <c r="C1595" s="578" t="str">
        <f>'5.Tiên lượng'!C190</f>
        <v>TT</v>
      </c>
      <c r="D1595" s="578" t="str">
        <f>'5.Tiên lượng'!C190</f>
        <v>TT</v>
      </c>
      <c r="E1595" s="580" t="str">
        <f>'5.Tiên lượng'!D190</f>
        <v>Tấm gỗ chắn nước</v>
      </c>
      <c r="F1595" s="579" t="str">
        <f>'5.Tiên lượng'!E190</f>
        <v>m3</v>
      </c>
      <c r="G1595" s="581"/>
      <c r="H1595" s="582"/>
      <c r="I1595" s="602"/>
      <c r="J1595" s="582"/>
    </row>
    <row r="1596" spans="1:10">
      <c r="A1596" s="126"/>
      <c r="B1596" s="127"/>
      <c r="C1596" s="128" t="s">
        <v>590</v>
      </c>
      <c r="D1596" s="128" t="s">
        <v>590</v>
      </c>
      <c r="E1596" s="583" t="s">
        <v>262</v>
      </c>
      <c r="F1596" s="127" t="s">
        <v>263</v>
      </c>
      <c r="G1596" s="130"/>
      <c r="H1596" s="131"/>
      <c r="I1596" s="143"/>
      <c r="J1596" s="131">
        <f>SUM(J1597:J1597)</f>
        <v>2844105.8536283039</v>
      </c>
    </row>
    <row r="1597" spans="1:10">
      <c r="A1597" s="584"/>
      <c r="B1597" s="585"/>
      <c r="C1597" s="586" t="s">
        <v>590</v>
      </c>
      <c r="D1597" s="133" t="s">
        <v>682</v>
      </c>
      <c r="E1597" s="587" t="str">
        <f>" - "&amp;'Giá VL'!E26</f>
        <v xml:space="preserve"> - Gỗ ván</v>
      </c>
      <c r="F1597" s="585" t="str">
        <f>'Giá VL'!F26</f>
        <v>m3</v>
      </c>
      <c r="G1597" s="588">
        <f>PTVT!G766</f>
        <v>1</v>
      </c>
      <c r="H1597" s="589">
        <f>'Giá VL'!V26</f>
        <v>2844105.8536283039</v>
      </c>
      <c r="I1597" s="603">
        <f>'5.Tiên lượng'!V190</f>
        <v>1</v>
      </c>
      <c r="J1597" s="589">
        <f>PRODUCT(G1597,H1597,I1597)</f>
        <v>2844105.8536283039</v>
      </c>
    </row>
    <row r="1598" spans="1:10">
      <c r="A1598" s="126"/>
      <c r="B1598" s="127"/>
      <c r="C1598" s="128" t="s">
        <v>590</v>
      </c>
      <c r="D1598" s="128" t="s">
        <v>590</v>
      </c>
      <c r="E1598" s="583" t="s">
        <v>265</v>
      </c>
      <c r="F1598" s="127" t="s">
        <v>266</v>
      </c>
      <c r="G1598" s="130"/>
      <c r="H1598" s="131"/>
      <c r="I1598" s="143"/>
      <c r="J1598" s="131">
        <v>0</v>
      </c>
    </row>
    <row r="1599" spans="1:10">
      <c r="A1599" s="126"/>
      <c r="B1599" s="127"/>
      <c r="C1599" s="128" t="s">
        <v>590</v>
      </c>
      <c r="D1599" s="128" t="s">
        <v>590</v>
      </c>
      <c r="E1599" s="583" t="s">
        <v>267</v>
      </c>
      <c r="F1599" s="127" t="s">
        <v>268</v>
      </c>
      <c r="G1599" s="130"/>
      <c r="H1599" s="131"/>
      <c r="I1599" s="143"/>
      <c r="J1599" s="131">
        <v>0</v>
      </c>
    </row>
    <row r="1600" spans="1:10">
      <c r="A1600" s="584"/>
      <c r="B1600" s="585"/>
      <c r="C1600" s="586" t="s">
        <v>590</v>
      </c>
      <c r="D1600" s="133" t="s">
        <v>590</v>
      </c>
      <c r="E1600" s="587" t="s">
        <v>269</v>
      </c>
      <c r="F1600" s="585" t="s">
        <v>270</v>
      </c>
      <c r="G1600" s="590"/>
      <c r="H1600" s="589"/>
      <c r="I1600" s="603"/>
      <c r="J1600" s="589">
        <f>J1596+J1598+J1599</f>
        <v>2844105.8536283039</v>
      </c>
    </row>
    <row r="1601" spans="1:10">
      <c r="A1601" s="584"/>
      <c r="B1601" s="585"/>
      <c r="C1601" s="586" t="s">
        <v>590</v>
      </c>
      <c r="D1601" s="133" t="s">
        <v>590</v>
      </c>
      <c r="E1601" s="587" t="s">
        <v>273</v>
      </c>
      <c r="F1601" s="585" t="s">
        <v>274</v>
      </c>
      <c r="G1601" s="591">
        <f>'Thông tin'!E67</f>
        <v>6.2E-2</v>
      </c>
      <c r="H1601" s="589"/>
      <c r="I1601" s="603"/>
      <c r="J1601" s="589">
        <f>(J1600)*G1601</f>
        <v>176334.56292495484</v>
      </c>
    </row>
    <row r="1602" spans="1:10">
      <c r="A1602" s="584"/>
      <c r="B1602" s="585"/>
      <c r="C1602" s="586" t="s">
        <v>590</v>
      </c>
      <c r="D1602" s="133" t="s">
        <v>590</v>
      </c>
      <c r="E1602" s="587" t="s">
        <v>276</v>
      </c>
      <c r="F1602" s="585" t="s">
        <v>277</v>
      </c>
      <c r="G1602" s="591">
        <f>'Thông tin'!E60</f>
        <v>2.2000000000000002E-2</v>
      </c>
      <c r="H1602" s="589"/>
      <c r="I1602" s="603"/>
      <c r="J1602" s="589">
        <f>(J1600)*G1602</f>
        <v>62570.328779822688</v>
      </c>
    </row>
    <row r="1603" spans="1:10" ht="27.6">
      <c r="A1603" s="584"/>
      <c r="B1603" s="585"/>
      <c r="C1603" s="586" t="s">
        <v>590</v>
      </c>
      <c r="D1603" s="133" t="s">
        <v>590</v>
      </c>
      <c r="E1603" s="587" t="s">
        <v>279</v>
      </c>
      <c r="F1603" s="585" t="s">
        <v>142</v>
      </c>
      <c r="G1603" s="591">
        <f>'Thông tin'!E65</f>
        <v>0.02</v>
      </c>
      <c r="H1603" s="589"/>
      <c r="I1603" s="603"/>
      <c r="J1603" s="589">
        <f>(J1600)*G1603</f>
        <v>56882.117072566078</v>
      </c>
    </row>
    <row r="1604" spans="1:10">
      <c r="A1604" s="584"/>
      <c r="B1604" s="585"/>
      <c r="C1604" s="586" t="s">
        <v>590</v>
      </c>
      <c r="D1604" s="133" t="s">
        <v>590</v>
      </c>
      <c r="E1604" s="587" t="s">
        <v>281</v>
      </c>
      <c r="F1604" s="585" t="s">
        <v>282</v>
      </c>
      <c r="G1604" s="590"/>
      <c r="H1604" s="589"/>
      <c r="I1604" s="603"/>
      <c r="J1604" s="589">
        <f>J1601+J1602+J1603</f>
        <v>295787.00877734361</v>
      </c>
    </row>
    <row r="1605" spans="1:10">
      <c r="A1605" s="584"/>
      <c r="B1605" s="585"/>
      <c r="C1605" s="586" t="s">
        <v>590</v>
      </c>
      <c r="D1605" s="133" t="s">
        <v>590</v>
      </c>
      <c r="E1605" s="587" t="s">
        <v>284</v>
      </c>
      <c r="F1605" s="585" t="s">
        <v>285</v>
      </c>
      <c r="G1605" s="591">
        <f>'Thông tin'!E63</f>
        <v>0.06</v>
      </c>
      <c r="H1605" s="589"/>
      <c r="I1605" s="603"/>
      <c r="J1605" s="589">
        <f>(J1600+J1604)*G1605</f>
        <v>188393.57174433884</v>
      </c>
    </row>
    <row r="1606" spans="1:10">
      <c r="A1606" s="584"/>
      <c r="B1606" s="585"/>
      <c r="C1606" s="586" t="s">
        <v>590</v>
      </c>
      <c r="D1606" s="133" t="s">
        <v>590</v>
      </c>
      <c r="E1606" s="592" t="s">
        <v>287</v>
      </c>
      <c r="F1606" s="593" t="s">
        <v>288</v>
      </c>
      <c r="G1606" s="590"/>
      <c r="H1606" s="589"/>
      <c r="I1606" s="603"/>
      <c r="J1606" s="604">
        <f>J1600+J1604+J1605</f>
        <v>3328286.4341499861</v>
      </c>
    </row>
    <row r="1607" spans="1:10">
      <c r="A1607" s="584"/>
      <c r="B1607" s="585"/>
      <c r="C1607" s="586" t="s">
        <v>590</v>
      </c>
      <c r="D1607" s="133" t="s">
        <v>590</v>
      </c>
      <c r="E1607" s="587" t="s">
        <v>290</v>
      </c>
      <c r="F1607" s="585" t="s">
        <v>291</v>
      </c>
      <c r="G1607" s="591">
        <f>'Thông tin'!E61</f>
        <v>0.1</v>
      </c>
      <c r="H1607" s="589"/>
      <c r="I1607" s="603"/>
      <c r="J1607" s="589">
        <f>(J1606)*G1607</f>
        <v>332828.64341499866</v>
      </c>
    </row>
    <row r="1608" spans="1:10">
      <c r="A1608" s="594"/>
      <c r="B1608" s="595"/>
      <c r="C1608" s="596" t="s">
        <v>590</v>
      </c>
      <c r="D1608" s="137" t="s">
        <v>590</v>
      </c>
      <c r="E1608" s="597" t="s">
        <v>293</v>
      </c>
      <c r="F1608" s="598" t="s">
        <v>19</v>
      </c>
      <c r="G1608" s="599"/>
      <c r="H1608" s="600"/>
      <c r="I1608" s="605"/>
      <c r="J1608" s="606">
        <f>J1606+J1607</f>
        <v>3661115.0775649846</v>
      </c>
    </row>
    <row r="1609" spans="1:10">
      <c r="A1609" s="572"/>
      <c r="B1609" s="573"/>
      <c r="C1609" s="574" t="s">
        <v>339</v>
      </c>
      <c r="D1609" s="117" t="s">
        <v>339</v>
      </c>
      <c r="E1609" s="575" t="s">
        <v>561</v>
      </c>
      <c r="F1609" s="573"/>
      <c r="G1609" s="576"/>
      <c r="H1609" s="577"/>
      <c r="I1609" s="601"/>
      <c r="J1609" s="577" t="s">
        <v>597</v>
      </c>
    </row>
    <row r="1610" spans="1:10" ht="27.6">
      <c r="A1610" s="578"/>
      <c r="B1610" s="579">
        <v>89</v>
      </c>
      <c r="C1610" s="578" t="str">
        <f>'5.Tiên lượng'!C192</f>
        <v>AF.12151</v>
      </c>
      <c r="D1610" s="578" t="str">
        <f>'5.Tiên lượng'!C192</f>
        <v>AF.12151</v>
      </c>
      <c r="E1610" s="580" t="str">
        <f>'5.Tiên lượng'!D192</f>
        <v>BTXM đầu cống - Chiều dày ≤45cm, chiều cao ≤6m, M150, đá 2x4, PCB40</v>
      </c>
      <c r="F1610" s="579" t="str">
        <f>'5.Tiên lượng'!E192</f>
        <v>m3</v>
      </c>
      <c r="G1610" s="581"/>
      <c r="H1610" s="582"/>
      <c r="I1610" s="602"/>
      <c r="J1610" s="582"/>
    </row>
    <row r="1611" spans="1:10">
      <c r="A1611" s="126"/>
      <c r="B1611" s="127"/>
      <c r="C1611" s="128" t="s">
        <v>590</v>
      </c>
      <c r="D1611" s="128" t="s">
        <v>590</v>
      </c>
      <c r="E1611" s="583" t="s">
        <v>262</v>
      </c>
      <c r="F1611" s="127" t="s">
        <v>263</v>
      </c>
      <c r="G1611" s="130"/>
      <c r="H1611" s="131"/>
      <c r="I1611" s="143"/>
      <c r="J1611" s="131">
        <f>SUM(J1612:J1616)</f>
        <v>1071238.1347510607</v>
      </c>
    </row>
    <row r="1612" spans="1:10">
      <c r="A1612" s="584"/>
      <c r="B1612" s="585"/>
      <c r="C1612" s="586" t="s">
        <v>590</v>
      </c>
      <c r="D1612" s="133" t="s">
        <v>614</v>
      </c>
      <c r="E1612" s="587" t="str">
        <f>" - "&amp;'Giá VL'!E45</f>
        <v xml:space="preserve"> - Xi măng PCB40</v>
      </c>
      <c r="F1612" s="585" t="str">
        <f>'Giá VL'!F45</f>
        <v>kg</v>
      </c>
      <c r="G1612" s="588">
        <f>PTVT!G770</f>
        <v>210.125</v>
      </c>
      <c r="H1612" s="589">
        <f>'Giá VL'!V45</f>
        <v>1730</v>
      </c>
      <c r="I1612" s="603">
        <f>'5.Tiên lượng'!V192</f>
        <v>1</v>
      </c>
      <c r="J1612" s="589">
        <f t="shared" ref="J1612:J1616" si="103">PRODUCT(G1612,H1612,I1612)</f>
        <v>363516.25</v>
      </c>
    </row>
    <row r="1613" spans="1:10">
      <c r="A1613" s="584"/>
      <c r="B1613" s="585"/>
      <c r="C1613" s="586" t="s">
        <v>590</v>
      </c>
      <c r="D1613" s="133" t="s">
        <v>615</v>
      </c>
      <c r="E1613" s="587" t="str">
        <f>" - "&amp;'Giá VL'!E17</f>
        <v xml:space="preserve"> - Cát vàng</v>
      </c>
      <c r="F1613" s="585" t="str">
        <f>'Giá VL'!F17</f>
        <v>m3</v>
      </c>
      <c r="G1613" s="588">
        <f>PTVT!G771</f>
        <v>0.56272500000000003</v>
      </c>
      <c r="H1613" s="589">
        <f>'Giá VL'!V17</f>
        <v>659026.49526849983</v>
      </c>
      <c r="I1613" s="603">
        <f>'5.Tiên lượng'!V192</f>
        <v>1</v>
      </c>
      <c r="J1613" s="589">
        <f t="shared" si="103"/>
        <v>370850.68454996659</v>
      </c>
    </row>
    <row r="1614" spans="1:10">
      <c r="A1614" s="584"/>
      <c r="B1614" s="585"/>
      <c r="C1614" s="586" t="s">
        <v>590</v>
      </c>
      <c r="D1614" s="133" t="s">
        <v>616</v>
      </c>
      <c r="E1614" s="587" t="str">
        <f>" - "&amp;'Giá VL'!E19</f>
        <v xml:space="preserve"> - Đá 2x4</v>
      </c>
      <c r="F1614" s="585" t="str">
        <f>'Giá VL'!F19</f>
        <v>m3</v>
      </c>
      <c r="G1614" s="588">
        <f>PTVT!G772</f>
        <v>0.91225000000000001</v>
      </c>
      <c r="H1614" s="589">
        <f>'Giá VL'!V19</f>
        <v>310458.0547558713</v>
      </c>
      <c r="I1614" s="603">
        <f>'5.Tiên lượng'!V192</f>
        <v>1</v>
      </c>
      <c r="J1614" s="589">
        <f t="shared" si="103"/>
        <v>283215.36045104358</v>
      </c>
    </row>
    <row r="1615" spans="1:10">
      <c r="A1615" s="584"/>
      <c r="B1615" s="585"/>
      <c r="C1615" s="586" t="s">
        <v>590</v>
      </c>
      <c r="D1615" s="133" t="s">
        <v>617</v>
      </c>
      <c r="E1615" s="587" t="str">
        <f>" - "&amp;'Giá VL'!E33</f>
        <v xml:space="preserve"> - Nước</v>
      </c>
      <c r="F1615" s="585" t="str">
        <f>'Giá VL'!F33</f>
        <v>lít</v>
      </c>
      <c r="G1615" s="588">
        <f>PTVT!G773</f>
        <v>176.3</v>
      </c>
      <c r="H1615" s="589">
        <f>'Giá VL'!V33</f>
        <v>15</v>
      </c>
      <c r="I1615" s="603">
        <f>'5.Tiên lượng'!V192</f>
        <v>1</v>
      </c>
      <c r="J1615" s="589">
        <f t="shared" si="103"/>
        <v>2644.5</v>
      </c>
    </row>
    <row r="1616" spans="1:10">
      <c r="A1616" s="584"/>
      <c r="B1616" s="585"/>
      <c r="C1616" s="586" t="s">
        <v>590</v>
      </c>
      <c r="D1616" s="133" t="s">
        <v>620</v>
      </c>
      <c r="E1616" s="587" t="s">
        <v>621</v>
      </c>
      <c r="F1616" s="585" t="s">
        <v>37</v>
      </c>
      <c r="G1616" s="588">
        <f>PTVT!G774</f>
        <v>5</v>
      </c>
      <c r="H1616" s="589">
        <f>IF('5.Tiên lượng'!V192&lt;&gt;0,SUM(J1612:J1615)/100/'5.Tiên lượng'!V192,0)</f>
        <v>10202.267950010102</v>
      </c>
      <c r="I1616" s="603">
        <f>'5.Tiên lượng'!V192</f>
        <v>1</v>
      </c>
      <c r="J1616" s="589">
        <f t="shared" si="103"/>
        <v>51011.339750050509</v>
      </c>
    </row>
    <row r="1617" spans="1:10">
      <c r="A1617" s="126"/>
      <c r="B1617" s="127"/>
      <c r="C1617" s="128" t="s">
        <v>590</v>
      </c>
      <c r="D1617" s="128" t="s">
        <v>590</v>
      </c>
      <c r="E1617" s="583" t="s">
        <v>265</v>
      </c>
      <c r="F1617" s="127" t="s">
        <v>266</v>
      </c>
      <c r="G1617" s="130"/>
      <c r="H1617" s="131"/>
      <c r="I1617" s="143"/>
      <c r="J1617" s="131">
        <f>SUM(J1618:J1618)</f>
        <v>672300</v>
      </c>
    </row>
    <row r="1618" spans="1:10">
      <c r="A1618" s="584"/>
      <c r="B1618" s="585"/>
      <c r="C1618" s="586" t="s">
        <v>590</v>
      </c>
      <c r="D1618" s="133" t="s">
        <v>622</v>
      </c>
      <c r="E1618" s="587" t="str">
        <f>" - "&amp;'Giá NC'!E9</f>
        <v xml:space="preserve"> - Nhân công bậc 3,5/7 - Nhóm 2</v>
      </c>
      <c r="F1618" s="585" t="str">
        <f>'Giá NC'!F9</f>
        <v>công</v>
      </c>
      <c r="G1618" s="588">
        <f>PTVT!G776</f>
        <v>2.4900000000000002</v>
      </c>
      <c r="H1618" s="589">
        <f>'Giá NC'!K9</f>
        <v>270000</v>
      </c>
      <c r="I1618" s="603">
        <f>'5.Tiên lượng'!W192</f>
        <v>1</v>
      </c>
      <c r="J1618" s="589">
        <f>PRODUCT(G1618,H1618,I1618)</f>
        <v>672300</v>
      </c>
    </row>
    <row r="1619" spans="1:10">
      <c r="A1619" s="126"/>
      <c r="B1619" s="127"/>
      <c r="C1619" s="128" t="s">
        <v>590</v>
      </c>
      <c r="D1619" s="128" t="s">
        <v>590</v>
      </c>
      <c r="E1619" s="583" t="s">
        <v>267</v>
      </c>
      <c r="F1619" s="127" t="s">
        <v>268</v>
      </c>
      <c r="G1619" s="130"/>
      <c r="H1619" s="131"/>
      <c r="I1619" s="143"/>
      <c r="J1619" s="131">
        <f>SUM(J1620:J1621)</f>
        <v>81629.343256975</v>
      </c>
    </row>
    <row r="1620" spans="1:10">
      <c r="A1620" s="584"/>
      <c r="B1620" s="585"/>
      <c r="C1620" s="586" t="s">
        <v>590</v>
      </c>
      <c r="D1620" s="133" t="s">
        <v>623</v>
      </c>
      <c r="E1620" s="587" t="str">
        <f>" - "&amp;'Giá Máy'!E27</f>
        <v xml:space="preserve"> - Máy trộn bê tông 250 lít</v>
      </c>
      <c r="F1620" s="585" t="str">
        <f>'Giá Máy'!F27</f>
        <v>ca</v>
      </c>
      <c r="G1620" s="588">
        <f>PTVT!G778</f>
        <v>9.5000000000000001E-2</v>
      </c>
      <c r="H1620" s="589">
        <f>'Giá Máy'!O27</f>
        <v>326305.98864499998</v>
      </c>
      <c r="I1620" s="603">
        <f>'5.Tiên lượng'!X192</f>
        <v>1</v>
      </c>
      <c r="J1620" s="589">
        <f t="shared" ref="J1620:J1621" si="104">PRODUCT(G1620,H1620,I1620)</f>
        <v>30999.068921274997</v>
      </c>
    </row>
    <row r="1621" spans="1:10">
      <c r="A1621" s="584"/>
      <c r="B1621" s="585"/>
      <c r="C1621" s="586" t="s">
        <v>590</v>
      </c>
      <c r="D1621" s="133" t="s">
        <v>625</v>
      </c>
      <c r="E1621" s="587" t="str">
        <f>" - "&amp;'Giá Máy'!E12</f>
        <v xml:space="preserve"> - Máy đầm dùi 1,5kW</v>
      </c>
      <c r="F1621" s="585" t="str">
        <f>'Giá Máy'!F12</f>
        <v>ca</v>
      </c>
      <c r="G1621" s="588">
        <f>PTVT!G779</f>
        <v>0.18</v>
      </c>
      <c r="H1621" s="589">
        <f>'Giá Máy'!O12</f>
        <v>281279.30186500004</v>
      </c>
      <c r="I1621" s="603">
        <f>'5.Tiên lượng'!X192</f>
        <v>1</v>
      </c>
      <c r="J1621" s="589">
        <f t="shared" si="104"/>
        <v>50630.274335700007</v>
      </c>
    </row>
    <row r="1622" spans="1:10">
      <c r="A1622" s="584"/>
      <c r="B1622" s="585"/>
      <c r="C1622" s="586" t="s">
        <v>590</v>
      </c>
      <c r="D1622" s="133" t="s">
        <v>590</v>
      </c>
      <c r="E1622" s="587" t="s">
        <v>269</v>
      </c>
      <c r="F1622" s="585" t="s">
        <v>270</v>
      </c>
      <c r="G1622" s="590"/>
      <c r="H1622" s="589"/>
      <c r="I1622" s="603"/>
      <c r="J1622" s="589">
        <f>J1611+J1617+J1619</f>
        <v>1825167.4780080358</v>
      </c>
    </row>
    <row r="1623" spans="1:10">
      <c r="A1623" s="584"/>
      <c r="B1623" s="585"/>
      <c r="C1623" s="586" t="s">
        <v>590</v>
      </c>
      <c r="D1623" s="133" t="s">
        <v>590</v>
      </c>
      <c r="E1623" s="587" t="s">
        <v>273</v>
      </c>
      <c r="F1623" s="585" t="s">
        <v>274</v>
      </c>
      <c r="G1623" s="591">
        <f>'Thông tin'!E67</f>
        <v>6.2E-2</v>
      </c>
      <c r="H1623" s="589"/>
      <c r="I1623" s="603"/>
      <c r="J1623" s="589">
        <f>(J1622)*G1623</f>
        <v>113160.38363649821</v>
      </c>
    </row>
    <row r="1624" spans="1:10">
      <c r="A1624" s="584"/>
      <c r="B1624" s="585"/>
      <c r="C1624" s="586" t="s">
        <v>590</v>
      </c>
      <c r="D1624" s="133" t="s">
        <v>590</v>
      </c>
      <c r="E1624" s="587" t="s">
        <v>276</v>
      </c>
      <c r="F1624" s="585" t="s">
        <v>277</v>
      </c>
      <c r="G1624" s="591">
        <f>'Thông tin'!E60</f>
        <v>2.2000000000000002E-2</v>
      </c>
      <c r="H1624" s="589"/>
      <c r="I1624" s="603"/>
      <c r="J1624" s="589">
        <f>(J1622)*G1624</f>
        <v>40153.684516176792</v>
      </c>
    </row>
    <row r="1625" spans="1:10" ht="27.6">
      <c r="A1625" s="584"/>
      <c r="B1625" s="585"/>
      <c r="C1625" s="586" t="s">
        <v>590</v>
      </c>
      <c r="D1625" s="133" t="s">
        <v>590</v>
      </c>
      <c r="E1625" s="587" t="s">
        <v>279</v>
      </c>
      <c r="F1625" s="585" t="s">
        <v>142</v>
      </c>
      <c r="G1625" s="591">
        <f>'Thông tin'!E65</f>
        <v>0.02</v>
      </c>
      <c r="H1625" s="589"/>
      <c r="I1625" s="603"/>
      <c r="J1625" s="589">
        <f>(J1622)*G1625</f>
        <v>36503.349560160714</v>
      </c>
    </row>
    <row r="1626" spans="1:10">
      <c r="A1626" s="584"/>
      <c r="B1626" s="585"/>
      <c r="C1626" s="586" t="s">
        <v>590</v>
      </c>
      <c r="D1626" s="133" t="s">
        <v>590</v>
      </c>
      <c r="E1626" s="587" t="s">
        <v>281</v>
      </c>
      <c r="F1626" s="585" t="s">
        <v>282</v>
      </c>
      <c r="G1626" s="590"/>
      <c r="H1626" s="589"/>
      <c r="I1626" s="603"/>
      <c r="J1626" s="589">
        <f>J1623+J1624+J1625</f>
        <v>189817.41771283571</v>
      </c>
    </row>
    <row r="1627" spans="1:10">
      <c r="A1627" s="584"/>
      <c r="B1627" s="585"/>
      <c r="C1627" s="586" t="s">
        <v>590</v>
      </c>
      <c r="D1627" s="133" t="s">
        <v>590</v>
      </c>
      <c r="E1627" s="587" t="s">
        <v>284</v>
      </c>
      <c r="F1627" s="585" t="s">
        <v>285</v>
      </c>
      <c r="G1627" s="591">
        <f>'Thông tin'!E63</f>
        <v>0.06</v>
      </c>
      <c r="H1627" s="589"/>
      <c r="I1627" s="603"/>
      <c r="J1627" s="589">
        <f>(J1622+J1626)*G1627</f>
        <v>120899.09374325229</v>
      </c>
    </row>
    <row r="1628" spans="1:10">
      <c r="A1628" s="584"/>
      <c r="B1628" s="585"/>
      <c r="C1628" s="586" t="s">
        <v>590</v>
      </c>
      <c r="D1628" s="133" t="s">
        <v>590</v>
      </c>
      <c r="E1628" s="592" t="s">
        <v>287</v>
      </c>
      <c r="F1628" s="593" t="s">
        <v>288</v>
      </c>
      <c r="G1628" s="590"/>
      <c r="H1628" s="589"/>
      <c r="I1628" s="603"/>
      <c r="J1628" s="604">
        <f>J1622+J1626+J1627</f>
        <v>2135883.9894641237</v>
      </c>
    </row>
    <row r="1629" spans="1:10">
      <c r="A1629" s="584"/>
      <c r="B1629" s="585"/>
      <c r="C1629" s="586" t="s">
        <v>590</v>
      </c>
      <c r="D1629" s="133" t="s">
        <v>590</v>
      </c>
      <c r="E1629" s="587" t="s">
        <v>290</v>
      </c>
      <c r="F1629" s="585" t="s">
        <v>291</v>
      </c>
      <c r="G1629" s="591">
        <f>'Thông tin'!E61</f>
        <v>0.1</v>
      </c>
      <c r="H1629" s="589"/>
      <c r="I1629" s="603"/>
      <c r="J1629" s="589">
        <f>(J1628)*G1629</f>
        <v>213588.39894641237</v>
      </c>
    </row>
    <row r="1630" spans="1:10">
      <c r="A1630" s="594"/>
      <c r="B1630" s="595"/>
      <c r="C1630" s="596" t="s">
        <v>590</v>
      </c>
      <c r="D1630" s="137" t="s">
        <v>590</v>
      </c>
      <c r="E1630" s="597" t="s">
        <v>293</v>
      </c>
      <c r="F1630" s="598" t="s">
        <v>19</v>
      </c>
      <c r="G1630" s="599"/>
      <c r="H1630" s="600"/>
      <c r="I1630" s="605"/>
      <c r="J1630" s="606">
        <f>J1628+J1629</f>
        <v>2349472.3884105361</v>
      </c>
    </row>
    <row r="1631" spans="1:10" ht="27.6">
      <c r="A1631" s="578"/>
      <c r="B1631" s="579">
        <v>90</v>
      </c>
      <c r="C1631" s="578" t="str">
        <f>'5.Tiên lượng'!C193</f>
        <v>AF.12152</v>
      </c>
      <c r="D1631" s="578" t="str">
        <f>'5.Tiên lượng'!C193</f>
        <v>AF.12152</v>
      </c>
      <c r="E1631" s="580" t="str">
        <f>'5.Tiên lượng'!D193</f>
        <v>BTXM thân cống - Chiều dày ≤45cm, chiều cao ≤6m, M200, đá 2x4, PCB40</v>
      </c>
      <c r="F1631" s="579" t="str">
        <f>'5.Tiên lượng'!E193</f>
        <v>m3</v>
      </c>
      <c r="G1631" s="581"/>
      <c r="H1631" s="582"/>
      <c r="I1631" s="602"/>
      <c r="J1631" s="582"/>
    </row>
    <row r="1632" spans="1:10">
      <c r="A1632" s="126"/>
      <c r="B1632" s="127"/>
      <c r="C1632" s="128" t="s">
        <v>590</v>
      </c>
      <c r="D1632" s="128" t="s">
        <v>590</v>
      </c>
      <c r="E1632" s="583" t="s">
        <v>262</v>
      </c>
      <c r="F1632" s="127" t="s">
        <v>263</v>
      </c>
      <c r="G1632" s="130"/>
      <c r="H1632" s="131"/>
      <c r="I1632" s="143"/>
      <c r="J1632" s="131">
        <f>SUM(J1633:J1637)</f>
        <v>1132807.5438712321</v>
      </c>
    </row>
    <row r="1633" spans="1:10">
      <c r="A1633" s="584"/>
      <c r="B1633" s="585"/>
      <c r="C1633" s="586" t="s">
        <v>590</v>
      </c>
      <c r="D1633" s="133" t="s">
        <v>614</v>
      </c>
      <c r="E1633" s="587" t="str">
        <f>" - "&amp;'Giá VL'!E45</f>
        <v xml:space="preserve"> - Xi măng PCB40</v>
      </c>
      <c r="F1633" s="585" t="str">
        <f>'Giá VL'!F45</f>
        <v>kg</v>
      </c>
      <c r="G1633" s="588">
        <f>PTVT!G782</f>
        <v>250.1</v>
      </c>
      <c r="H1633" s="589">
        <f>'Giá VL'!V45</f>
        <v>1730</v>
      </c>
      <c r="I1633" s="603">
        <f>'5.Tiên lượng'!V193</f>
        <v>1</v>
      </c>
      <c r="J1633" s="589">
        <f t="shared" ref="J1633:J1637" si="105">PRODUCT(G1633,H1633,I1633)</f>
        <v>432673</v>
      </c>
    </row>
    <row r="1634" spans="1:10">
      <c r="A1634" s="584"/>
      <c r="B1634" s="585"/>
      <c r="C1634" s="586" t="s">
        <v>590</v>
      </c>
      <c r="D1634" s="133" t="s">
        <v>615</v>
      </c>
      <c r="E1634" s="587" t="str">
        <f>" - "&amp;'Giá VL'!E17</f>
        <v xml:space="preserve"> - Cát vàng</v>
      </c>
      <c r="F1634" s="585" t="str">
        <f>'Giá VL'!F17</f>
        <v>m3</v>
      </c>
      <c r="G1634" s="588">
        <f>PTVT!G783</f>
        <v>0.55349999999999999</v>
      </c>
      <c r="H1634" s="589">
        <f>'Giá VL'!V17</f>
        <v>659026.49526849983</v>
      </c>
      <c r="I1634" s="603">
        <f>'5.Tiên lượng'!V193</f>
        <v>1</v>
      </c>
      <c r="J1634" s="589">
        <f t="shared" si="105"/>
        <v>364771.16513111466</v>
      </c>
    </row>
    <row r="1635" spans="1:10">
      <c r="A1635" s="584"/>
      <c r="B1635" s="585"/>
      <c r="C1635" s="586" t="s">
        <v>590</v>
      </c>
      <c r="D1635" s="133" t="s">
        <v>616</v>
      </c>
      <c r="E1635" s="587" t="str">
        <f>" - "&amp;'Giá VL'!E19</f>
        <v xml:space="preserve"> - Đá 2x4</v>
      </c>
      <c r="F1635" s="585" t="str">
        <f>'Giá VL'!F19</f>
        <v>m3</v>
      </c>
      <c r="G1635" s="588">
        <f>PTVT!G784</f>
        <v>0.89790000000000003</v>
      </c>
      <c r="H1635" s="589">
        <f>'Giá VL'!V19</f>
        <v>310458.0547558713</v>
      </c>
      <c r="I1635" s="603">
        <f>'5.Tiên lượng'!V193</f>
        <v>1</v>
      </c>
      <c r="J1635" s="589">
        <f t="shared" si="105"/>
        <v>278760.28736529686</v>
      </c>
    </row>
    <row r="1636" spans="1:10">
      <c r="A1636" s="584"/>
      <c r="B1636" s="585"/>
      <c r="C1636" s="586" t="s">
        <v>590</v>
      </c>
      <c r="D1636" s="133" t="s">
        <v>617</v>
      </c>
      <c r="E1636" s="587" t="str">
        <f>" - "&amp;'Giá VL'!E33</f>
        <v xml:space="preserve"> - Nước</v>
      </c>
      <c r="F1636" s="585" t="str">
        <f>'Giá VL'!F33</f>
        <v>lít</v>
      </c>
      <c r="G1636" s="588">
        <f>PTVT!G785</f>
        <v>177.32499999999999</v>
      </c>
      <c r="H1636" s="589">
        <f>'Giá VL'!V33</f>
        <v>15</v>
      </c>
      <c r="I1636" s="603">
        <f>'5.Tiên lượng'!V193</f>
        <v>1</v>
      </c>
      <c r="J1636" s="589">
        <f t="shared" si="105"/>
        <v>2659.875</v>
      </c>
    </row>
    <row r="1637" spans="1:10">
      <c r="A1637" s="584"/>
      <c r="B1637" s="585"/>
      <c r="C1637" s="586" t="s">
        <v>590</v>
      </c>
      <c r="D1637" s="133" t="s">
        <v>620</v>
      </c>
      <c r="E1637" s="587" t="s">
        <v>621</v>
      </c>
      <c r="F1637" s="585" t="s">
        <v>37</v>
      </c>
      <c r="G1637" s="588">
        <f>PTVT!G786</f>
        <v>5</v>
      </c>
      <c r="H1637" s="589">
        <f>IF('5.Tiên lượng'!V193&lt;&gt;0,SUM(J1633:J1636)/100/'5.Tiên lượng'!V193,0)</f>
        <v>10788.643274964115</v>
      </c>
      <c r="I1637" s="603">
        <f>'5.Tiên lượng'!V193</f>
        <v>1</v>
      </c>
      <c r="J1637" s="589">
        <f t="shared" si="105"/>
        <v>53943.216374820578</v>
      </c>
    </row>
    <row r="1638" spans="1:10">
      <c r="A1638" s="126"/>
      <c r="B1638" s="127"/>
      <c r="C1638" s="128" t="s">
        <v>590</v>
      </c>
      <c r="D1638" s="128" t="s">
        <v>590</v>
      </c>
      <c r="E1638" s="583" t="s">
        <v>265</v>
      </c>
      <c r="F1638" s="127" t="s">
        <v>266</v>
      </c>
      <c r="G1638" s="130"/>
      <c r="H1638" s="131"/>
      <c r="I1638" s="143"/>
      <c r="J1638" s="131">
        <f>SUM(J1639:J1639)</f>
        <v>672300</v>
      </c>
    </row>
    <row r="1639" spans="1:10">
      <c r="A1639" s="584"/>
      <c r="B1639" s="585"/>
      <c r="C1639" s="586" t="s">
        <v>590</v>
      </c>
      <c r="D1639" s="133" t="s">
        <v>622</v>
      </c>
      <c r="E1639" s="587" t="str">
        <f>" - "&amp;'Giá NC'!E9</f>
        <v xml:space="preserve"> - Nhân công bậc 3,5/7 - Nhóm 2</v>
      </c>
      <c r="F1639" s="585" t="str">
        <f>'Giá NC'!F9</f>
        <v>công</v>
      </c>
      <c r="G1639" s="588">
        <f>PTVT!G788</f>
        <v>2.4900000000000002</v>
      </c>
      <c r="H1639" s="589">
        <f>'Giá NC'!K9</f>
        <v>270000</v>
      </c>
      <c r="I1639" s="603">
        <f>'5.Tiên lượng'!W193</f>
        <v>1</v>
      </c>
      <c r="J1639" s="589">
        <f>PRODUCT(G1639,H1639,I1639)</f>
        <v>672300</v>
      </c>
    </row>
    <row r="1640" spans="1:10">
      <c r="A1640" s="126"/>
      <c r="B1640" s="127"/>
      <c r="C1640" s="128" t="s">
        <v>590</v>
      </c>
      <c r="D1640" s="128" t="s">
        <v>590</v>
      </c>
      <c r="E1640" s="583" t="s">
        <v>267</v>
      </c>
      <c r="F1640" s="127" t="s">
        <v>268</v>
      </c>
      <c r="G1640" s="130"/>
      <c r="H1640" s="131"/>
      <c r="I1640" s="143"/>
      <c r="J1640" s="131">
        <f>SUM(J1641:J1642)</f>
        <v>81629.343256975</v>
      </c>
    </row>
    <row r="1641" spans="1:10">
      <c r="A1641" s="584"/>
      <c r="B1641" s="585"/>
      <c r="C1641" s="586" t="s">
        <v>590</v>
      </c>
      <c r="D1641" s="133" t="s">
        <v>623</v>
      </c>
      <c r="E1641" s="587" t="str">
        <f>" - "&amp;'Giá Máy'!E27</f>
        <v xml:space="preserve"> - Máy trộn bê tông 250 lít</v>
      </c>
      <c r="F1641" s="585" t="str">
        <f>'Giá Máy'!F27</f>
        <v>ca</v>
      </c>
      <c r="G1641" s="588">
        <f>PTVT!G790</f>
        <v>9.5000000000000001E-2</v>
      </c>
      <c r="H1641" s="589">
        <f>'Giá Máy'!O27</f>
        <v>326305.98864499998</v>
      </c>
      <c r="I1641" s="603">
        <f>'5.Tiên lượng'!X193</f>
        <v>1</v>
      </c>
      <c r="J1641" s="589">
        <f t="shared" ref="J1641:J1642" si="106">PRODUCT(G1641,H1641,I1641)</f>
        <v>30999.068921274997</v>
      </c>
    </row>
    <row r="1642" spans="1:10">
      <c r="A1642" s="584"/>
      <c r="B1642" s="585"/>
      <c r="C1642" s="586" t="s">
        <v>590</v>
      </c>
      <c r="D1642" s="133" t="s">
        <v>625</v>
      </c>
      <c r="E1642" s="587" t="str">
        <f>" - "&amp;'Giá Máy'!E12</f>
        <v xml:space="preserve"> - Máy đầm dùi 1,5kW</v>
      </c>
      <c r="F1642" s="585" t="str">
        <f>'Giá Máy'!F12</f>
        <v>ca</v>
      </c>
      <c r="G1642" s="588">
        <f>PTVT!G791</f>
        <v>0.18</v>
      </c>
      <c r="H1642" s="589">
        <f>'Giá Máy'!O12</f>
        <v>281279.30186500004</v>
      </c>
      <c r="I1642" s="603">
        <f>'5.Tiên lượng'!X193</f>
        <v>1</v>
      </c>
      <c r="J1642" s="589">
        <f t="shared" si="106"/>
        <v>50630.274335700007</v>
      </c>
    </row>
    <row r="1643" spans="1:10">
      <c r="A1643" s="584"/>
      <c r="B1643" s="585"/>
      <c r="C1643" s="586" t="s">
        <v>590</v>
      </c>
      <c r="D1643" s="133" t="s">
        <v>590</v>
      </c>
      <c r="E1643" s="587" t="s">
        <v>269</v>
      </c>
      <c r="F1643" s="585" t="s">
        <v>270</v>
      </c>
      <c r="G1643" s="590"/>
      <c r="H1643" s="589"/>
      <c r="I1643" s="603"/>
      <c r="J1643" s="589">
        <f>J1632+J1638+J1640</f>
        <v>1886736.8871282071</v>
      </c>
    </row>
    <row r="1644" spans="1:10">
      <c r="A1644" s="584"/>
      <c r="B1644" s="585"/>
      <c r="C1644" s="586" t="s">
        <v>590</v>
      </c>
      <c r="D1644" s="133" t="s">
        <v>590</v>
      </c>
      <c r="E1644" s="587" t="s">
        <v>273</v>
      </c>
      <c r="F1644" s="585" t="s">
        <v>274</v>
      </c>
      <c r="G1644" s="591">
        <f>'Thông tin'!E67</f>
        <v>6.2E-2</v>
      </c>
      <c r="H1644" s="589"/>
      <c r="I1644" s="603"/>
      <c r="J1644" s="589">
        <f>(J1643)*G1644</f>
        <v>116977.68700194884</v>
      </c>
    </row>
    <row r="1645" spans="1:10">
      <c r="A1645" s="584"/>
      <c r="B1645" s="585"/>
      <c r="C1645" s="586" t="s">
        <v>590</v>
      </c>
      <c r="D1645" s="133" t="s">
        <v>590</v>
      </c>
      <c r="E1645" s="587" t="s">
        <v>276</v>
      </c>
      <c r="F1645" s="585" t="s">
        <v>277</v>
      </c>
      <c r="G1645" s="591">
        <f>'Thông tin'!E60</f>
        <v>2.2000000000000002E-2</v>
      </c>
      <c r="H1645" s="589"/>
      <c r="I1645" s="603"/>
      <c r="J1645" s="589">
        <f>(J1643)*G1645</f>
        <v>41508.211516820564</v>
      </c>
    </row>
    <row r="1646" spans="1:10" ht="27.6">
      <c r="A1646" s="584"/>
      <c r="B1646" s="585"/>
      <c r="C1646" s="586" t="s">
        <v>590</v>
      </c>
      <c r="D1646" s="133" t="s">
        <v>590</v>
      </c>
      <c r="E1646" s="587" t="s">
        <v>279</v>
      </c>
      <c r="F1646" s="585" t="s">
        <v>142</v>
      </c>
      <c r="G1646" s="591">
        <f>'Thông tin'!E65</f>
        <v>0.02</v>
      </c>
      <c r="H1646" s="589"/>
      <c r="I1646" s="603"/>
      <c r="J1646" s="589">
        <f>(J1643)*G1646</f>
        <v>37734.737742564146</v>
      </c>
    </row>
    <row r="1647" spans="1:10">
      <c r="A1647" s="584"/>
      <c r="B1647" s="585"/>
      <c r="C1647" s="586" t="s">
        <v>590</v>
      </c>
      <c r="D1647" s="133" t="s">
        <v>590</v>
      </c>
      <c r="E1647" s="587" t="s">
        <v>281</v>
      </c>
      <c r="F1647" s="585" t="s">
        <v>282</v>
      </c>
      <c r="G1647" s="590"/>
      <c r="H1647" s="589"/>
      <c r="I1647" s="603"/>
      <c r="J1647" s="589">
        <f>J1644+J1645+J1646</f>
        <v>196220.63626133357</v>
      </c>
    </row>
    <row r="1648" spans="1:10">
      <c r="A1648" s="584"/>
      <c r="B1648" s="585"/>
      <c r="C1648" s="586" t="s">
        <v>590</v>
      </c>
      <c r="D1648" s="133" t="s">
        <v>590</v>
      </c>
      <c r="E1648" s="587" t="s">
        <v>284</v>
      </c>
      <c r="F1648" s="585" t="s">
        <v>285</v>
      </c>
      <c r="G1648" s="591">
        <f>'Thông tin'!E63</f>
        <v>0.06</v>
      </c>
      <c r="H1648" s="589"/>
      <c r="I1648" s="603"/>
      <c r="J1648" s="589">
        <f>(J1643+J1647)*G1648</f>
        <v>124977.45140337243</v>
      </c>
    </row>
    <row r="1649" spans="1:10">
      <c r="A1649" s="584"/>
      <c r="B1649" s="585"/>
      <c r="C1649" s="586" t="s">
        <v>590</v>
      </c>
      <c r="D1649" s="133" t="s">
        <v>590</v>
      </c>
      <c r="E1649" s="592" t="s">
        <v>287</v>
      </c>
      <c r="F1649" s="593" t="s">
        <v>288</v>
      </c>
      <c r="G1649" s="590"/>
      <c r="H1649" s="589"/>
      <c r="I1649" s="603"/>
      <c r="J1649" s="604">
        <f>J1643+J1647+J1648</f>
        <v>2207934.9747929131</v>
      </c>
    </row>
    <row r="1650" spans="1:10">
      <c r="A1650" s="584"/>
      <c r="B1650" s="585"/>
      <c r="C1650" s="586" t="s">
        <v>590</v>
      </c>
      <c r="D1650" s="133" t="s">
        <v>590</v>
      </c>
      <c r="E1650" s="587" t="s">
        <v>290</v>
      </c>
      <c r="F1650" s="585" t="s">
        <v>291</v>
      </c>
      <c r="G1650" s="591">
        <f>'Thông tin'!E61</f>
        <v>0.1</v>
      </c>
      <c r="H1650" s="589"/>
      <c r="I1650" s="603"/>
      <c r="J1650" s="589">
        <f>(J1649)*G1650</f>
        <v>220793.49747929131</v>
      </c>
    </row>
    <row r="1651" spans="1:10">
      <c r="A1651" s="594"/>
      <c r="B1651" s="595"/>
      <c r="C1651" s="596" t="s">
        <v>590</v>
      </c>
      <c r="D1651" s="137" t="s">
        <v>590</v>
      </c>
      <c r="E1651" s="597" t="s">
        <v>293</v>
      </c>
      <c r="F1651" s="598" t="s">
        <v>19</v>
      </c>
      <c r="G1651" s="599"/>
      <c r="H1651" s="600"/>
      <c r="I1651" s="605"/>
      <c r="J1651" s="606">
        <f>J1649+J1650</f>
        <v>2428728.4722722042</v>
      </c>
    </row>
    <row r="1652" spans="1:10">
      <c r="A1652" s="578"/>
      <c r="B1652" s="579">
        <v>91</v>
      </c>
      <c r="C1652" s="578" t="str">
        <f>'5.Tiên lượng'!C194</f>
        <v>AF.11231</v>
      </c>
      <c r="D1652" s="578" t="str">
        <f>'5.Tiên lượng'!C194</f>
        <v>AF.11231</v>
      </c>
      <c r="E1652" s="580" t="str">
        <f>'5.Tiên lượng'!D194</f>
        <v>BTXM móng cống, M150, đá 2x4, PCB40</v>
      </c>
      <c r="F1652" s="579" t="str">
        <f>'5.Tiên lượng'!E194</f>
        <v>m3</v>
      </c>
      <c r="G1652" s="581"/>
      <c r="H1652" s="582"/>
      <c r="I1652" s="602"/>
      <c r="J1652" s="582"/>
    </row>
    <row r="1653" spans="1:10">
      <c r="A1653" s="126"/>
      <c r="B1653" s="127"/>
      <c r="C1653" s="128" t="s">
        <v>590</v>
      </c>
      <c r="D1653" s="128" t="s">
        <v>590</v>
      </c>
      <c r="E1653" s="583" t="s">
        <v>262</v>
      </c>
      <c r="F1653" s="127" t="s">
        <v>263</v>
      </c>
      <c r="G1653" s="130"/>
      <c r="H1653" s="131"/>
      <c r="I1653" s="143"/>
      <c r="J1653" s="131">
        <f>SUM(J1654:J1658)</f>
        <v>1030429.0629510203</v>
      </c>
    </row>
    <row r="1654" spans="1:10">
      <c r="A1654" s="584"/>
      <c r="B1654" s="585"/>
      <c r="C1654" s="586" t="s">
        <v>590</v>
      </c>
      <c r="D1654" s="133" t="s">
        <v>614</v>
      </c>
      <c r="E1654" s="587" t="str">
        <f>" - "&amp;'Giá VL'!E45</f>
        <v xml:space="preserve"> - Xi măng PCB40</v>
      </c>
      <c r="F1654" s="585" t="str">
        <f>'Giá VL'!F45</f>
        <v>kg</v>
      </c>
      <c r="G1654" s="588">
        <f>PTVT!G794</f>
        <v>210.125</v>
      </c>
      <c r="H1654" s="589">
        <f>'Giá VL'!V45</f>
        <v>1730</v>
      </c>
      <c r="I1654" s="603">
        <f>'5.Tiên lượng'!V194</f>
        <v>1</v>
      </c>
      <c r="J1654" s="589">
        <f t="shared" ref="J1654:J1658" si="107">PRODUCT(G1654,H1654,I1654)</f>
        <v>363516.25</v>
      </c>
    </row>
    <row r="1655" spans="1:10">
      <c r="A1655" s="584"/>
      <c r="B1655" s="585"/>
      <c r="C1655" s="586" t="s">
        <v>590</v>
      </c>
      <c r="D1655" s="133" t="s">
        <v>615</v>
      </c>
      <c r="E1655" s="587" t="str">
        <f>" - "&amp;'Giá VL'!E17</f>
        <v xml:space="preserve"> - Cát vàng</v>
      </c>
      <c r="F1655" s="585" t="str">
        <f>'Giá VL'!F17</f>
        <v>m3</v>
      </c>
      <c r="G1655" s="588">
        <f>PTVT!G795</f>
        <v>0.56272500000000003</v>
      </c>
      <c r="H1655" s="589">
        <f>'Giá VL'!V17</f>
        <v>659026.49526849983</v>
      </c>
      <c r="I1655" s="603">
        <f>'5.Tiên lượng'!V194</f>
        <v>1</v>
      </c>
      <c r="J1655" s="589">
        <f t="shared" si="107"/>
        <v>370850.68454996659</v>
      </c>
    </row>
    <row r="1656" spans="1:10">
      <c r="A1656" s="584"/>
      <c r="B1656" s="585"/>
      <c r="C1656" s="586" t="s">
        <v>590</v>
      </c>
      <c r="D1656" s="133" t="s">
        <v>616</v>
      </c>
      <c r="E1656" s="587" t="str">
        <f>" - "&amp;'Giá VL'!E19</f>
        <v xml:space="preserve"> - Đá 2x4</v>
      </c>
      <c r="F1656" s="585" t="str">
        <f>'Giá VL'!F19</f>
        <v>m3</v>
      </c>
      <c r="G1656" s="588">
        <f>PTVT!G796</f>
        <v>0.91225000000000001</v>
      </c>
      <c r="H1656" s="589">
        <f>'Giá VL'!V19</f>
        <v>310458.0547558713</v>
      </c>
      <c r="I1656" s="603">
        <f>'5.Tiên lượng'!V194</f>
        <v>1</v>
      </c>
      <c r="J1656" s="589">
        <f t="shared" si="107"/>
        <v>283215.36045104358</v>
      </c>
    </row>
    <row r="1657" spans="1:10">
      <c r="A1657" s="584"/>
      <c r="B1657" s="585"/>
      <c r="C1657" s="586" t="s">
        <v>590</v>
      </c>
      <c r="D1657" s="133" t="s">
        <v>617</v>
      </c>
      <c r="E1657" s="587" t="str">
        <f>" - "&amp;'Giá VL'!E33</f>
        <v xml:space="preserve"> - Nước</v>
      </c>
      <c r="F1657" s="585" t="str">
        <f>'Giá VL'!F33</f>
        <v>lít</v>
      </c>
      <c r="G1657" s="588">
        <f>PTVT!G797</f>
        <v>176.3</v>
      </c>
      <c r="H1657" s="589">
        <f>'Giá VL'!V33</f>
        <v>15</v>
      </c>
      <c r="I1657" s="603">
        <f>'5.Tiên lượng'!V194</f>
        <v>1</v>
      </c>
      <c r="J1657" s="589">
        <f t="shared" si="107"/>
        <v>2644.5</v>
      </c>
    </row>
    <row r="1658" spans="1:10">
      <c r="A1658" s="584"/>
      <c r="B1658" s="585"/>
      <c r="C1658" s="586" t="s">
        <v>590</v>
      </c>
      <c r="D1658" s="133" t="s">
        <v>620</v>
      </c>
      <c r="E1658" s="587" t="s">
        <v>621</v>
      </c>
      <c r="F1658" s="585" t="s">
        <v>37</v>
      </c>
      <c r="G1658" s="588">
        <f>PTVT!G798</f>
        <v>1</v>
      </c>
      <c r="H1658" s="589">
        <f>IF('5.Tiên lượng'!V194&lt;&gt;0,SUM(J1654:J1657)/100/'5.Tiên lượng'!V194,0)</f>
        <v>10202.267950010102</v>
      </c>
      <c r="I1658" s="603">
        <f>'5.Tiên lượng'!V194</f>
        <v>1</v>
      </c>
      <c r="J1658" s="589">
        <f t="shared" si="107"/>
        <v>10202.267950010102</v>
      </c>
    </row>
    <row r="1659" spans="1:10">
      <c r="A1659" s="126"/>
      <c r="B1659" s="127"/>
      <c r="C1659" s="128" t="s">
        <v>590</v>
      </c>
      <c r="D1659" s="128" t="s">
        <v>590</v>
      </c>
      <c r="E1659" s="583" t="s">
        <v>265</v>
      </c>
      <c r="F1659" s="127" t="s">
        <v>266</v>
      </c>
      <c r="G1659" s="130"/>
      <c r="H1659" s="131"/>
      <c r="I1659" s="143"/>
      <c r="J1659" s="131">
        <f>SUM(J1660:J1660)</f>
        <v>303696.83999999997</v>
      </c>
    </row>
    <row r="1660" spans="1:10">
      <c r="A1660" s="584"/>
      <c r="B1660" s="585"/>
      <c r="C1660" s="586" t="s">
        <v>590</v>
      </c>
      <c r="D1660" s="133" t="s">
        <v>605</v>
      </c>
      <c r="E1660" s="587" t="str">
        <f>" - "&amp;'Giá NC'!E8</f>
        <v xml:space="preserve"> - Nhân công bậc 3,0/7 - Nhóm 2</v>
      </c>
      <c r="F1660" s="585" t="str">
        <f>'Giá NC'!F8</f>
        <v>công</v>
      </c>
      <c r="G1660" s="588">
        <f>PTVT!G800</f>
        <v>1.23</v>
      </c>
      <c r="H1660" s="589">
        <f>'Giá NC'!K8</f>
        <v>246908</v>
      </c>
      <c r="I1660" s="603">
        <f>'5.Tiên lượng'!W194</f>
        <v>1</v>
      </c>
      <c r="J1660" s="589">
        <f>PRODUCT(G1660,H1660,I1660)</f>
        <v>303696.83999999997</v>
      </c>
    </row>
    <row r="1661" spans="1:10">
      <c r="A1661" s="126"/>
      <c r="B1661" s="127"/>
      <c r="C1661" s="128" t="s">
        <v>590</v>
      </c>
      <c r="D1661" s="128" t="s">
        <v>590</v>
      </c>
      <c r="E1661" s="583" t="s">
        <v>267</v>
      </c>
      <c r="F1661" s="127" t="s">
        <v>268</v>
      </c>
      <c r="G1661" s="130"/>
      <c r="H1661" s="131"/>
      <c r="I1661" s="143"/>
      <c r="J1661" s="131">
        <f>SUM(J1662:J1663)</f>
        <v>56032.926787260003</v>
      </c>
    </row>
    <row r="1662" spans="1:10">
      <c r="A1662" s="584"/>
      <c r="B1662" s="585"/>
      <c r="C1662" s="586" t="s">
        <v>590</v>
      </c>
      <c r="D1662" s="133" t="s">
        <v>623</v>
      </c>
      <c r="E1662" s="587" t="str">
        <f>" - "&amp;'Giá Máy'!E27</f>
        <v xml:space="preserve"> - Máy trộn bê tông 250 lít</v>
      </c>
      <c r="F1662" s="585" t="str">
        <f>'Giá Máy'!F27</f>
        <v>ca</v>
      </c>
      <c r="G1662" s="588">
        <f>PTVT!G802</f>
        <v>9.5000000000000001E-2</v>
      </c>
      <c r="H1662" s="589">
        <f>'Giá Máy'!O27</f>
        <v>326305.98864499998</v>
      </c>
      <c r="I1662" s="603">
        <f>'5.Tiên lượng'!X194</f>
        <v>1</v>
      </c>
      <c r="J1662" s="589">
        <f t="shared" ref="J1662:J1663" si="108">PRODUCT(G1662,H1662,I1662)</f>
        <v>30999.068921274997</v>
      </c>
    </row>
    <row r="1663" spans="1:10">
      <c r="A1663" s="584"/>
      <c r="B1663" s="585"/>
      <c r="C1663" s="586" t="s">
        <v>590</v>
      </c>
      <c r="D1663" s="133" t="s">
        <v>625</v>
      </c>
      <c r="E1663" s="587" t="str">
        <f>" - "&amp;'Giá Máy'!E12</f>
        <v xml:space="preserve"> - Máy đầm dùi 1,5kW</v>
      </c>
      <c r="F1663" s="585" t="str">
        <f>'Giá Máy'!F12</f>
        <v>ca</v>
      </c>
      <c r="G1663" s="588">
        <f>PTVT!G803</f>
        <v>8.8999999999999996E-2</v>
      </c>
      <c r="H1663" s="589">
        <f>'Giá Máy'!O12</f>
        <v>281279.30186500004</v>
      </c>
      <c r="I1663" s="603">
        <f>'5.Tiên lượng'!X194</f>
        <v>1</v>
      </c>
      <c r="J1663" s="589">
        <f t="shared" si="108"/>
        <v>25033.857865985003</v>
      </c>
    </row>
    <row r="1664" spans="1:10">
      <c r="A1664" s="584"/>
      <c r="B1664" s="585"/>
      <c r="C1664" s="586" t="s">
        <v>590</v>
      </c>
      <c r="D1664" s="133" t="s">
        <v>590</v>
      </c>
      <c r="E1664" s="587" t="s">
        <v>269</v>
      </c>
      <c r="F1664" s="585" t="s">
        <v>270</v>
      </c>
      <c r="G1664" s="590"/>
      <c r="H1664" s="589"/>
      <c r="I1664" s="603"/>
      <c r="J1664" s="589">
        <f>J1653+J1659+J1661</f>
        <v>1390158.8297382803</v>
      </c>
    </row>
    <row r="1665" spans="1:10">
      <c r="A1665" s="584"/>
      <c r="B1665" s="585"/>
      <c r="C1665" s="586" t="s">
        <v>590</v>
      </c>
      <c r="D1665" s="133" t="s">
        <v>590</v>
      </c>
      <c r="E1665" s="587" t="s">
        <v>273</v>
      </c>
      <c r="F1665" s="585" t="s">
        <v>274</v>
      </c>
      <c r="G1665" s="591">
        <f>'Thông tin'!E67</f>
        <v>6.2E-2</v>
      </c>
      <c r="H1665" s="589"/>
      <c r="I1665" s="603"/>
      <c r="J1665" s="589">
        <f>(J1664)*G1665</f>
        <v>86189.847443773382</v>
      </c>
    </row>
    <row r="1666" spans="1:10">
      <c r="A1666" s="584"/>
      <c r="B1666" s="585"/>
      <c r="C1666" s="586" t="s">
        <v>590</v>
      </c>
      <c r="D1666" s="133" t="s">
        <v>590</v>
      </c>
      <c r="E1666" s="587" t="s">
        <v>276</v>
      </c>
      <c r="F1666" s="585" t="s">
        <v>277</v>
      </c>
      <c r="G1666" s="591">
        <f>'Thông tin'!E60</f>
        <v>2.2000000000000002E-2</v>
      </c>
      <c r="H1666" s="589"/>
      <c r="I1666" s="603"/>
      <c r="J1666" s="589">
        <f>(J1664)*G1666</f>
        <v>30583.49425424217</v>
      </c>
    </row>
    <row r="1667" spans="1:10" ht="27.6">
      <c r="A1667" s="584"/>
      <c r="B1667" s="585"/>
      <c r="C1667" s="586" t="s">
        <v>590</v>
      </c>
      <c r="D1667" s="133" t="s">
        <v>590</v>
      </c>
      <c r="E1667" s="587" t="s">
        <v>279</v>
      </c>
      <c r="F1667" s="585" t="s">
        <v>142</v>
      </c>
      <c r="G1667" s="591">
        <f>'Thông tin'!E65</f>
        <v>0.02</v>
      </c>
      <c r="H1667" s="589"/>
      <c r="I1667" s="603"/>
      <c r="J1667" s="589">
        <f>(J1664)*G1667</f>
        <v>27803.176594765606</v>
      </c>
    </row>
    <row r="1668" spans="1:10">
      <c r="A1668" s="584"/>
      <c r="B1668" s="585"/>
      <c r="C1668" s="586" t="s">
        <v>590</v>
      </c>
      <c r="D1668" s="133" t="s">
        <v>590</v>
      </c>
      <c r="E1668" s="587" t="s">
        <v>281</v>
      </c>
      <c r="F1668" s="585" t="s">
        <v>282</v>
      </c>
      <c r="G1668" s="590"/>
      <c r="H1668" s="589"/>
      <c r="I1668" s="603"/>
      <c r="J1668" s="589">
        <f>J1665+J1666+J1667</f>
        <v>144576.51829278114</v>
      </c>
    </row>
    <row r="1669" spans="1:10">
      <c r="A1669" s="584"/>
      <c r="B1669" s="585"/>
      <c r="C1669" s="586" t="s">
        <v>590</v>
      </c>
      <c r="D1669" s="133" t="s">
        <v>590</v>
      </c>
      <c r="E1669" s="587" t="s">
        <v>284</v>
      </c>
      <c r="F1669" s="585" t="s">
        <v>285</v>
      </c>
      <c r="G1669" s="591">
        <f>'Thông tin'!E63</f>
        <v>0.06</v>
      </c>
      <c r="H1669" s="589"/>
      <c r="I1669" s="603"/>
      <c r="J1669" s="589">
        <f>(J1664+J1668)*G1669</f>
        <v>92084.120881863681</v>
      </c>
    </row>
    <row r="1670" spans="1:10">
      <c r="A1670" s="584"/>
      <c r="B1670" s="585"/>
      <c r="C1670" s="586" t="s">
        <v>590</v>
      </c>
      <c r="D1670" s="133" t="s">
        <v>590</v>
      </c>
      <c r="E1670" s="592" t="s">
        <v>287</v>
      </c>
      <c r="F1670" s="593" t="s">
        <v>288</v>
      </c>
      <c r="G1670" s="590"/>
      <c r="H1670" s="589"/>
      <c r="I1670" s="603"/>
      <c r="J1670" s="604">
        <f>J1664+J1668+J1669</f>
        <v>1626819.4689129251</v>
      </c>
    </row>
    <row r="1671" spans="1:10">
      <c r="A1671" s="584"/>
      <c r="B1671" s="585"/>
      <c r="C1671" s="586" t="s">
        <v>590</v>
      </c>
      <c r="D1671" s="133" t="s">
        <v>590</v>
      </c>
      <c r="E1671" s="587" t="s">
        <v>290</v>
      </c>
      <c r="F1671" s="585" t="s">
        <v>291</v>
      </c>
      <c r="G1671" s="591">
        <f>'Thông tin'!E61</f>
        <v>0.1</v>
      </c>
      <c r="H1671" s="589"/>
      <c r="I1671" s="603"/>
      <c r="J1671" s="589">
        <f>(J1670)*G1671</f>
        <v>162681.94689129252</v>
      </c>
    </row>
    <row r="1672" spans="1:10">
      <c r="A1672" s="594"/>
      <c r="B1672" s="595"/>
      <c r="C1672" s="596" t="s">
        <v>590</v>
      </c>
      <c r="D1672" s="137" t="s">
        <v>590</v>
      </c>
      <c r="E1672" s="597" t="s">
        <v>293</v>
      </c>
      <c r="F1672" s="598" t="s">
        <v>19</v>
      </c>
      <c r="G1672" s="599"/>
      <c r="H1672" s="600"/>
      <c r="I1672" s="605"/>
      <c r="J1672" s="606">
        <f>J1670+J1671</f>
        <v>1789501.4158042176</v>
      </c>
    </row>
    <row r="1673" spans="1:10" ht="41.4">
      <c r="A1673" s="578"/>
      <c r="B1673" s="579">
        <v>92</v>
      </c>
      <c r="C1673" s="578" t="str">
        <f>'5.Tiên lượng'!C195</f>
        <v>AG.11413</v>
      </c>
      <c r="D1673" s="578" t="str">
        <f>'5.Tiên lượng'!C195</f>
        <v>AG.11413</v>
      </c>
      <c r="E1673" s="580" t="str">
        <f>'5.Tiên lượng'!D195</f>
        <v>BTCT tấm bản mặt, M250, đá 1x2, PCB40 - Đổ bê tông đúc sẵn bằng thủ công (vữa bê tông sản xuất bằng máy trộn)</v>
      </c>
      <c r="F1673" s="579" t="str">
        <f>'5.Tiên lượng'!E195</f>
        <v>m3</v>
      </c>
      <c r="G1673" s="581"/>
      <c r="H1673" s="582"/>
      <c r="I1673" s="602"/>
      <c r="J1673" s="582"/>
    </row>
    <row r="1674" spans="1:10">
      <c r="A1674" s="126"/>
      <c r="B1674" s="127"/>
      <c r="C1674" s="128" t="s">
        <v>590</v>
      </c>
      <c r="D1674" s="128" t="s">
        <v>590</v>
      </c>
      <c r="E1674" s="583" t="s">
        <v>262</v>
      </c>
      <c r="F1674" s="127" t="s">
        <v>263</v>
      </c>
      <c r="G1674" s="130"/>
      <c r="H1674" s="131"/>
      <c r="I1674" s="143"/>
      <c r="J1674" s="131">
        <f>SUM(J1675:J1679)</f>
        <v>1171098.5194719234</v>
      </c>
    </row>
    <row r="1675" spans="1:10">
      <c r="A1675" s="584"/>
      <c r="B1675" s="585"/>
      <c r="C1675" s="586" t="s">
        <v>590</v>
      </c>
      <c r="D1675" s="133" t="s">
        <v>614</v>
      </c>
      <c r="E1675" s="587" t="str">
        <f>" - "&amp;'Giá VL'!E45</f>
        <v xml:space="preserve"> - Xi măng PCB40</v>
      </c>
      <c r="F1675" s="585" t="str">
        <f>'Giá VL'!F45</f>
        <v>kg</v>
      </c>
      <c r="G1675" s="588">
        <f>PTVT!G806</f>
        <v>305.51499999999999</v>
      </c>
      <c r="H1675" s="589">
        <f>'Giá VL'!V45</f>
        <v>1730</v>
      </c>
      <c r="I1675" s="603">
        <f>'5.Tiên lượng'!V195</f>
        <v>1</v>
      </c>
      <c r="J1675" s="589">
        <f t="shared" ref="J1675:J1679" si="109">PRODUCT(G1675,H1675,I1675)</f>
        <v>528540.94999999995</v>
      </c>
    </row>
    <row r="1676" spans="1:10">
      <c r="A1676" s="584"/>
      <c r="B1676" s="585"/>
      <c r="C1676" s="586" t="s">
        <v>590</v>
      </c>
      <c r="D1676" s="133" t="s">
        <v>615</v>
      </c>
      <c r="E1676" s="587" t="str">
        <f>" - "&amp;'Giá VL'!E17</f>
        <v xml:space="preserve"> - Cát vàng</v>
      </c>
      <c r="F1676" s="585" t="str">
        <f>'Giá VL'!F17</f>
        <v>m3</v>
      </c>
      <c r="G1676" s="588">
        <f>PTVT!G807</f>
        <v>0.52678499999999995</v>
      </c>
      <c r="H1676" s="589">
        <f>'Giá VL'!V17</f>
        <v>659026.49526849983</v>
      </c>
      <c r="I1676" s="603">
        <f>'5.Tiên lượng'!V195</f>
        <v>1</v>
      </c>
      <c r="J1676" s="589">
        <f t="shared" si="109"/>
        <v>347165.27231001662</v>
      </c>
    </row>
    <row r="1677" spans="1:10">
      <c r="A1677" s="584"/>
      <c r="B1677" s="585"/>
      <c r="C1677" s="586" t="s">
        <v>590</v>
      </c>
      <c r="D1677" s="133" t="s">
        <v>659</v>
      </c>
      <c r="E1677" s="587" t="str">
        <f>" - "&amp;'Giá VL'!E18</f>
        <v xml:space="preserve"> - Đá 1x2</v>
      </c>
      <c r="F1677" s="585" t="str">
        <f>'Giá VL'!F18</f>
        <v>m3</v>
      </c>
      <c r="G1677" s="588">
        <f>PTVT!G808</f>
        <v>0.86782499999999996</v>
      </c>
      <c r="H1677" s="589">
        <f>'Giá VL'!V18</f>
        <v>330458.0547558713</v>
      </c>
      <c r="I1677" s="603">
        <f>'5.Tiên lượng'!V195</f>
        <v>1</v>
      </c>
      <c r="J1677" s="589">
        <f t="shared" si="109"/>
        <v>286779.76136851398</v>
      </c>
    </row>
    <row r="1678" spans="1:10">
      <c r="A1678" s="584"/>
      <c r="B1678" s="585"/>
      <c r="C1678" s="586" t="s">
        <v>590</v>
      </c>
      <c r="D1678" s="133" t="s">
        <v>617</v>
      </c>
      <c r="E1678" s="587" t="str">
        <f>" - "&amp;'Giá VL'!E33</f>
        <v xml:space="preserve"> - Nước</v>
      </c>
      <c r="F1678" s="585" t="str">
        <f>'Giá VL'!F33</f>
        <v>lít</v>
      </c>
      <c r="G1678" s="588">
        <f>PTVT!G809</f>
        <v>185.745</v>
      </c>
      <c r="H1678" s="589">
        <f>'Giá VL'!V33</f>
        <v>15</v>
      </c>
      <c r="I1678" s="603">
        <f>'5.Tiên lượng'!V195</f>
        <v>1</v>
      </c>
      <c r="J1678" s="589">
        <f t="shared" si="109"/>
        <v>2786.1750000000002</v>
      </c>
    </row>
    <row r="1679" spans="1:10">
      <c r="A1679" s="584"/>
      <c r="B1679" s="585"/>
      <c r="C1679" s="586" t="s">
        <v>590</v>
      </c>
      <c r="D1679" s="133" t="s">
        <v>620</v>
      </c>
      <c r="E1679" s="587" t="s">
        <v>621</v>
      </c>
      <c r="F1679" s="585" t="s">
        <v>37</v>
      </c>
      <c r="G1679" s="588">
        <f>PTVT!G810</f>
        <v>0.5</v>
      </c>
      <c r="H1679" s="589">
        <f>IF('5.Tiên lượng'!V195&lt;&gt;0,SUM(J1675:J1678)/100/'5.Tiên lượng'!V195,0)</f>
        <v>11652.721586785306</v>
      </c>
      <c r="I1679" s="603">
        <f>'5.Tiên lượng'!V195</f>
        <v>1</v>
      </c>
      <c r="J1679" s="589">
        <f t="shared" si="109"/>
        <v>5826.3607933926532</v>
      </c>
    </row>
    <row r="1680" spans="1:10">
      <c r="A1680" s="126"/>
      <c r="B1680" s="127"/>
      <c r="C1680" s="128" t="s">
        <v>590</v>
      </c>
      <c r="D1680" s="128" t="s">
        <v>590</v>
      </c>
      <c r="E1680" s="583" t="s">
        <v>265</v>
      </c>
      <c r="F1680" s="127" t="s">
        <v>266</v>
      </c>
      <c r="G1680" s="130"/>
      <c r="H1680" s="131"/>
      <c r="I1680" s="143"/>
      <c r="J1680" s="131">
        <f>SUM(J1681:J1681)</f>
        <v>476532.44</v>
      </c>
    </row>
    <row r="1681" spans="1:10">
      <c r="A1681" s="584"/>
      <c r="B1681" s="585"/>
      <c r="C1681" s="586" t="s">
        <v>590</v>
      </c>
      <c r="D1681" s="133" t="s">
        <v>605</v>
      </c>
      <c r="E1681" s="587" t="str">
        <f>" - "&amp;'Giá NC'!E8</f>
        <v xml:space="preserve"> - Nhân công bậc 3,0/7 - Nhóm 2</v>
      </c>
      <c r="F1681" s="585" t="str">
        <f>'Giá NC'!F8</f>
        <v>công</v>
      </c>
      <c r="G1681" s="588">
        <f>PTVT!G812</f>
        <v>1.93</v>
      </c>
      <c r="H1681" s="589">
        <f>'Giá NC'!K8</f>
        <v>246908</v>
      </c>
      <c r="I1681" s="603">
        <f>'5.Tiên lượng'!W195</f>
        <v>1</v>
      </c>
      <c r="J1681" s="589">
        <f>PRODUCT(G1681,H1681,I1681)</f>
        <v>476532.44</v>
      </c>
    </row>
    <row r="1682" spans="1:10">
      <c r="A1682" s="126"/>
      <c r="B1682" s="127"/>
      <c r="C1682" s="128" t="s">
        <v>590</v>
      </c>
      <c r="D1682" s="128" t="s">
        <v>590</v>
      </c>
      <c r="E1682" s="583" t="s">
        <v>267</v>
      </c>
      <c r="F1682" s="127" t="s">
        <v>268</v>
      </c>
      <c r="G1682" s="130"/>
      <c r="H1682" s="131"/>
      <c r="I1682" s="143"/>
      <c r="J1682" s="131">
        <f>SUM(J1683:J1683)</f>
        <v>30999.068921274997</v>
      </c>
    </row>
    <row r="1683" spans="1:10">
      <c r="A1683" s="584"/>
      <c r="B1683" s="585"/>
      <c r="C1683" s="586" t="s">
        <v>590</v>
      </c>
      <c r="D1683" s="133" t="s">
        <v>623</v>
      </c>
      <c r="E1683" s="587" t="str">
        <f>" - "&amp;'Giá Máy'!E27</f>
        <v xml:space="preserve"> - Máy trộn bê tông 250 lít</v>
      </c>
      <c r="F1683" s="585" t="str">
        <f>'Giá Máy'!F27</f>
        <v>ca</v>
      </c>
      <c r="G1683" s="588">
        <f>PTVT!G814</f>
        <v>9.5000000000000001E-2</v>
      </c>
      <c r="H1683" s="589">
        <f>'Giá Máy'!O27</f>
        <v>326305.98864499998</v>
      </c>
      <c r="I1683" s="603">
        <f>'5.Tiên lượng'!X195</f>
        <v>1</v>
      </c>
      <c r="J1683" s="589">
        <f>PRODUCT(G1683,H1683,I1683)</f>
        <v>30999.068921274997</v>
      </c>
    </row>
    <row r="1684" spans="1:10">
      <c r="A1684" s="584"/>
      <c r="B1684" s="585"/>
      <c r="C1684" s="586" t="s">
        <v>590</v>
      </c>
      <c r="D1684" s="133" t="s">
        <v>590</v>
      </c>
      <c r="E1684" s="587" t="s">
        <v>269</v>
      </c>
      <c r="F1684" s="585" t="s">
        <v>270</v>
      </c>
      <c r="G1684" s="590"/>
      <c r="H1684" s="589"/>
      <c r="I1684" s="603"/>
      <c r="J1684" s="589">
        <f>J1674+J1680+J1682</f>
        <v>1678630.0283931983</v>
      </c>
    </row>
    <row r="1685" spans="1:10">
      <c r="A1685" s="584"/>
      <c r="B1685" s="585"/>
      <c r="C1685" s="586" t="s">
        <v>590</v>
      </c>
      <c r="D1685" s="133" t="s">
        <v>590</v>
      </c>
      <c r="E1685" s="587" t="s">
        <v>273</v>
      </c>
      <c r="F1685" s="585" t="s">
        <v>274</v>
      </c>
      <c r="G1685" s="591">
        <f>'Thông tin'!E67</f>
        <v>6.2E-2</v>
      </c>
      <c r="H1685" s="589"/>
      <c r="I1685" s="603"/>
      <c r="J1685" s="589">
        <f>(J1684)*G1685</f>
        <v>104075.06176037829</v>
      </c>
    </row>
    <row r="1686" spans="1:10">
      <c r="A1686" s="584"/>
      <c r="B1686" s="585"/>
      <c r="C1686" s="586" t="s">
        <v>590</v>
      </c>
      <c r="D1686" s="133" t="s">
        <v>590</v>
      </c>
      <c r="E1686" s="587" t="s">
        <v>276</v>
      </c>
      <c r="F1686" s="585" t="s">
        <v>277</v>
      </c>
      <c r="G1686" s="591">
        <f>'Thông tin'!E60</f>
        <v>2.2000000000000002E-2</v>
      </c>
      <c r="H1686" s="589"/>
      <c r="I1686" s="603"/>
      <c r="J1686" s="589">
        <f>(J1684)*G1686</f>
        <v>36929.860624650362</v>
      </c>
    </row>
    <row r="1687" spans="1:10" ht="27.6">
      <c r="A1687" s="584"/>
      <c r="B1687" s="585"/>
      <c r="C1687" s="586" t="s">
        <v>590</v>
      </c>
      <c r="D1687" s="133" t="s">
        <v>590</v>
      </c>
      <c r="E1687" s="587" t="s">
        <v>279</v>
      </c>
      <c r="F1687" s="585" t="s">
        <v>142</v>
      </c>
      <c r="G1687" s="591">
        <f>'Thông tin'!E65</f>
        <v>0.02</v>
      </c>
      <c r="H1687" s="589"/>
      <c r="I1687" s="603"/>
      <c r="J1687" s="589">
        <f>(J1684)*G1687</f>
        <v>33572.600567863963</v>
      </c>
    </row>
    <row r="1688" spans="1:10">
      <c r="A1688" s="584"/>
      <c r="B1688" s="585"/>
      <c r="C1688" s="586" t="s">
        <v>590</v>
      </c>
      <c r="D1688" s="133" t="s">
        <v>590</v>
      </c>
      <c r="E1688" s="587" t="s">
        <v>281</v>
      </c>
      <c r="F1688" s="585" t="s">
        <v>282</v>
      </c>
      <c r="G1688" s="590"/>
      <c r="H1688" s="589"/>
      <c r="I1688" s="603"/>
      <c r="J1688" s="589">
        <f>J1685+J1686+J1687</f>
        <v>174577.52295289261</v>
      </c>
    </row>
    <row r="1689" spans="1:10">
      <c r="A1689" s="584"/>
      <c r="B1689" s="585"/>
      <c r="C1689" s="586" t="s">
        <v>590</v>
      </c>
      <c r="D1689" s="133" t="s">
        <v>590</v>
      </c>
      <c r="E1689" s="587" t="s">
        <v>284</v>
      </c>
      <c r="F1689" s="585" t="s">
        <v>285</v>
      </c>
      <c r="G1689" s="591">
        <f>'Thông tin'!E63</f>
        <v>0.06</v>
      </c>
      <c r="H1689" s="589"/>
      <c r="I1689" s="603"/>
      <c r="J1689" s="589">
        <f>(J1684+J1688)*G1689</f>
        <v>111192.45308076545</v>
      </c>
    </row>
    <row r="1690" spans="1:10">
      <c r="A1690" s="584"/>
      <c r="B1690" s="585"/>
      <c r="C1690" s="586" t="s">
        <v>590</v>
      </c>
      <c r="D1690" s="133" t="s">
        <v>590</v>
      </c>
      <c r="E1690" s="592" t="s">
        <v>287</v>
      </c>
      <c r="F1690" s="593" t="s">
        <v>288</v>
      </c>
      <c r="G1690" s="590"/>
      <c r="H1690" s="589"/>
      <c r="I1690" s="603"/>
      <c r="J1690" s="604">
        <f>J1684+J1688+J1689</f>
        <v>1964400.0044268563</v>
      </c>
    </row>
    <row r="1691" spans="1:10">
      <c r="A1691" s="584"/>
      <c r="B1691" s="585"/>
      <c r="C1691" s="586" t="s">
        <v>590</v>
      </c>
      <c r="D1691" s="133" t="s">
        <v>590</v>
      </c>
      <c r="E1691" s="587" t="s">
        <v>290</v>
      </c>
      <c r="F1691" s="585" t="s">
        <v>291</v>
      </c>
      <c r="G1691" s="591">
        <f>'Thông tin'!E61</f>
        <v>0.1</v>
      </c>
      <c r="H1691" s="589"/>
      <c r="I1691" s="603"/>
      <c r="J1691" s="589">
        <f>(J1690)*G1691</f>
        <v>196440.00044268565</v>
      </c>
    </row>
    <row r="1692" spans="1:10">
      <c r="A1692" s="594"/>
      <c r="B1692" s="595"/>
      <c r="C1692" s="596" t="s">
        <v>590</v>
      </c>
      <c r="D1692" s="137" t="s">
        <v>590</v>
      </c>
      <c r="E1692" s="597" t="s">
        <v>293</v>
      </c>
      <c r="F1692" s="598" t="s">
        <v>19</v>
      </c>
      <c r="G1692" s="599"/>
      <c r="H1692" s="600"/>
      <c r="I1692" s="605"/>
      <c r="J1692" s="606">
        <f>J1690+J1691</f>
        <v>2160840.0048695421</v>
      </c>
    </row>
    <row r="1693" spans="1:10">
      <c r="A1693" s="578"/>
      <c r="B1693" s="579">
        <v>93</v>
      </c>
      <c r="C1693" s="578" t="str">
        <f>'5.Tiên lượng'!C196</f>
        <v>AG.41610</v>
      </c>
      <c r="D1693" s="578" t="str">
        <f>'5.Tiên lượng'!C196</f>
        <v>AG.41610</v>
      </c>
      <c r="E1693" s="580" t="str">
        <f>'5.Tiên lượng'!D196</f>
        <v>Lắp đặt tấm bản mặt bằng cần cẩu</v>
      </c>
      <c r="F1693" s="579" t="str">
        <f>'5.Tiên lượng'!E196</f>
        <v>1cấu kiện</v>
      </c>
      <c r="G1693" s="581"/>
      <c r="H1693" s="582"/>
      <c r="I1693" s="602"/>
      <c r="J1693" s="582"/>
    </row>
    <row r="1694" spans="1:10">
      <c r="A1694" s="126"/>
      <c r="B1694" s="127"/>
      <c r="C1694" s="128" t="s">
        <v>590</v>
      </c>
      <c r="D1694" s="128" t="s">
        <v>590</v>
      </c>
      <c r="E1694" s="583" t="s">
        <v>262</v>
      </c>
      <c r="F1694" s="127" t="s">
        <v>263</v>
      </c>
      <c r="G1694" s="130"/>
      <c r="H1694" s="131"/>
      <c r="I1694" s="143"/>
      <c r="J1694" s="131">
        <v>0</v>
      </c>
    </row>
    <row r="1695" spans="1:10">
      <c r="A1695" s="126"/>
      <c r="B1695" s="127"/>
      <c r="C1695" s="128" t="s">
        <v>590</v>
      </c>
      <c r="D1695" s="128" t="s">
        <v>590</v>
      </c>
      <c r="E1695" s="583" t="s">
        <v>265</v>
      </c>
      <c r="F1695" s="127" t="s">
        <v>266</v>
      </c>
      <c r="G1695" s="130"/>
      <c r="H1695" s="131"/>
      <c r="I1695" s="143"/>
      <c r="J1695" s="131">
        <f>SUM(J1696:J1696)</f>
        <v>14814.48</v>
      </c>
    </row>
    <row r="1696" spans="1:10">
      <c r="A1696" s="584"/>
      <c r="B1696" s="585"/>
      <c r="C1696" s="586" t="s">
        <v>590</v>
      </c>
      <c r="D1696" s="133" t="s">
        <v>605</v>
      </c>
      <c r="E1696" s="587" t="str">
        <f>" - "&amp;'Giá NC'!E8</f>
        <v xml:space="preserve"> - Nhân công bậc 3,0/7 - Nhóm 2</v>
      </c>
      <c r="F1696" s="585" t="str">
        <f>'Giá NC'!F8</f>
        <v>công</v>
      </c>
      <c r="G1696" s="588">
        <f>PTVT!G817</f>
        <v>0.03</v>
      </c>
      <c r="H1696" s="589">
        <f>'Giá NC'!K8</f>
        <v>246908</v>
      </c>
      <c r="I1696" s="603">
        <f>'5.Tiên lượng'!W196</f>
        <v>2</v>
      </c>
      <c r="J1696" s="589">
        <f>PRODUCT(G1696,H1696,I1696)</f>
        <v>14814.48</v>
      </c>
    </row>
    <row r="1697" spans="1:10">
      <c r="A1697" s="126"/>
      <c r="B1697" s="127"/>
      <c r="C1697" s="128" t="s">
        <v>590</v>
      </c>
      <c r="D1697" s="128" t="s">
        <v>590</v>
      </c>
      <c r="E1697" s="583" t="s">
        <v>267</v>
      </c>
      <c r="F1697" s="127" t="s">
        <v>268</v>
      </c>
      <c r="G1697" s="130"/>
      <c r="H1697" s="131"/>
      <c r="I1697" s="143"/>
      <c r="J1697" s="131">
        <f>SUM(J1698:J1698)</f>
        <v>48354.300999999992</v>
      </c>
    </row>
    <row r="1698" spans="1:10">
      <c r="A1698" s="584"/>
      <c r="B1698" s="585"/>
      <c r="C1698" s="586" t="s">
        <v>590</v>
      </c>
      <c r="D1698" s="133" t="s">
        <v>665</v>
      </c>
      <c r="E1698" s="587" t="str">
        <f>" - "&amp;'Giá Máy'!E6</f>
        <v xml:space="preserve"> - Cần cẩu bánh hơi 6T</v>
      </c>
      <c r="F1698" s="585" t="str">
        <f>'Giá Máy'!F6</f>
        <v>ca</v>
      </c>
      <c r="G1698" s="588">
        <f>PTVT!G819</f>
        <v>1.4999999999999999E-2</v>
      </c>
      <c r="H1698" s="589">
        <f>'Giá Máy'!O6</f>
        <v>1611810.0333333332</v>
      </c>
      <c r="I1698" s="603">
        <f>'5.Tiên lượng'!X196</f>
        <v>2</v>
      </c>
      <c r="J1698" s="589">
        <f>PRODUCT(G1698,H1698,I1698)</f>
        <v>48354.300999999992</v>
      </c>
    </row>
    <row r="1699" spans="1:10">
      <c r="A1699" s="584"/>
      <c r="B1699" s="585"/>
      <c r="C1699" s="586" t="s">
        <v>590</v>
      </c>
      <c r="D1699" s="133" t="s">
        <v>590</v>
      </c>
      <c r="E1699" s="587" t="s">
        <v>269</v>
      </c>
      <c r="F1699" s="585" t="s">
        <v>270</v>
      </c>
      <c r="G1699" s="590"/>
      <c r="H1699" s="589"/>
      <c r="I1699" s="603"/>
      <c r="J1699" s="589">
        <f>J1694+J1695+J1697</f>
        <v>63168.780999999988</v>
      </c>
    </row>
    <row r="1700" spans="1:10">
      <c r="A1700" s="584"/>
      <c r="B1700" s="585"/>
      <c r="C1700" s="586" t="s">
        <v>590</v>
      </c>
      <c r="D1700" s="133" t="s">
        <v>590</v>
      </c>
      <c r="E1700" s="587" t="s">
        <v>273</v>
      </c>
      <c r="F1700" s="585" t="s">
        <v>274</v>
      </c>
      <c r="G1700" s="591">
        <f>'Thông tin'!E67</f>
        <v>6.2E-2</v>
      </c>
      <c r="H1700" s="589"/>
      <c r="I1700" s="603"/>
      <c r="J1700" s="589">
        <f>(J1699)*G1700</f>
        <v>3916.4644219999991</v>
      </c>
    </row>
    <row r="1701" spans="1:10">
      <c r="A1701" s="584"/>
      <c r="B1701" s="585"/>
      <c r="C1701" s="586" t="s">
        <v>590</v>
      </c>
      <c r="D1701" s="133" t="s">
        <v>590</v>
      </c>
      <c r="E1701" s="587" t="s">
        <v>276</v>
      </c>
      <c r="F1701" s="585" t="s">
        <v>277</v>
      </c>
      <c r="G1701" s="591">
        <f>'Thông tin'!E60</f>
        <v>2.2000000000000002E-2</v>
      </c>
      <c r="H1701" s="589"/>
      <c r="I1701" s="603"/>
      <c r="J1701" s="589">
        <f>(J1699)*G1701</f>
        <v>1389.713182</v>
      </c>
    </row>
    <row r="1702" spans="1:10" ht="27.6">
      <c r="A1702" s="584"/>
      <c r="B1702" s="585"/>
      <c r="C1702" s="586" t="s">
        <v>590</v>
      </c>
      <c r="D1702" s="133" t="s">
        <v>590</v>
      </c>
      <c r="E1702" s="587" t="s">
        <v>279</v>
      </c>
      <c r="F1702" s="585" t="s">
        <v>142</v>
      </c>
      <c r="G1702" s="591">
        <f>'Thông tin'!E65</f>
        <v>0.02</v>
      </c>
      <c r="H1702" s="589"/>
      <c r="I1702" s="603"/>
      <c r="J1702" s="589">
        <f>(J1699)*G1702</f>
        <v>1263.3756199999998</v>
      </c>
    </row>
    <row r="1703" spans="1:10">
      <c r="A1703" s="584"/>
      <c r="B1703" s="585"/>
      <c r="C1703" s="586" t="s">
        <v>590</v>
      </c>
      <c r="D1703" s="133" t="s">
        <v>590</v>
      </c>
      <c r="E1703" s="587" t="s">
        <v>281</v>
      </c>
      <c r="F1703" s="585" t="s">
        <v>282</v>
      </c>
      <c r="G1703" s="590"/>
      <c r="H1703" s="589"/>
      <c r="I1703" s="603"/>
      <c r="J1703" s="589">
        <f>J1700+J1701+J1702</f>
        <v>6569.5532239999984</v>
      </c>
    </row>
    <row r="1704" spans="1:10">
      <c r="A1704" s="584"/>
      <c r="B1704" s="585"/>
      <c r="C1704" s="586" t="s">
        <v>590</v>
      </c>
      <c r="D1704" s="133" t="s">
        <v>590</v>
      </c>
      <c r="E1704" s="587" t="s">
        <v>284</v>
      </c>
      <c r="F1704" s="585" t="s">
        <v>285</v>
      </c>
      <c r="G1704" s="591">
        <f>'Thông tin'!E63</f>
        <v>0.06</v>
      </c>
      <c r="H1704" s="589"/>
      <c r="I1704" s="603"/>
      <c r="J1704" s="589">
        <f>(J1699+J1703)*G1704</f>
        <v>4184.3000534399989</v>
      </c>
    </row>
    <row r="1705" spans="1:10">
      <c r="A1705" s="584"/>
      <c r="B1705" s="585"/>
      <c r="C1705" s="586" t="s">
        <v>590</v>
      </c>
      <c r="D1705" s="133" t="s">
        <v>590</v>
      </c>
      <c r="E1705" s="592" t="s">
        <v>287</v>
      </c>
      <c r="F1705" s="593" t="s">
        <v>288</v>
      </c>
      <c r="G1705" s="590"/>
      <c r="H1705" s="589"/>
      <c r="I1705" s="603"/>
      <c r="J1705" s="604">
        <f>J1699+J1703+J1704</f>
        <v>73922.634277439996</v>
      </c>
    </row>
    <row r="1706" spans="1:10">
      <c r="A1706" s="584"/>
      <c r="B1706" s="585"/>
      <c r="C1706" s="586" t="s">
        <v>590</v>
      </c>
      <c r="D1706" s="133" t="s">
        <v>590</v>
      </c>
      <c r="E1706" s="587" t="s">
        <v>290</v>
      </c>
      <c r="F1706" s="585" t="s">
        <v>291</v>
      </c>
      <c r="G1706" s="591">
        <f>'Thông tin'!E61</f>
        <v>0.1</v>
      </c>
      <c r="H1706" s="589"/>
      <c r="I1706" s="603"/>
      <c r="J1706" s="589">
        <f>(J1705)*G1706</f>
        <v>7392.2634277440002</v>
      </c>
    </row>
    <row r="1707" spans="1:10">
      <c r="A1707" s="594"/>
      <c r="B1707" s="595"/>
      <c r="C1707" s="596" t="s">
        <v>590</v>
      </c>
      <c r="D1707" s="137" t="s">
        <v>590</v>
      </c>
      <c r="E1707" s="597" t="s">
        <v>293</v>
      </c>
      <c r="F1707" s="598" t="s">
        <v>19</v>
      </c>
      <c r="G1707" s="599"/>
      <c r="H1707" s="600"/>
      <c r="I1707" s="605"/>
      <c r="J1707" s="606">
        <f>J1705+J1706</f>
        <v>81314.89770518399</v>
      </c>
    </row>
    <row r="1708" spans="1:10">
      <c r="A1708" s="578"/>
      <c r="B1708" s="579">
        <v>94</v>
      </c>
      <c r="C1708" s="578" t="str">
        <f>'5.Tiên lượng'!C197</f>
        <v>AF.14232</v>
      </c>
      <c r="D1708" s="578" t="str">
        <f>'5.Tiên lượng'!C197</f>
        <v>AF.14232</v>
      </c>
      <c r="E1708" s="580" t="str">
        <f>'5.Tiên lượng'!D197</f>
        <v>BTCT mũ mố, M200, đá 2x4, PCB40</v>
      </c>
      <c r="F1708" s="579" t="str">
        <f>'5.Tiên lượng'!E197</f>
        <v>m3</v>
      </c>
      <c r="G1708" s="581"/>
      <c r="H1708" s="582"/>
      <c r="I1708" s="602"/>
      <c r="J1708" s="582"/>
    </row>
    <row r="1709" spans="1:10">
      <c r="A1709" s="126"/>
      <c r="B1709" s="127"/>
      <c r="C1709" s="128" t="s">
        <v>590</v>
      </c>
      <c r="D1709" s="128" t="s">
        <v>590</v>
      </c>
      <c r="E1709" s="583" t="s">
        <v>262</v>
      </c>
      <c r="F1709" s="127" t="s">
        <v>263</v>
      </c>
      <c r="G1709" s="130"/>
      <c r="H1709" s="131"/>
      <c r="I1709" s="143"/>
      <c r="J1709" s="131">
        <f>SUM(J1710:J1714)</f>
        <v>1100441.6140463396</v>
      </c>
    </row>
    <row r="1710" spans="1:10">
      <c r="A1710" s="584"/>
      <c r="B1710" s="585"/>
      <c r="C1710" s="586" t="s">
        <v>590</v>
      </c>
      <c r="D1710" s="133" t="s">
        <v>614</v>
      </c>
      <c r="E1710" s="587" t="str">
        <f>" - "&amp;'Giá VL'!E45</f>
        <v xml:space="preserve"> - Xi măng PCB40</v>
      </c>
      <c r="F1710" s="585" t="str">
        <f>'Giá VL'!F45</f>
        <v>kg</v>
      </c>
      <c r="G1710" s="588">
        <f>PTVT!G822</f>
        <v>250.1</v>
      </c>
      <c r="H1710" s="589">
        <f>'Giá VL'!V45</f>
        <v>1730</v>
      </c>
      <c r="I1710" s="603">
        <f>'5.Tiên lượng'!V197</f>
        <v>1</v>
      </c>
      <c r="J1710" s="589">
        <f t="shared" ref="J1710:J1714" si="110">PRODUCT(G1710,H1710,I1710)</f>
        <v>432673</v>
      </c>
    </row>
    <row r="1711" spans="1:10">
      <c r="A1711" s="584"/>
      <c r="B1711" s="585"/>
      <c r="C1711" s="586" t="s">
        <v>590</v>
      </c>
      <c r="D1711" s="133" t="s">
        <v>615</v>
      </c>
      <c r="E1711" s="587" t="str">
        <f>" - "&amp;'Giá VL'!E17</f>
        <v xml:space="preserve"> - Cát vàng</v>
      </c>
      <c r="F1711" s="585" t="str">
        <f>'Giá VL'!F17</f>
        <v>m3</v>
      </c>
      <c r="G1711" s="588">
        <f>PTVT!G823</f>
        <v>0.55349999999999999</v>
      </c>
      <c r="H1711" s="589">
        <f>'Giá VL'!V17</f>
        <v>659026.49526849983</v>
      </c>
      <c r="I1711" s="603">
        <f>'5.Tiên lượng'!V197</f>
        <v>1</v>
      </c>
      <c r="J1711" s="589">
        <f t="shared" si="110"/>
        <v>364771.16513111466</v>
      </c>
    </row>
    <row r="1712" spans="1:10">
      <c r="A1712" s="584"/>
      <c r="B1712" s="585"/>
      <c r="C1712" s="586" t="s">
        <v>590</v>
      </c>
      <c r="D1712" s="133" t="s">
        <v>616</v>
      </c>
      <c r="E1712" s="587" t="str">
        <f>" - "&amp;'Giá VL'!E19</f>
        <v xml:space="preserve"> - Đá 2x4</v>
      </c>
      <c r="F1712" s="585" t="str">
        <f>'Giá VL'!F19</f>
        <v>m3</v>
      </c>
      <c r="G1712" s="588">
        <f>PTVT!G824</f>
        <v>0.89790000000000003</v>
      </c>
      <c r="H1712" s="589">
        <f>'Giá VL'!V19</f>
        <v>310458.0547558713</v>
      </c>
      <c r="I1712" s="603">
        <f>'5.Tiên lượng'!V197</f>
        <v>1</v>
      </c>
      <c r="J1712" s="589">
        <f t="shared" si="110"/>
        <v>278760.28736529686</v>
      </c>
    </row>
    <row r="1713" spans="1:10">
      <c r="A1713" s="584"/>
      <c r="B1713" s="585"/>
      <c r="C1713" s="586" t="s">
        <v>590</v>
      </c>
      <c r="D1713" s="133" t="s">
        <v>617</v>
      </c>
      <c r="E1713" s="587" t="str">
        <f>" - "&amp;'Giá VL'!E33</f>
        <v xml:space="preserve"> - Nước</v>
      </c>
      <c r="F1713" s="585" t="str">
        <f>'Giá VL'!F33</f>
        <v>lít</v>
      </c>
      <c r="G1713" s="588">
        <f>PTVT!G825</f>
        <v>177.32499999999999</v>
      </c>
      <c r="H1713" s="589">
        <f>'Giá VL'!V33</f>
        <v>15</v>
      </c>
      <c r="I1713" s="603">
        <f>'5.Tiên lượng'!V197</f>
        <v>1</v>
      </c>
      <c r="J1713" s="589">
        <f t="shared" si="110"/>
        <v>2659.875</v>
      </c>
    </row>
    <row r="1714" spans="1:10">
      <c r="A1714" s="584"/>
      <c r="B1714" s="585"/>
      <c r="C1714" s="586" t="s">
        <v>590</v>
      </c>
      <c r="D1714" s="133" t="s">
        <v>620</v>
      </c>
      <c r="E1714" s="587" t="s">
        <v>621</v>
      </c>
      <c r="F1714" s="585" t="s">
        <v>37</v>
      </c>
      <c r="G1714" s="588">
        <f>PTVT!G826</f>
        <v>2</v>
      </c>
      <c r="H1714" s="589">
        <f>IF('5.Tiên lượng'!V197&lt;&gt;0,SUM(J1710:J1713)/100/'5.Tiên lượng'!V197,0)</f>
        <v>10788.643274964115</v>
      </c>
      <c r="I1714" s="603">
        <f>'5.Tiên lượng'!V197</f>
        <v>1</v>
      </c>
      <c r="J1714" s="589">
        <f t="shared" si="110"/>
        <v>21577.286549928231</v>
      </c>
    </row>
    <row r="1715" spans="1:10">
      <c r="A1715" s="126"/>
      <c r="B1715" s="127"/>
      <c r="C1715" s="128" t="s">
        <v>590</v>
      </c>
      <c r="D1715" s="128" t="s">
        <v>590</v>
      </c>
      <c r="E1715" s="583" t="s">
        <v>265</v>
      </c>
      <c r="F1715" s="127" t="s">
        <v>266</v>
      </c>
      <c r="G1715" s="130"/>
      <c r="H1715" s="131"/>
      <c r="I1715" s="143"/>
      <c r="J1715" s="131">
        <f>SUM(J1716:J1716)</f>
        <v>696600</v>
      </c>
    </row>
    <row r="1716" spans="1:10">
      <c r="A1716" s="584"/>
      <c r="B1716" s="585"/>
      <c r="C1716" s="586" t="s">
        <v>590</v>
      </c>
      <c r="D1716" s="133" t="s">
        <v>622</v>
      </c>
      <c r="E1716" s="587" t="str">
        <f>" - "&amp;'Giá NC'!E9</f>
        <v xml:space="preserve"> - Nhân công bậc 3,5/7 - Nhóm 2</v>
      </c>
      <c r="F1716" s="585" t="str">
        <f>'Giá NC'!F9</f>
        <v>công</v>
      </c>
      <c r="G1716" s="588">
        <f>PTVT!G828</f>
        <v>2.58</v>
      </c>
      <c r="H1716" s="589">
        <f>'Giá NC'!K9</f>
        <v>270000</v>
      </c>
      <c r="I1716" s="603">
        <f>'5.Tiên lượng'!W197</f>
        <v>1</v>
      </c>
      <c r="J1716" s="589">
        <f>PRODUCT(G1716,H1716,I1716)</f>
        <v>696600</v>
      </c>
    </row>
    <row r="1717" spans="1:10">
      <c r="A1717" s="126"/>
      <c r="B1717" s="127"/>
      <c r="C1717" s="128" t="s">
        <v>590</v>
      </c>
      <c r="D1717" s="128" t="s">
        <v>590</v>
      </c>
      <c r="E1717" s="583" t="s">
        <v>267</v>
      </c>
      <c r="F1717" s="127" t="s">
        <v>268</v>
      </c>
      <c r="G1717" s="130"/>
      <c r="H1717" s="131"/>
      <c r="I1717" s="143"/>
      <c r="J1717" s="131">
        <f>SUM(J1718:J1721)</f>
        <v>149696.7062941326</v>
      </c>
    </row>
    <row r="1718" spans="1:10">
      <c r="A1718" s="584"/>
      <c r="B1718" s="585"/>
      <c r="C1718" s="586" t="s">
        <v>590</v>
      </c>
      <c r="D1718" s="133" t="s">
        <v>623</v>
      </c>
      <c r="E1718" s="587" t="str">
        <f>" - "&amp;'Giá Máy'!E27</f>
        <v xml:space="preserve"> - Máy trộn bê tông 250 lít</v>
      </c>
      <c r="F1718" s="585" t="str">
        <f>'Giá Máy'!F27</f>
        <v>ca</v>
      </c>
      <c r="G1718" s="588">
        <f>PTVT!G830</f>
        <v>9.5000000000000001E-2</v>
      </c>
      <c r="H1718" s="589">
        <f>'Giá Máy'!O27</f>
        <v>326305.98864499998</v>
      </c>
      <c r="I1718" s="603">
        <f>'5.Tiên lượng'!X197</f>
        <v>1</v>
      </c>
      <c r="J1718" s="589">
        <f t="shared" ref="J1718:J1721" si="111">PRODUCT(G1718,H1718,I1718)</f>
        <v>30999.068921274997</v>
      </c>
    </row>
    <row r="1719" spans="1:10">
      <c r="A1719" s="584"/>
      <c r="B1719" s="585"/>
      <c r="C1719" s="586" t="s">
        <v>590</v>
      </c>
      <c r="D1719" s="133" t="s">
        <v>625</v>
      </c>
      <c r="E1719" s="587" t="str">
        <f>" - "&amp;'Giá Máy'!E12</f>
        <v xml:space="preserve"> - Máy đầm dùi 1,5kW</v>
      </c>
      <c r="F1719" s="585" t="str">
        <f>'Giá Máy'!F12</f>
        <v>ca</v>
      </c>
      <c r="G1719" s="588">
        <f>PTVT!G831</f>
        <v>8.8999999999999996E-2</v>
      </c>
      <c r="H1719" s="589">
        <f>'Giá Máy'!O12</f>
        <v>281279.30186500004</v>
      </c>
      <c r="I1719" s="603">
        <f>'5.Tiên lượng'!X197</f>
        <v>1</v>
      </c>
      <c r="J1719" s="589">
        <f t="shared" si="111"/>
        <v>25033.857865985003</v>
      </c>
    </row>
    <row r="1720" spans="1:10">
      <c r="A1720" s="584"/>
      <c r="B1720" s="585"/>
      <c r="C1720" s="586" t="s">
        <v>590</v>
      </c>
      <c r="D1720" s="133" t="s">
        <v>660</v>
      </c>
      <c r="E1720" s="587" t="str">
        <f>" - "&amp;'Giá Máy'!E7</f>
        <v xml:space="preserve"> - Cần cẩu bánh hơi 16T</v>
      </c>
      <c r="F1720" s="585" t="str">
        <f>'Giá Máy'!F7</f>
        <v>ca</v>
      </c>
      <c r="G1720" s="588">
        <f>PTVT!G832</f>
        <v>4.4999999999999998E-2</v>
      </c>
      <c r="H1720" s="589">
        <f>'Giá Máy'!O7</f>
        <v>2048480.7533333334</v>
      </c>
      <c r="I1720" s="603">
        <f>'5.Tiên lượng'!X197</f>
        <v>1</v>
      </c>
      <c r="J1720" s="589">
        <f t="shared" si="111"/>
        <v>92181.633900000001</v>
      </c>
    </row>
    <row r="1721" spans="1:10">
      <c r="A1721" s="584"/>
      <c r="B1721" s="585"/>
      <c r="C1721" s="586" t="s">
        <v>590</v>
      </c>
      <c r="D1721" s="133" t="s">
        <v>611</v>
      </c>
      <c r="E1721" s="587" t="s">
        <v>612</v>
      </c>
      <c r="F1721" s="585" t="s">
        <v>37</v>
      </c>
      <c r="G1721" s="588">
        <f>PTVT!G833</f>
        <v>1</v>
      </c>
      <c r="H1721" s="589">
        <f>IF('5.Tiên lượng'!X197&lt;&gt;0,SUM(J1718:J1720)/100/'5.Tiên lượng'!X197,0)</f>
        <v>1482.1456068726</v>
      </c>
      <c r="I1721" s="603">
        <f>'5.Tiên lượng'!X197</f>
        <v>1</v>
      </c>
      <c r="J1721" s="589">
        <f t="shared" si="111"/>
        <v>1482.1456068726</v>
      </c>
    </row>
    <row r="1722" spans="1:10">
      <c r="A1722" s="584"/>
      <c r="B1722" s="585"/>
      <c r="C1722" s="586" t="s">
        <v>590</v>
      </c>
      <c r="D1722" s="133" t="s">
        <v>590</v>
      </c>
      <c r="E1722" s="587" t="s">
        <v>269</v>
      </c>
      <c r="F1722" s="585" t="s">
        <v>270</v>
      </c>
      <c r="G1722" s="590"/>
      <c r="H1722" s="589"/>
      <c r="I1722" s="603"/>
      <c r="J1722" s="589">
        <f>J1709+J1715+J1717</f>
        <v>1946738.3203404723</v>
      </c>
    </row>
    <row r="1723" spans="1:10">
      <c r="A1723" s="584"/>
      <c r="B1723" s="585"/>
      <c r="C1723" s="586" t="s">
        <v>590</v>
      </c>
      <c r="D1723" s="133" t="s">
        <v>590</v>
      </c>
      <c r="E1723" s="587" t="s">
        <v>273</v>
      </c>
      <c r="F1723" s="585" t="s">
        <v>274</v>
      </c>
      <c r="G1723" s="591">
        <f>'Thông tin'!E67</f>
        <v>6.2E-2</v>
      </c>
      <c r="H1723" s="589"/>
      <c r="I1723" s="603"/>
      <c r="J1723" s="589">
        <f>(J1722)*G1723</f>
        <v>120697.77586110929</v>
      </c>
    </row>
    <row r="1724" spans="1:10">
      <c r="A1724" s="584"/>
      <c r="B1724" s="585"/>
      <c r="C1724" s="586" t="s">
        <v>590</v>
      </c>
      <c r="D1724" s="133" t="s">
        <v>590</v>
      </c>
      <c r="E1724" s="587" t="s">
        <v>276</v>
      </c>
      <c r="F1724" s="585" t="s">
        <v>277</v>
      </c>
      <c r="G1724" s="591">
        <f>'Thông tin'!E60</f>
        <v>2.2000000000000002E-2</v>
      </c>
      <c r="H1724" s="589"/>
      <c r="I1724" s="603"/>
      <c r="J1724" s="589">
        <f>(J1722)*G1724</f>
        <v>42828.243047490396</v>
      </c>
    </row>
    <row r="1725" spans="1:10" ht="27.6">
      <c r="A1725" s="584"/>
      <c r="B1725" s="585"/>
      <c r="C1725" s="586" t="s">
        <v>590</v>
      </c>
      <c r="D1725" s="133" t="s">
        <v>590</v>
      </c>
      <c r="E1725" s="587" t="s">
        <v>279</v>
      </c>
      <c r="F1725" s="585" t="s">
        <v>142</v>
      </c>
      <c r="G1725" s="591">
        <f>'Thông tin'!E65</f>
        <v>0.02</v>
      </c>
      <c r="H1725" s="589"/>
      <c r="I1725" s="603"/>
      <c r="J1725" s="589">
        <f>(J1722)*G1725</f>
        <v>38934.766406809445</v>
      </c>
    </row>
    <row r="1726" spans="1:10">
      <c r="A1726" s="584"/>
      <c r="B1726" s="585"/>
      <c r="C1726" s="586" t="s">
        <v>590</v>
      </c>
      <c r="D1726" s="133" t="s">
        <v>590</v>
      </c>
      <c r="E1726" s="587" t="s">
        <v>281</v>
      </c>
      <c r="F1726" s="585" t="s">
        <v>282</v>
      </c>
      <c r="G1726" s="590"/>
      <c r="H1726" s="589"/>
      <c r="I1726" s="603"/>
      <c r="J1726" s="589">
        <f>J1723+J1724+J1725</f>
        <v>202460.78531540913</v>
      </c>
    </row>
    <row r="1727" spans="1:10">
      <c r="A1727" s="584"/>
      <c r="B1727" s="585"/>
      <c r="C1727" s="586" t="s">
        <v>590</v>
      </c>
      <c r="D1727" s="133" t="s">
        <v>590</v>
      </c>
      <c r="E1727" s="587" t="s">
        <v>284</v>
      </c>
      <c r="F1727" s="585" t="s">
        <v>285</v>
      </c>
      <c r="G1727" s="591">
        <f>'Thông tin'!E63</f>
        <v>0.06</v>
      </c>
      <c r="H1727" s="589"/>
      <c r="I1727" s="603"/>
      <c r="J1727" s="589">
        <f>(J1722+J1726)*G1727</f>
        <v>128951.94633935289</v>
      </c>
    </row>
    <row r="1728" spans="1:10">
      <c r="A1728" s="584"/>
      <c r="B1728" s="585"/>
      <c r="C1728" s="586" t="s">
        <v>590</v>
      </c>
      <c r="D1728" s="133" t="s">
        <v>590</v>
      </c>
      <c r="E1728" s="592" t="s">
        <v>287</v>
      </c>
      <c r="F1728" s="593" t="s">
        <v>288</v>
      </c>
      <c r="G1728" s="590"/>
      <c r="H1728" s="589"/>
      <c r="I1728" s="603"/>
      <c r="J1728" s="604">
        <f>J1722+J1726+J1727</f>
        <v>2278151.0519952346</v>
      </c>
    </row>
    <row r="1729" spans="1:10">
      <c r="A1729" s="584"/>
      <c r="B1729" s="585"/>
      <c r="C1729" s="586" t="s">
        <v>590</v>
      </c>
      <c r="D1729" s="133" t="s">
        <v>590</v>
      </c>
      <c r="E1729" s="587" t="s">
        <v>290</v>
      </c>
      <c r="F1729" s="585" t="s">
        <v>291</v>
      </c>
      <c r="G1729" s="591">
        <f>'Thông tin'!E61</f>
        <v>0.1</v>
      </c>
      <c r="H1729" s="589"/>
      <c r="I1729" s="603"/>
      <c r="J1729" s="589">
        <f>(J1728)*G1729</f>
        <v>227815.10519952347</v>
      </c>
    </row>
    <row r="1730" spans="1:10">
      <c r="A1730" s="594"/>
      <c r="B1730" s="595"/>
      <c r="C1730" s="596" t="s">
        <v>590</v>
      </c>
      <c r="D1730" s="137" t="s">
        <v>590</v>
      </c>
      <c r="E1730" s="597" t="s">
        <v>293</v>
      </c>
      <c r="F1730" s="598" t="s">
        <v>19</v>
      </c>
      <c r="G1730" s="599"/>
      <c r="H1730" s="600"/>
      <c r="I1730" s="605"/>
      <c r="J1730" s="606">
        <f>J1728+J1729</f>
        <v>2505966.1571947578</v>
      </c>
    </row>
    <row r="1731" spans="1:10">
      <c r="A1731" s="578"/>
      <c r="B1731" s="579">
        <v>95</v>
      </c>
      <c r="C1731" s="578" t="str">
        <f>'5.Tiên lượng'!C198</f>
        <v>AG.13231</v>
      </c>
      <c r="D1731" s="578" t="str">
        <f>'5.Tiên lượng'!C198</f>
        <v>AG.13231</v>
      </c>
      <c r="E1731" s="580" t="str">
        <f>'5.Tiên lượng'!D198</f>
        <v>Cốt thép tấm bản mặt</v>
      </c>
      <c r="F1731" s="579" t="str">
        <f>'5.Tiên lượng'!E198</f>
        <v>tấn</v>
      </c>
      <c r="G1731" s="581"/>
      <c r="H1731" s="582"/>
      <c r="I1731" s="602"/>
      <c r="J1731" s="582"/>
    </row>
    <row r="1732" spans="1:10">
      <c r="A1732" s="126"/>
      <c r="B1732" s="127"/>
      <c r="C1732" s="128" t="s">
        <v>590</v>
      </c>
      <c r="D1732" s="128" t="s">
        <v>590</v>
      </c>
      <c r="E1732" s="583" t="s">
        <v>262</v>
      </c>
      <c r="F1732" s="127" t="s">
        <v>263</v>
      </c>
      <c r="G1732" s="130"/>
      <c r="H1732" s="131"/>
      <c r="I1732" s="143"/>
      <c r="J1732" s="131">
        <f>SUM(J1733:J1734)</f>
        <v>18260848.267546091</v>
      </c>
    </row>
    <row r="1733" spans="1:10">
      <c r="A1733" s="584"/>
      <c r="B1733" s="585"/>
      <c r="C1733" s="586" t="s">
        <v>590</v>
      </c>
      <c r="D1733" s="133" t="s">
        <v>666</v>
      </c>
      <c r="E1733" s="587" t="str">
        <f>" - "&amp;'Giá VL'!E42</f>
        <v xml:space="preserve"> - Thép tròn</v>
      </c>
      <c r="F1733" s="585" t="str">
        <f>'Giá VL'!F42</f>
        <v>kg</v>
      </c>
      <c r="G1733" s="588">
        <f>PTVT!G836</f>
        <v>1020</v>
      </c>
      <c r="H1733" s="589">
        <f>'Giá VL'!V42</f>
        <v>17587.694379947148</v>
      </c>
      <c r="I1733" s="603">
        <f>'5.Tiên lượng'!V198</f>
        <v>1</v>
      </c>
      <c r="J1733" s="589">
        <f t="shared" ref="J1733:J1734" si="112">PRODUCT(G1733,H1733,I1733)</f>
        <v>17939448.267546091</v>
      </c>
    </row>
    <row r="1734" spans="1:10">
      <c r="A1734" s="584"/>
      <c r="B1734" s="585"/>
      <c r="C1734" s="586" t="s">
        <v>590</v>
      </c>
      <c r="D1734" s="133" t="s">
        <v>662</v>
      </c>
      <c r="E1734" s="587" t="str">
        <f>" - "&amp;'Giá VL'!E23</f>
        <v xml:space="preserve"> - Dây thép</v>
      </c>
      <c r="F1734" s="585" t="str">
        <f>'Giá VL'!F23</f>
        <v>kg</v>
      </c>
      <c r="G1734" s="588">
        <f>PTVT!G837</f>
        <v>16.07</v>
      </c>
      <c r="H1734" s="589">
        <f>'Giá VL'!V23</f>
        <v>20000</v>
      </c>
      <c r="I1734" s="603">
        <f>'5.Tiên lượng'!V198</f>
        <v>1</v>
      </c>
      <c r="J1734" s="589">
        <f t="shared" si="112"/>
        <v>321400</v>
      </c>
    </row>
    <row r="1735" spans="1:10">
      <c r="A1735" s="126"/>
      <c r="B1735" s="127"/>
      <c r="C1735" s="128" t="s">
        <v>590</v>
      </c>
      <c r="D1735" s="128" t="s">
        <v>590</v>
      </c>
      <c r="E1735" s="583" t="s">
        <v>265</v>
      </c>
      <c r="F1735" s="127" t="s">
        <v>266</v>
      </c>
      <c r="G1735" s="130"/>
      <c r="H1735" s="131"/>
      <c r="I1735" s="143"/>
      <c r="J1735" s="131">
        <f>SUM(J1736:J1736)</f>
        <v>4387500</v>
      </c>
    </row>
    <row r="1736" spans="1:10">
      <c r="A1736" s="584"/>
      <c r="B1736" s="585"/>
      <c r="C1736" s="586" t="s">
        <v>590</v>
      </c>
      <c r="D1736" s="133" t="s">
        <v>622</v>
      </c>
      <c r="E1736" s="587" t="str">
        <f>" - "&amp;'Giá NC'!E9</f>
        <v xml:space="preserve"> - Nhân công bậc 3,5/7 - Nhóm 2</v>
      </c>
      <c r="F1736" s="585" t="str">
        <f>'Giá NC'!F9</f>
        <v>công</v>
      </c>
      <c r="G1736" s="588">
        <f>PTVT!G839</f>
        <v>16.25</v>
      </c>
      <c r="H1736" s="589">
        <f>'Giá NC'!K9</f>
        <v>270000</v>
      </c>
      <c r="I1736" s="603">
        <f>'5.Tiên lượng'!W198</f>
        <v>1</v>
      </c>
      <c r="J1736" s="589">
        <f>PRODUCT(G1736,H1736,I1736)</f>
        <v>4387500</v>
      </c>
    </row>
    <row r="1737" spans="1:10">
      <c r="A1737" s="126"/>
      <c r="B1737" s="127"/>
      <c r="C1737" s="128" t="s">
        <v>590</v>
      </c>
      <c r="D1737" s="128" t="s">
        <v>590</v>
      </c>
      <c r="E1737" s="583" t="s">
        <v>267</v>
      </c>
      <c r="F1737" s="127" t="s">
        <v>268</v>
      </c>
      <c r="G1737" s="130"/>
      <c r="H1737" s="131"/>
      <c r="I1737" s="143"/>
      <c r="J1737" s="131">
        <f>SUM(J1738:J1738)</f>
        <v>114513.84476866666</v>
      </c>
    </row>
    <row r="1738" spans="1:10">
      <c r="A1738" s="584"/>
      <c r="B1738" s="585"/>
      <c r="C1738" s="586" t="s">
        <v>590</v>
      </c>
      <c r="D1738" s="133" t="s">
        <v>633</v>
      </c>
      <c r="E1738" s="587" t="str">
        <f>" - "&amp;'Giá Máy'!E9</f>
        <v xml:space="preserve"> - Máy cắt uốn cốt thép 5kW</v>
      </c>
      <c r="F1738" s="585" t="str">
        <f>'Giá Máy'!F9</f>
        <v>ca</v>
      </c>
      <c r="G1738" s="588">
        <f>PTVT!G841</f>
        <v>0.4</v>
      </c>
      <c r="H1738" s="589">
        <f>'Giá Máy'!O9</f>
        <v>286284.61192166666</v>
      </c>
      <c r="I1738" s="603">
        <f>'5.Tiên lượng'!X198</f>
        <v>1</v>
      </c>
      <c r="J1738" s="589">
        <f>PRODUCT(G1738,H1738,I1738)</f>
        <v>114513.84476866666</v>
      </c>
    </row>
    <row r="1739" spans="1:10">
      <c r="A1739" s="584"/>
      <c r="B1739" s="585"/>
      <c r="C1739" s="586" t="s">
        <v>590</v>
      </c>
      <c r="D1739" s="133" t="s">
        <v>590</v>
      </c>
      <c r="E1739" s="587" t="s">
        <v>269</v>
      </c>
      <c r="F1739" s="585" t="s">
        <v>270</v>
      </c>
      <c r="G1739" s="590"/>
      <c r="H1739" s="589"/>
      <c r="I1739" s="603"/>
      <c r="J1739" s="589">
        <f>J1732+J1735+J1737</f>
        <v>22762862.112314757</v>
      </c>
    </row>
    <row r="1740" spans="1:10">
      <c r="A1740" s="584"/>
      <c r="B1740" s="585"/>
      <c r="C1740" s="586" t="s">
        <v>590</v>
      </c>
      <c r="D1740" s="133" t="s">
        <v>590</v>
      </c>
      <c r="E1740" s="587" t="s">
        <v>273</v>
      </c>
      <c r="F1740" s="585" t="s">
        <v>274</v>
      </c>
      <c r="G1740" s="591">
        <f>'Thông tin'!E67</f>
        <v>6.2E-2</v>
      </c>
      <c r="H1740" s="589"/>
      <c r="I1740" s="603"/>
      <c r="J1740" s="589">
        <f>(J1739)*G1740</f>
        <v>1411297.4509635149</v>
      </c>
    </row>
    <row r="1741" spans="1:10">
      <c r="A1741" s="584"/>
      <c r="B1741" s="585"/>
      <c r="C1741" s="586" t="s">
        <v>590</v>
      </c>
      <c r="D1741" s="133" t="s">
        <v>590</v>
      </c>
      <c r="E1741" s="587" t="s">
        <v>276</v>
      </c>
      <c r="F1741" s="585" t="s">
        <v>277</v>
      </c>
      <c r="G1741" s="591">
        <f>'Thông tin'!E60</f>
        <v>2.2000000000000002E-2</v>
      </c>
      <c r="H1741" s="589"/>
      <c r="I1741" s="603"/>
      <c r="J1741" s="589">
        <f>(J1739)*G1741</f>
        <v>500782.96647092473</v>
      </c>
    </row>
    <row r="1742" spans="1:10" ht="27.6">
      <c r="A1742" s="584"/>
      <c r="B1742" s="585"/>
      <c r="C1742" s="586" t="s">
        <v>590</v>
      </c>
      <c r="D1742" s="133" t="s">
        <v>590</v>
      </c>
      <c r="E1742" s="587" t="s">
        <v>279</v>
      </c>
      <c r="F1742" s="585" t="s">
        <v>142</v>
      </c>
      <c r="G1742" s="591">
        <f>'Thông tin'!E65</f>
        <v>0.02</v>
      </c>
      <c r="H1742" s="589"/>
      <c r="I1742" s="603"/>
      <c r="J1742" s="589">
        <f>(J1739)*G1742</f>
        <v>455257.24224629515</v>
      </c>
    </row>
    <row r="1743" spans="1:10">
      <c r="A1743" s="584"/>
      <c r="B1743" s="585"/>
      <c r="C1743" s="586" t="s">
        <v>590</v>
      </c>
      <c r="D1743" s="133" t="s">
        <v>590</v>
      </c>
      <c r="E1743" s="587" t="s">
        <v>281</v>
      </c>
      <c r="F1743" s="585" t="s">
        <v>282</v>
      </c>
      <c r="G1743" s="590"/>
      <c r="H1743" s="589"/>
      <c r="I1743" s="603"/>
      <c r="J1743" s="589">
        <f>J1740+J1741+J1742</f>
        <v>2367337.6596807349</v>
      </c>
    </row>
    <row r="1744" spans="1:10">
      <c r="A1744" s="584"/>
      <c r="B1744" s="585"/>
      <c r="C1744" s="586" t="s">
        <v>590</v>
      </c>
      <c r="D1744" s="133" t="s">
        <v>590</v>
      </c>
      <c r="E1744" s="587" t="s">
        <v>284</v>
      </c>
      <c r="F1744" s="585" t="s">
        <v>285</v>
      </c>
      <c r="G1744" s="591">
        <f>'Thông tin'!E63</f>
        <v>0.06</v>
      </c>
      <c r="H1744" s="589"/>
      <c r="I1744" s="603"/>
      <c r="J1744" s="589">
        <f>(J1739+J1743)*G1744</f>
        <v>1507811.9863197296</v>
      </c>
    </row>
    <row r="1745" spans="1:10">
      <c r="A1745" s="584"/>
      <c r="B1745" s="585"/>
      <c r="C1745" s="586" t="s">
        <v>590</v>
      </c>
      <c r="D1745" s="133" t="s">
        <v>590</v>
      </c>
      <c r="E1745" s="592" t="s">
        <v>287</v>
      </c>
      <c r="F1745" s="593" t="s">
        <v>288</v>
      </c>
      <c r="G1745" s="590"/>
      <c r="H1745" s="589"/>
      <c r="I1745" s="603"/>
      <c r="J1745" s="604">
        <f>J1739+J1743+J1744</f>
        <v>26638011.75831522</v>
      </c>
    </row>
    <row r="1746" spans="1:10">
      <c r="A1746" s="584"/>
      <c r="B1746" s="585"/>
      <c r="C1746" s="586" t="s">
        <v>590</v>
      </c>
      <c r="D1746" s="133" t="s">
        <v>590</v>
      </c>
      <c r="E1746" s="587" t="s">
        <v>290</v>
      </c>
      <c r="F1746" s="585" t="s">
        <v>291</v>
      </c>
      <c r="G1746" s="591">
        <f>'Thông tin'!E61</f>
        <v>0.1</v>
      </c>
      <c r="H1746" s="589"/>
      <c r="I1746" s="603"/>
      <c r="J1746" s="589">
        <f>(J1745)*G1746</f>
        <v>2663801.1758315223</v>
      </c>
    </row>
    <row r="1747" spans="1:10">
      <c r="A1747" s="594"/>
      <c r="B1747" s="595"/>
      <c r="C1747" s="596" t="s">
        <v>590</v>
      </c>
      <c r="D1747" s="137" t="s">
        <v>590</v>
      </c>
      <c r="E1747" s="597" t="s">
        <v>293</v>
      </c>
      <c r="F1747" s="598" t="s">
        <v>19</v>
      </c>
      <c r="G1747" s="599"/>
      <c r="H1747" s="600"/>
      <c r="I1747" s="605"/>
      <c r="J1747" s="606">
        <f>J1745+J1746</f>
        <v>29301812.934146743</v>
      </c>
    </row>
    <row r="1748" spans="1:10">
      <c r="A1748" s="578"/>
      <c r="B1748" s="579">
        <v>96</v>
      </c>
      <c r="C1748" s="578" t="str">
        <f>'5.Tiên lượng'!C200</f>
        <v>AG.32511</v>
      </c>
      <c r="D1748" s="578" t="str">
        <f>'5.Tiên lượng'!C200</f>
        <v>AG.32511</v>
      </c>
      <c r="E1748" s="580" t="str">
        <f>'5.Tiên lượng'!D200</f>
        <v>Ván khuôn thép tấm bản</v>
      </c>
      <c r="F1748" s="579" t="str">
        <f>'5.Tiên lượng'!E200</f>
        <v>100m2</v>
      </c>
      <c r="G1748" s="581"/>
      <c r="H1748" s="582"/>
      <c r="I1748" s="602"/>
      <c r="J1748" s="582"/>
    </row>
    <row r="1749" spans="1:10">
      <c r="A1749" s="126"/>
      <c r="B1749" s="127"/>
      <c r="C1749" s="128" t="s">
        <v>590</v>
      </c>
      <c r="D1749" s="128" t="s">
        <v>590</v>
      </c>
      <c r="E1749" s="583" t="s">
        <v>262</v>
      </c>
      <c r="F1749" s="127" t="s">
        <v>263</v>
      </c>
      <c r="G1749" s="130"/>
      <c r="H1749" s="131"/>
      <c r="I1749" s="143"/>
      <c r="J1749" s="131">
        <f>SUM(J1750:J1753)</f>
        <v>705646.47372225288</v>
      </c>
    </row>
    <row r="1750" spans="1:10">
      <c r="A1750" s="584"/>
      <c r="B1750" s="585"/>
      <c r="C1750" s="586" t="s">
        <v>590</v>
      </c>
      <c r="D1750" s="133" t="s">
        <v>663</v>
      </c>
      <c r="E1750" s="587" t="str">
        <f>" - "&amp;'Giá VL'!E41</f>
        <v xml:space="preserve"> - Thép tấm</v>
      </c>
      <c r="F1750" s="585" t="str">
        <f>'Giá VL'!F41</f>
        <v>kg</v>
      </c>
      <c r="G1750" s="588">
        <f>PTVT!G844</f>
        <v>23.03</v>
      </c>
      <c r="H1750" s="589">
        <f>'Giá VL'!V41</f>
        <v>17587.694379947148</v>
      </c>
      <c r="I1750" s="603">
        <f>'5.Tiên lượng'!V200</f>
        <v>1</v>
      </c>
      <c r="J1750" s="589">
        <f t="shared" ref="J1750:J1753" si="113">PRODUCT(G1750,H1750,I1750)</f>
        <v>405044.60157018283</v>
      </c>
    </row>
    <row r="1751" spans="1:10">
      <c r="A1751" s="584"/>
      <c r="B1751" s="585"/>
      <c r="C1751" s="586" t="s">
        <v>590</v>
      </c>
      <c r="D1751" s="133" t="s">
        <v>664</v>
      </c>
      <c r="E1751" s="587" t="str">
        <f>" - "&amp;'Giá VL'!E39</f>
        <v xml:space="preserve"> - Thép hình</v>
      </c>
      <c r="F1751" s="585" t="str">
        <f>'Giá VL'!F39</f>
        <v>kg</v>
      </c>
      <c r="G1751" s="588">
        <f>PTVT!G845</f>
        <v>13.68</v>
      </c>
      <c r="H1751" s="589">
        <f>'Giá VL'!V39</f>
        <v>17587.694379947148</v>
      </c>
      <c r="I1751" s="603">
        <f>'5.Tiên lượng'!V200</f>
        <v>1</v>
      </c>
      <c r="J1751" s="589">
        <f t="shared" si="113"/>
        <v>240599.65911767699</v>
      </c>
    </row>
    <row r="1752" spans="1:10">
      <c r="A1752" s="584"/>
      <c r="B1752" s="585"/>
      <c r="C1752" s="586" t="s">
        <v>590</v>
      </c>
      <c r="D1752" s="133" t="s">
        <v>628</v>
      </c>
      <c r="E1752" s="587" t="str">
        <f>" - "&amp;'Giá VL'!E37</f>
        <v xml:space="preserve"> - Que hàn</v>
      </c>
      <c r="F1752" s="585" t="str">
        <f>'Giá VL'!F37</f>
        <v>kg</v>
      </c>
      <c r="G1752" s="588">
        <f>PTVT!G846</f>
        <v>1.2</v>
      </c>
      <c r="H1752" s="589">
        <f>'Giá VL'!V37</f>
        <v>22000</v>
      </c>
      <c r="I1752" s="603">
        <f>'5.Tiên lượng'!V200</f>
        <v>1</v>
      </c>
      <c r="J1752" s="589">
        <f t="shared" si="113"/>
        <v>26400</v>
      </c>
    </row>
    <row r="1753" spans="1:10">
      <c r="A1753" s="584"/>
      <c r="B1753" s="585"/>
      <c r="C1753" s="586" t="s">
        <v>590</v>
      </c>
      <c r="D1753" s="133" t="s">
        <v>620</v>
      </c>
      <c r="E1753" s="587" t="s">
        <v>621</v>
      </c>
      <c r="F1753" s="585" t="s">
        <v>37</v>
      </c>
      <c r="G1753" s="588">
        <f>PTVT!G847</f>
        <v>5</v>
      </c>
      <c r="H1753" s="589">
        <f>IF('5.Tiên lượng'!V200&lt;&gt;0,SUM(J1750:J1752)/100/'5.Tiên lượng'!V200,0)</f>
        <v>6720.4426068785988</v>
      </c>
      <c r="I1753" s="603">
        <f>'5.Tiên lượng'!V200</f>
        <v>1</v>
      </c>
      <c r="J1753" s="589">
        <f t="shared" si="113"/>
        <v>33602.213034392997</v>
      </c>
    </row>
    <row r="1754" spans="1:10">
      <c r="A1754" s="126"/>
      <c r="B1754" s="127"/>
      <c r="C1754" s="128" t="s">
        <v>590</v>
      </c>
      <c r="D1754" s="128" t="s">
        <v>590</v>
      </c>
      <c r="E1754" s="583" t="s">
        <v>265</v>
      </c>
      <c r="F1754" s="127" t="s">
        <v>266</v>
      </c>
      <c r="G1754" s="130"/>
      <c r="H1754" s="131"/>
      <c r="I1754" s="143"/>
      <c r="J1754" s="131">
        <f>SUM(J1755:J1755)</f>
        <v>6758701.5199999996</v>
      </c>
    </row>
    <row r="1755" spans="1:10">
      <c r="A1755" s="584"/>
      <c r="B1755" s="585"/>
      <c r="C1755" s="586" t="s">
        <v>590</v>
      </c>
      <c r="D1755" s="133" t="s">
        <v>629</v>
      </c>
      <c r="E1755" s="587" t="str">
        <f>" - "&amp;'Giá NC'!E10</f>
        <v xml:space="preserve"> - Nhân công bậc 4,0/7 - Nhóm 2</v>
      </c>
      <c r="F1755" s="585" t="str">
        <f>'Giá NC'!F10</f>
        <v>công</v>
      </c>
      <c r="G1755" s="588">
        <f>PTVT!G849</f>
        <v>23.06</v>
      </c>
      <c r="H1755" s="589">
        <f>'Giá NC'!K10</f>
        <v>293092</v>
      </c>
      <c r="I1755" s="603">
        <f>'5.Tiên lượng'!W200</f>
        <v>1</v>
      </c>
      <c r="J1755" s="589">
        <f>PRODUCT(G1755,H1755,I1755)</f>
        <v>6758701.5199999996</v>
      </c>
    </row>
    <row r="1756" spans="1:10">
      <c r="A1756" s="126"/>
      <c r="B1756" s="127"/>
      <c r="C1756" s="128" t="s">
        <v>590</v>
      </c>
      <c r="D1756" s="128" t="s">
        <v>590</v>
      </c>
      <c r="E1756" s="583" t="s">
        <v>267</v>
      </c>
      <c r="F1756" s="127" t="s">
        <v>268</v>
      </c>
      <c r="G1756" s="130"/>
      <c r="H1756" s="131"/>
      <c r="I1756" s="143"/>
      <c r="J1756" s="131">
        <f>SUM(J1757:J1758)</f>
        <v>147950.66333124001</v>
      </c>
    </row>
    <row r="1757" spans="1:10">
      <c r="A1757" s="584"/>
      <c r="B1757" s="585"/>
      <c r="C1757" s="586" t="s">
        <v>590</v>
      </c>
      <c r="D1757" s="133" t="s">
        <v>630</v>
      </c>
      <c r="E1757" s="587" t="str">
        <f>" - "&amp;'Giá Máy'!E16</f>
        <v xml:space="preserve"> - Máy hàn điện 23kW</v>
      </c>
      <c r="F1757" s="585" t="str">
        <f>'Giá Máy'!F16</f>
        <v>ca</v>
      </c>
      <c r="G1757" s="588">
        <f>PTVT!G851</f>
        <v>0.33</v>
      </c>
      <c r="H1757" s="589">
        <f>'Giá Máy'!O16</f>
        <v>426986.04135999997</v>
      </c>
      <c r="I1757" s="603">
        <f>'5.Tiên lượng'!X200</f>
        <v>1</v>
      </c>
      <c r="J1757" s="589">
        <f t="shared" ref="J1757:J1758" si="114">PRODUCT(G1757,H1757,I1757)</f>
        <v>140905.3936488</v>
      </c>
    </row>
    <row r="1758" spans="1:10">
      <c r="A1758" s="584"/>
      <c r="B1758" s="585"/>
      <c r="C1758" s="586" t="s">
        <v>590</v>
      </c>
      <c r="D1758" s="133" t="s">
        <v>611</v>
      </c>
      <c r="E1758" s="587" t="s">
        <v>612</v>
      </c>
      <c r="F1758" s="585" t="s">
        <v>37</v>
      </c>
      <c r="G1758" s="588">
        <f>PTVT!G852</f>
        <v>5</v>
      </c>
      <c r="H1758" s="589">
        <f>IF('5.Tiên lượng'!X200&lt;&gt;0,SUM(J1757:J1757)/100/'5.Tiên lượng'!X200,0)</f>
        <v>1409.0539364880001</v>
      </c>
      <c r="I1758" s="603">
        <f>'5.Tiên lượng'!X200</f>
        <v>1</v>
      </c>
      <c r="J1758" s="589">
        <f t="shared" si="114"/>
        <v>7045.2696824400009</v>
      </c>
    </row>
    <row r="1759" spans="1:10">
      <c r="A1759" s="584"/>
      <c r="B1759" s="585"/>
      <c r="C1759" s="586" t="s">
        <v>590</v>
      </c>
      <c r="D1759" s="133" t="s">
        <v>590</v>
      </c>
      <c r="E1759" s="587" t="s">
        <v>269</v>
      </c>
      <c r="F1759" s="585" t="s">
        <v>270</v>
      </c>
      <c r="G1759" s="590"/>
      <c r="H1759" s="589"/>
      <c r="I1759" s="603"/>
      <c r="J1759" s="589">
        <f>J1749+J1754+J1756</f>
        <v>7612298.657053493</v>
      </c>
    </row>
    <row r="1760" spans="1:10">
      <c r="A1760" s="584"/>
      <c r="B1760" s="585"/>
      <c r="C1760" s="586" t="s">
        <v>590</v>
      </c>
      <c r="D1760" s="133" t="s">
        <v>590</v>
      </c>
      <c r="E1760" s="587" t="s">
        <v>273</v>
      </c>
      <c r="F1760" s="585" t="s">
        <v>274</v>
      </c>
      <c r="G1760" s="591">
        <f>'Thông tin'!E67</f>
        <v>6.2E-2</v>
      </c>
      <c r="H1760" s="589"/>
      <c r="I1760" s="603"/>
      <c r="J1760" s="589">
        <f>(J1759)*G1760</f>
        <v>471962.51673731656</v>
      </c>
    </row>
    <row r="1761" spans="1:10">
      <c r="A1761" s="584"/>
      <c r="B1761" s="585"/>
      <c r="C1761" s="586" t="s">
        <v>590</v>
      </c>
      <c r="D1761" s="133" t="s">
        <v>590</v>
      </c>
      <c r="E1761" s="587" t="s">
        <v>276</v>
      </c>
      <c r="F1761" s="585" t="s">
        <v>277</v>
      </c>
      <c r="G1761" s="591">
        <f>'Thông tin'!E60</f>
        <v>2.2000000000000002E-2</v>
      </c>
      <c r="H1761" s="589"/>
      <c r="I1761" s="603"/>
      <c r="J1761" s="589">
        <f>(J1759)*G1761</f>
        <v>167470.57045517687</v>
      </c>
    </row>
    <row r="1762" spans="1:10" ht="27.6">
      <c r="A1762" s="584"/>
      <c r="B1762" s="585"/>
      <c r="C1762" s="586" t="s">
        <v>590</v>
      </c>
      <c r="D1762" s="133" t="s">
        <v>590</v>
      </c>
      <c r="E1762" s="587" t="s">
        <v>279</v>
      </c>
      <c r="F1762" s="585" t="s">
        <v>142</v>
      </c>
      <c r="G1762" s="591">
        <f>'Thông tin'!E65</f>
        <v>0.02</v>
      </c>
      <c r="H1762" s="589"/>
      <c r="I1762" s="603"/>
      <c r="J1762" s="589">
        <f>(J1759)*G1762</f>
        <v>152245.97314106987</v>
      </c>
    </row>
    <row r="1763" spans="1:10">
      <c r="A1763" s="584"/>
      <c r="B1763" s="585"/>
      <c r="C1763" s="586" t="s">
        <v>590</v>
      </c>
      <c r="D1763" s="133" t="s">
        <v>590</v>
      </c>
      <c r="E1763" s="587" t="s">
        <v>281</v>
      </c>
      <c r="F1763" s="585" t="s">
        <v>282</v>
      </c>
      <c r="G1763" s="590"/>
      <c r="H1763" s="589"/>
      <c r="I1763" s="603"/>
      <c r="J1763" s="589">
        <f>J1760+J1761+J1762</f>
        <v>791679.06033356336</v>
      </c>
    </row>
    <row r="1764" spans="1:10">
      <c r="A1764" s="584"/>
      <c r="B1764" s="585"/>
      <c r="C1764" s="586" t="s">
        <v>590</v>
      </c>
      <c r="D1764" s="133" t="s">
        <v>590</v>
      </c>
      <c r="E1764" s="587" t="s">
        <v>284</v>
      </c>
      <c r="F1764" s="585" t="s">
        <v>285</v>
      </c>
      <c r="G1764" s="591">
        <f>'Thông tin'!E63</f>
        <v>0.06</v>
      </c>
      <c r="H1764" s="589"/>
      <c r="I1764" s="603"/>
      <c r="J1764" s="589">
        <f>(J1759+J1763)*G1764</f>
        <v>504238.66304322332</v>
      </c>
    </row>
    <row r="1765" spans="1:10">
      <c r="A1765" s="584"/>
      <c r="B1765" s="585"/>
      <c r="C1765" s="586" t="s">
        <v>590</v>
      </c>
      <c r="D1765" s="133" t="s">
        <v>590</v>
      </c>
      <c r="E1765" s="592" t="s">
        <v>287</v>
      </c>
      <c r="F1765" s="593" t="s">
        <v>288</v>
      </c>
      <c r="G1765" s="590"/>
      <c r="H1765" s="589"/>
      <c r="I1765" s="603"/>
      <c r="J1765" s="604">
        <f>J1759+J1763+J1764</f>
        <v>8908216.3804302793</v>
      </c>
    </row>
    <row r="1766" spans="1:10">
      <c r="A1766" s="584"/>
      <c r="B1766" s="585"/>
      <c r="C1766" s="586" t="s">
        <v>590</v>
      </c>
      <c r="D1766" s="133" t="s">
        <v>590</v>
      </c>
      <c r="E1766" s="587" t="s">
        <v>290</v>
      </c>
      <c r="F1766" s="585" t="s">
        <v>291</v>
      </c>
      <c r="G1766" s="591">
        <f>'Thông tin'!E61</f>
        <v>0.1</v>
      </c>
      <c r="H1766" s="589"/>
      <c r="I1766" s="603"/>
      <c r="J1766" s="589">
        <f>(J1765)*G1766</f>
        <v>890821.63804302795</v>
      </c>
    </row>
    <row r="1767" spans="1:10">
      <c r="A1767" s="594"/>
      <c r="B1767" s="595"/>
      <c r="C1767" s="596" t="s">
        <v>590</v>
      </c>
      <c r="D1767" s="137" t="s">
        <v>590</v>
      </c>
      <c r="E1767" s="597" t="s">
        <v>293</v>
      </c>
      <c r="F1767" s="598" t="s">
        <v>19</v>
      </c>
      <c r="G1767" s="599"/>
      <c r="H1767" s="600"/>
      <c r="I1767" s="605"/>
      <c r="J1767" s="606">
        <f>J1765+J1766</f>
        <v>9799038.0184733067</v>
      </c>
    </row>
    <row r="1768" spans="1:10">
      <c r="A1768" s="578"/>
      <c r="B1768" s="579">
        <v>97</v>
      </c>
      <c r="C1768" s="578" t="str">
        <f>'5.Tiên lượng'!C202</f>
        <v>AF.82511</v>
      </c>
      <c r="D1768" s="578" t="str">
        <f>'5.Tiên lượng'!C202</f>
        <v>AF.82511</v>
      </c>
      <c r="E1768" s="580" t="str">
        <f>'5.Tiên lượng'!D202</f>
        <v>Ván khuôn thép cống</v>
      </c>
      <c r="F1768" s="579" t="str">
        <f>'5.Tiên lượng'!E202</f>
        <v>100m2</v>
      </c>
      <c r="G1768" s="581"/>
      <c r="H1768" s="582"/>
      <c r="I1768" s="602"/>
      <c r="J1768" s="582"/>
    </row>
    <row r="1769" spans="1:10">
      <c r="A1769" s="126"/>
      <c r="B1769" s="127"/>
      <c r="C1769" s="128" t="s">
        <v>590</v>
      </c>
      <c r="D1769" s="128" t="s">
        <v>590</v>
      </c>
      <c r="E1769" s="583" t="s">
        <v>262</v>
      </c>
      <c r="F1769" s="127" t="s">
        <v>263</v>
      </c>
      <c r="G1769" s="130"/>
      <c r="H1769" s="131"/>
      <c r="I1769" s="143"/>
      <c r="J1769" s="131">
        <f>SUM(J1770:J1773)</f>
        <v>1623401.2408645179</v>
      </c>
    </row>
    <row r="1770" spans="1:10">
      <c r="A1770" s="584"/>
      <c r="B1770" s="585"/>
      <c r="C1770" s="586" t="s">
        <v>590</v>
      </c>
      <c r="D1770" s="133" t="s">
        <v>663</v>
      </c>
      <c r="E1770" s="587" t="str">
        <f>" - "&amp;'Giá VL'!E41</f>
        <v xml:space="preserve"> - Thép tấm</v>
      </c>
      <c r="F1770" s="585" t="str">
        <f>'Giá VL'!F41</f>
        <v>kg</v>
      </c>
      <c r="G1770" s="588">
        <f>PTVT!G855</f>
        <v>51.81</v>
      </c>
      <c r="H1770" s="589">
        <f>'Giá VL'!V41</f>
        <v>17587.694379947148</v>
      </c>
      <c r="I1770" s="603">
        <f>'5.Tiên lượng'!V202</f>
        <v>1</v>
      </c>
      <c r="J1770" s="589">
        <f t="shared" ref="J1770:J1773" si="115">PRODUCT(G1770,H1770,I1770)</f>
        <v>911218.44582506176</v>
      </c>
    </row>
    <row r="1771" spans="1:10">
      <c r="A1771" s="584"/>
      <c r="B1771" s="585"/>
      <c r="C1771" s="586" t="s">
        <v>590</v>
      </c>
      <c r="D1771" s="133" t="s">
        <v>664</v>
      </c>
      <c r="E1771" s="587" t="str">
        <f>" - "&amp;'Giá VL'!E39</f>
        <v xml:space="preserve"> - Thép hình</v>
      </c>
      <c r="F1771" s="585" t="str">
        <f>'Giá VL'!F39</f>
        <v>kg</v>
      </c>
      <c r="G1771" s="588">
        <f>PTVT!G856</f>
        <v>32.020000000000003</v>
      </c>
      <c r="H1771" s="589">
        <f>'Giá VL'!V39</f>
        <v>17587.694379947148</v>
      </c>
      <c r="I1771" s="603">
        <f>'5.Tiên lượng'!V202</f>
        <v>1</v>
      </c>
      <c r="J1771" s="589">
        <f t="shared" si="115"/>
        <v>563157.97404590773</v>
      </c>
    </row>
    <row r="1772" spans="1:10">
      <c r="A1772" s="584"/>
      <c r="B1772" s="585"/>
      <c r="C1772" s="586" t="s">
        <v>590</v>
      </c>
      <c r="D1772" s="133" t="s">
        <v>628</v>
      </c>
      <c r="E1772" s="587" t="str">
        <f>" - "&amp;'Giá VL'!E37</f>
        <v xml:space="preserve"> - Que hàn</v>
      </c>
      <c r="F1772" s="585" t="str">
        <f>'Giá VL'!F37</f>
        <v>kg</v>
      </c>
      <c r="G1772" s="588">
        <f>PTVT!G857</f>
        <v>3.26</v>
      </c>
      <c r="H1772" s="589">
        <f>'Giá VL'!V37</f>
        <v>22000</v>
      </c>
      <c r="I1772" s="603">
        <f>'5.Tiên lượng'!V202</f>
        <v>1</v>
      </c>
      <c r="J1772" s="589">
        <f t="shared" si="115"/>
        <v>71720</v>
      </c>
    </row>
    <row r="1773" spans="1:10">
      <c r="A1773" s="584"/>
      <c r="B1773" s="585"/>
      <c r="C1773" s="586" t="s">
        <v>590</v>
      </c>
      <c r="D1773" s="133" t="s">
        <v>620</v>
      </c>
      <c r="E1773" s="587" t="s">
        <v>621</v>
      </c>
      <c r="F1773" s="585" t="s">
        <v>37</v>
      </c>
      <c r="G1773" s="588">
        <f>PTVT!G858</f>
        <v>5</v>
      </c>
      <c r="H1773" s="589">
        <f>IF('5.Tiên lượng'!V202&lt;&gt;0,SUM(J1770:J1772)/100/'5.Tiên lượng'!V202,0)</f>
        <v>15460.964198709693</v>
      </c>
      <c r="I1773" s="603">
        <f>'5.Tiên lượng'!V202</f>
        <v>1</v>
      </c>
      <c r="J1773" s="589">
        <f t="shared" si="115"/>
        <v>77304.820993548463</v>
      </c>
    </row>
    <row r="1774" spans="1:10">
      <c r="A1774" s="126"/>
      <c r="B1774" s="127"/>
      <c r="C1774" s="128" t="s">
        <v>590</v>
      </c>
      <c r="D1774" s="128" t="s">
        <v>590</v>
      </c>
      <c r="E1774" s="583" t="s">
        <v>265</v>
      </c>
      <c r="F1774" s="127" t="s">
        <v>266</v>
      </c>
      <c r="G1774" s="130"/>
      <c r="H1774" s="131"/>
      <c r="I1774" s="143"/>
      <c r="J1774" s="131">
        <f>SUM(J1775:J1775)</f>
        <v>3590377</v>
      </c>
    </row>
    <row r="1775" spans="1:10">
      <c r="A1775" s="584"/>
      <c r="B1775" s="585"/>
      <c r="C1775" s="586" t="s">
        <v>590</v>
      </c>
      <c r="D1775" s="133" t="s">
        <v>629</v>
      </c>
      <c r="E1775" s="587" t="str">
        <f>" - "&amp;'Giá NC'!E10</f>
        <v xml:space="preserve"> - Nhân công bậc 4,0/7 - Nhóm 2</v>
      </c>
      <c r="F1775" s="585" t="str">
        <f>'Giá NC'!F10</f>
        <v>công</v>
      </c>
      <c r="G1775" s="588">
        <f>PTVT!G860</f>
        <v>12.25</v>
      </c>
      <c r="H1775" s="589">
        <f>'Giá NC'!K10</f>
        <v>293092</v>
      </c>
      <c r="I1775" s="603">
        <f>'5.Tiên lượng'!W202</f>
        <v>1</v>
      </c>
      <c r="J1775" s="589">
        <f>PRODUCT(G1775,H1775,I1775)</f>
        <v>3590377</v>
      </c>
    </row>
    <row r="1776" spans="1:10">
      <c r="A1776" s="126"/>
      <c r="B1776" s="127"/>
      <c r="C1776" s="128" t="s">
        <v>590</v>
      </c>
      <c r="D1776" s="128" t="s">
        <v>590</v>
      </c>
      <c r="E1776" s="583" t="s">
        <v>267</v>
      </c>
      <c r="F1776" s="127" t="s">
        <v>268</v>
      </c>
      <c r="G1776" s="130"/>
      <c r="H1776" s="131"/>
      <c r="I1776" s="143"/>
      <c r="J1776" s="131">
        <f>SUM(J1777:J1778)</f>
        <v>357131.12499350397</v>
      </c>
    </row>
    <row r="1777" spans="1:10">
      <c r="A1777" s="584"/>
      <c r="B1777" s="585"/>
      <c r="C1777" s="586" t="s">
        <v>590</v>
      </c>
      <c r="D1777" s="133" t="s">
        <v>630</v>
      </c>
      <c r="E1777" s="587" t="str">
        <f>" - "&amp;'Giá Máy'!E16</f>
        <v xml:space="preserve"> - Máy hàn điện 23kW</v>
      </c>
      <c r="F1777" s="585" t="str">
        <f>'Giá Máy'!F16</f>
        <v>ca</v>
      </c>
      <c r="G1777" s="588">
        <f>PTVT!G862</f>
        <v>0.82</v>
      </c>
      <c r="H1777" s="589">
        <f>'Giá Máy'!O16</f>
        <v>426986.04135999997</v>
      </c>
      <c r="I1777" s="603">
        <f>'5.Tiên lượng'!X202</f>
        <v>1</v>
      </c>
      <c r="J1777" s="589">
        <f t="shared" ref="J1777:J1778" si="116">PRODUCT(G1777,H1777,I1777)</f>
        <v>350128.55391519994</v>
      </c>
    </row>
    <row r="1778" spans="1:10">
      <c r="A1778" s="584"/>
      <c r="B1778" s="585"/>
      <c r="C1778" s="586" t="s">
        <v>590</v>
      </c>
      <c r="D1778" s="133" t="s">
        <v>611</v>
      </c>
      <c r="E1778" s="587" t="s">
        <v>612</v>
      </c>
      <c r="F1778" s="585" t="s">
        <v>37</v>
      </c>
      <c r="G1778" s="588">
        <f>PTVT!G863</f>
        <v>2</v>
      </c>
      <c r="H1778" s="589">
        <f>IF('5.Tiên lượng'!X202&lt;&gt;0,SUM(J1777:J1777)/100/'5.Tiên lượng'!X202,0)</f>
        <v>3501.2855391519993</v>
      </c>
      <c r="I1778" s="603">
        <f>'5.Tiên lượng'!X202</f>
        <v>1</v>
      </c>
      <c r="J1778" s="589">
        <f t="shared" si="116"/>
        <v>7002.5710783039985</v>
      </c>
    </row>
    <row r="1779" spans="1:10">
      <c r="A1779" s="584"/>
      <c r="B1779" s="585"/>
      <c r="C1779" s="586" t="s">
        <v>590</v>
      </c>
      <c r="D1779" s="133" t="s">
        <v>590</v>
      </c>
      <c r="E1779" s="587" t="s">
        <v>269</v>
      </c>
      <c r="F1779" s="585" t="s">
        <v>270</v>
      </c>
      <c r="G1779" s="590"/>
      <c r="H1779" s="589"/>
      <c r="I1779" s="603"/>
      <c r="J1779" s="589">
        <f>J1769+J1774+J1776</f>
        <v>5570909.3658580221</v>
      </c>
    </row>
    <row r="1780" spans="1:10">
      <c r="A1780" s="584"/>
      <c r="B1780" s="585"/>
      <c r="C1780" s="586" t="s">
        <v>590</v>
      </c>
      <c r="D1780" s="133" t="s">
        <v>590</v>
      </c>
      <c r="E1780" s="587" t="s">
        <v>273</v>
      </c>
      <c r="F1780" s="585" t="s">
        <v>274</v>
      </c>
      <c r="G1780" s="591">
        <f>'Thông tin'!E67</f>
        <v>6.2E-2</v>
      </c>
      <c r="H1780" s="589"/>
      <c r="I1780" s="603"/>
      <c r="J1780" s="589">
        <f>(J1779)*G1780</f>
        <v>345396.38068319735</v>
      </c>
    </row>
    <row r="1781" spans="1:10">
      <c r="A1781" s="584"/>
      <c r="B1781" s="585"/>
      <c r="C1781" s="586" t="s">
        <v>590</v>
      </c>
      <c r="D1781" s="133" t="s">
        <v>590</v>
      </c>
      <c r="E1781" s="587" t="s">
        <v>276</v>
      </c>
      <c r="F1781" s="585" t="s">
        <v>277</v>
      </c>
      <c r="G1781" s="591">
        <f>'Thông tin'!E60</f>
        <v>2.2000000000000002E-2</v>
      </c>
      <c r="H1781" s="589"/>
      <c r="I1781" s="603"/>
      <c r="J1781" s="589">
        <f>(J1779)*G1781</f>
        <v>122560.0060488765</v>
      </c>
    </row>
    <row r="1782" spans="1:10" ht="27.6">
      <c r="A1782" s="584"/>
      <c r="B1782" s="585"/>
      <c r="C1782" s="586" t="s">
        <v>590</v>
      </c>
      <c r="D1782" s="133" t="s">
        <v>590</v>
      </c>
      <c r="E1782" s="587" t="s">
        <v>279</v>
      </c>
      <c r="F1782" s="585" t="s">
        <v>142</v>
      </c>
      <c r="G1782" s="591">
        <f>'Thông tin'!E65</f>
        <v>0.02</v>
      </c>
      <c r="H1782" s="589"/>
      <c r="I1782" s="603"/>
      <c r="J1782" s="589">
        <f>(J1779)*G1782</f>
        <v>111418.18731716044</v>
      </c>
    </row>
    <row r="1783" spans="1:10">
      <c r="A1783" s="584"/>
      <c r="B1783" s="585"/>
      <c r="C1783" s="586" t="s">
        <v>590</v>
      </c>
      <c r="D1783" s="133" t="s">
        <v>590</v>
      </c>
      <c r="E1783" s="587" t="s">
        <v>281</v>
      </c>
      <c r="F1783" s="585" t="s">
        <v>282</v>
      </c>
      <c r="G1783" s="590"/>
      <c r="H1783" s="589"/>
      <c r="I1783" s="603"/>
      <c r="J1783" s="589">
        <f>J1780+J1781+J1782</f>
        <v>579374.57404923427</v>
      </c>
    </row>
    <row r="1784" spans="1:10">
      <c r="A1784" s="584"/>
      <c r="B1784" s="585"/>
      <c r="C1784" s="586" t="s">
        <v>590</v>
      </c>
      <c r="D1784" s="133" t="s">
        <v>590</v>
      </c>
      <c r="E1784" s="587" t="s">
        <v>284</v>
      </c>
      <c r="F1784" s="585" t="s">
        <v>285</v>
      </c>
      <c r="G1784" s="591">
        <f>'Thông tin'!E63</f>
        <v>0.06</v>
      </c>
      <c r="H1784" s="589"/>
      <c r="I1784" s="603"/>
      <c r="J1784" s="589">
        <f>(J1779+J1783)*G1784</f>
        <v>369017.03639443539</v>
      </c>
    </row>
    <row r="1785" spans="1:10">
      <c r="A1785" s="584"/>
      <c r="B1785" s="585"/>
      <c r="C1785" s="586" t="s">
        <v>590</v>
      </c>
      <c r="D1785" s="133" t="s">
        <v>590</v>
      </c>
      <c r="E1785" s="592" t="s">
        <v>287</v>
      </c>
      <c r="F1785" s="593" t="s">
        <v>288</v>
      </c>
      <c r="G1785" s="590"/>
      <c r="H1785" s="589"/>
      <c r="I1785" s="603"/>
      <c r="J1785" s="604">
        <f>J1779+J1783+J1784</f>
        <v>6519300.9763016915</v>
      </c>
    </row>
    <row r="1786" spans="1:10">
      <c r="A1786" s="584"/>
      <c r="B1786" s="585"/>
      <c r="C1786" s="586" t="s">
        <v>590</v>
      </c>
      <c r="D1786" s="133" t="s">
        <v>590</v>
      </c>
      <c r="E1786" s="587" t="s">
        <v>290</v>
      </c>
      <c r="F1786" s="585" t="s">
        <v>291</v>
      </c>
      <c r="G1786" s="591">
        <f>'Thông tin'!E61</f>
        <v>0.1</v>
      </c>
      <c r="H1786" s="589"/>
      <c r="I1786" s="603"/>
      <c r="J1786" s="589">
        <f>(J1785)*G1786</f>
        <v>651930.09763016924</v>
      </c>
    </row>
    <row r="1787" spans="1:10">
      <c r="A1787" s="594"/>
      <c r="B1787" s="595"/>
      <c r="C1787" s="596" t="s">
        <v>590</v>
      </c>
      <c r="D1787" s="137" t="s">
        <v>590</v>
      </c>
      <c r="E1787" s="597" t="s">
        <v>293</v>
      </c>
      <c r="F1787" s="598" t="s">
        <v>19</v>
      </c>
      <c r="G1787" s="599"/>
      <c r="H1787" s="600"/>
      <c r="I1787" s="605"/>
      <c r="J1787" s="606">
        <f>J1785+J1786</f>
        <v>7171231.0739318607</v>
      </c>
    </row>
    <row r="1788" spans="1:10">
      <c r="A1788" s="578"/>
      <c r="B1788" s="579">
        <v>98</v>
      </c>
      <c r="C1788" s="578" t="str">
        <f>'5.Tiên lượng'!C204</f>
        <v>AG.41610</v>
      </c>
      <c r="D1788" s="578" t="str">
        <f>'5.Tiên lượng'!C204</f>
        <v>AG.41610</v>
      </c>
      <c r="E1788" s="580" t="str">
        <f>'5.Tiên lượng'!D204</f>
        <v>Tháo dỡ tấm bản mặt cầu cũ bằng cần cẩu</v>
      </c>
      <c r="F1788" s="579" t="str">
        <f>'5.Tiên lượng'!E204</f>
        <v>1cấu kiện</v>
      </c>
      <c r="G1788" s="581"/>
      <c r="H1788" s="582"/>
      <c r="I1788" s="602"/>
      <c r="J1788" s="582"/>
    </row>
    <row r="1789" spans="1:10">
      <c r="A1789" s="126"/>
      <c r="B1789" s="127"/>
      <c r="C1789" s="128" t="s">
        <v>590</v>
      </c>
      <c r="D1789" s="128" t="s">
        <v>590</v>
      </c>
      <c r="E1789" s="583" t="s">
        <v>262</v>
      </c>
      <c r="F1789" s="127" t="s">
        <v>263</v>
      </c>
      <c r="G1789" s="130"/>
      <c r="H1789" s="131"/>
      <c r="I1789" s="143"/>
      <c r="J1789" s="131">
        <v>0</v>
      </c>
    </row>
    <row r="1790" spans="1:10">
      <c r="A1790" s="126"/>
      <c r="B1790" s="127"/>
      <c r="C1790" s="128" t="s">
        <v>590</v>
      </c>
      <c r="D1790" s="128" t="s">
        <v>590</v>
      </c>
      <c r="E1790" s="583" t="s">
        <v>265</v>
      </c>
      <c r="F1790" s="127" t="s">
        <v>266</v>
      </c>
      <c r="G1790" s="130"/>
      <c r="H1790" s="131"/>
      <c r="I1790" s="143"/>
      <c r="J1790" s="131">
        <f>SUM(J1791:J1791)</f>
        <v>4444.3440000000001</v>
      </c>
    </row>
    <row r="1791" spans="1:10">
      <c r="A1791" s="584"/>
      <c r="B1791" s="585"/>
      <c r="C1791" s="586" t="s">
        <v>590</v>
      </c>
      <c r="D1791" s="133" t="s">
        <v>605</v>
      </c>
      <c r="E1791" s="587" t="str">
        <f>" - "&amp;'Giá NC'!E8</f>
        <v xml:space="preserve"> - Nhân công bậc 3,0/7 - Nhóm 2</v>
      </c>
      <c r="F1791" s="585" t="str">
        <f>'Giá NC'!F8</f>
        <v>công</v>
      </c>
      <c r="G1791" s="588">
        <f>PTVT!G866</f>
        <v>0.03</v>
      </c>
      <c r="H1791" s="589">
        <f>'Giá NC'!K8</f>
        <v>246908</v>
      </c>
      <c r="I1791" s="603">
        <f>'5.Tiên lượng'!W204</f>
        <v>0.6</v>
      </c>
      <c r="J1791" s="589">
        <f>PRODUCT(G1791,H1791,I1791)</f>
        <v>4444.3440000000001</v>
      </c>
    </row>
    <row r="1792" spans="1:10">
      <c r="A1792" s="126"/>
      <c r="B1792" s="127"/>
      <c r="C1792" s="128" t="s">
        <v>590</v>
      </c>
      <c r="D1792" s="128" t="s">
        <v>590</v>
      </c>
      <c r="E1792" s="583" t="s">
        <v>267</v>
      </c>
      <c r="F1792" s="127" t="s">
        <v>268</v>
      </c>
      <c r="G1792" s="130"/>
      <c r="H1792" s="131"/>
      <c r="I1792" s="143"/>
      <c r="J1792" s="131">
        <f>SUM(J1793:J1793)</f>
        <v>14506.290299999997</v>
      </c>
    </row>
    <row r="1793" spans="1:10">
      <c r="A1793" s="584"/>
      <c r="B1793" s="585"/>
      <c r="C1793" s="586" t="s">
        <v>590</v>
      </c>
      <c r="D1793" s="133" t="s">
        <v>665</v>
      </c>
      <c r="E1793" s="587" t="str">
        <f>" - "&amp;'Giá Máy'!E6</f>
        <v xml:space="preserve"> - Cần cẩu bánh hơi 6T</v>
      </c>
      <c r="F1793" s="585" t="str">
        <f>'Giá Máy'!F6</f>
        <v>ca</v>
      </c>
      <c r="G1793" s="588">
        <f>PTVT!G868</f>
        <v>1.4999999999999999E-2</v>
      </c>
      <c r="H1793" s="589">
        <f>'Giá Máy'!O6</f>
        <v>1611810.0333333332</v>
      </c>
      <c r="I1793" s="603">
        <f>'5.Tiên lượng'!X204</f>
        <v>0.6</v>
      </c>
      <c r="J1793" s="589">
        <f>PRODUCT(G1793,H1793,I1793)</f>
        <v>14506.290299999997</v>
      </c>
    </row>
    <row r="1794" spans="1:10">
      <c r="A1794" s="584"/>
      <c r="B1794" s="585"/>
      <c r="C1794" s="586" t="s">
        <v>590</v>
      </c>
      <c r="D1794" s="133" t="s">
        <v>590</v>
      </c>
      <c r="E1794" s="587" t="s">
        <v>269</v>
      </c>
      <c r="F1794" s="585" t="s">
        <v>270</v>
      </c>
      <c r="G1794" s="590"/>
      <c r="H1794" s="589"/>
      <c r="I1794" s="603"/>
      <c r="J1794" s="589">
        <f>J1789+J1790+J1792</f>
        <v>18950.634299999998</v>
      </c>
    </row>
    <row r="1795" spans="1:10">
      <c r="A1795" s="584"/>
      <c r="B1795" s="585"/>
      <c r="C1795" s="586" t="s">
        <v>590</v>
      </c>
      <c r="D1795" s="133" t="s">
        <v>590</v>
      </c>
      <c r="E1795" s="587" t="s">
        <v>273</v>
      </c>
      <c r="F1795" s="585" t="s">
        <v>274</v>
      </c>
      <c r="G1795" s="591">
        <f>'Thông tin'!E67</f>
        <v>6.2E-2</v>
      </c>
      <c r="H1795" s="589"/>
      <c r="I1795" s="603"/>
      <c r="J1795" s="589">
        <f>(J1794)*G1795</f>
        <v>1174.9393266</v>
      </c>
    </row>
    <row r="1796" spans="1:10">
      <c r="A1796" s="584"/>
      <c r="B1796" s="585"/>
      <c r="C1796" s="586" t="s">
        <v>590</v>
      </c>
      <c r="D1796" s="133" t="s">
        <v>590</v>
      </c>
      <c r="E1796" s="587" t="s">
        <v>276</v>
      </c>
      <c r="F1796" s="585" t="s">
        <v>277</v>
      </c>
      <c r="G1796" s="591">
        <f>'Thông tin'!E60</f>
        <v>2.2000000000000002E-2</v>
      </c>
      <c r="H1796" s="589"/>
      <c r="I1796" s="603"/>
      <c r="J1796" s="589">
        <f>(J1794)*G1796</f>
        <v>416.91395460000001</v>
      </c>
    </row>
    <row r="1797" spans="1:10" ht="27.6">
      <c r="A1797" s="584"/>
      <c r="B1797" s="585"/>
      <c r="C1797" s="586" t="s">
        <v>590</v>
      </c>
      <c r="D1797" s="133" t="s">
        <v>590</v>
      </c>
      <c r="E1797" s="587" t="s">
        <v>279</v>
      </c>
      <c r="F1797" s="585" t="s">
        <v>142</v>
      </c>
      <c r="G1797" s="591">
        <f>'Thông tin'!E65</f>
        <v>0.02</v>
      </c>
      <c r="H1797" s="589"/>
      <c r="I1797" s="603"/>
      <c r="J1797" s="589">
        <f>(J1794)*G1797</f>
        <v>379.01268599999997</v>
      </c>
    </row>
    <row r="1798" spans="1:10">
      <c r="A1798" s="584"/>
      <c r="B1798" s="585"/>
      <c r="C1798" s="586" t="s">
        <v>590</v>
      </c>
      <c r="D1798" s="133" t="s">
        <v>590</v>
      </c>
      <c r="E1798" s="587" t="s">
        <v>281</v>
      </c>
      <c r="F1798" s="585" t="s">
        <v>282</v>
      </c>
      <c r="G1798" s="590"/>
      <c r="H1798" s="589"/>
      <c r="I1798" s="603"/>
      <c r="J1798" s="589">
        <f>J1795+J1796+J1797</f>
        <v>1970.8659671999999</v>
      </c>
    </row>
    <row r="1799" spans="1:10">
      <c r="A1799" s="584"/>
      <c r="B1799" s="585"/>
      <c r="C1799" s="586" t="s">
        <v>590</v>
      </c>
      <c r="D1799" s="133" t="s">
        <v>590</v>
      </c>
      <c r="E1799" s="587" t="s">
        <v>284</v>
      </c>
      <c r="F1799" s="585" t="s">
        <v>285</v>
      </c>
      <c r="G1799" s="591">
        <f>'Thông tin'!E63</f>
        <v>0.06</v>
      </c>
      <c r="H1799" s="589"/>
      <c r="I1799" s="603"/>
      <c r="J1799" s="589">
        <f>(J1794+J1798)*G1799</f>
        <v>1255.2900160319998</v>
      </c>
    </row>
    <row r="1800" spans="1:10">
      <c r="A1800" s="584"/>
      <c r="B1800" s="585"/>
      <c r="C1800" s="586" t="s">
        <v>590</v>
      </c>
      <c r="D1800" s="133" t="s">
        <v>590</v>
      </c>
      <c r="E1800" s="592" t="s">
        <v>287</v>
      </c>
      <c r="F1800" s="593" t="s">
        <v>288</v>
      </c>
      <c r="G1800" s="590"/>
      <c r="H1800" s="589"/>
      <c r="I1800" s="603"/>
      <c r="J1800" s="604">
        <f>J1794+J1798+J1799</f>
        <v>22176.790283231996</v>
      </c>
    </row>
    <row r="1801" spans="1:10">
      <c r="A1801" s="584"/>
      <c r="B1801" s="585"/>
      <c r="C1801" s="586" t="s">
        <v>590</v>
      </c>
      <c r="D1801" s="133" t="s">
        <v>590</v>
      </c>
      <c r="E1801" s="587" t="s">
        <v>290</v>
      </c>
      <c r="F1801" s="585" t="s">
        <v>291</v>
      </c>
      <c r="G1801" s="591">
        <f>'Thông tin'!E61</f>
        <v>0.1</v>
      </c>
      <c r="H1801" s="589"/>
      <c r="I1801" s="603"/>
      <c r="J1801" s="589">
        <f>(J1800)*G1801</f>
        <v>2217.6790283231999</v>
      </c>
    </row>
    <row r="1802" spans="1:10">
      <c r="A1802" s="594"/>
      <c r="B1802" s="595"/>
      <c r="C1802" s="596" t="s">
        <v>590</v>
      </c>
      <c r="D1802" s="137" t="s">
        <v>590</v>
      </c>
      <c r="E1802" s="597" t="s">
        <v>293</v>
      </c>
      <c r="F1802" s="598" t="s">
        <v>19</v>
      </c>
      <c r="G1802" s="599"/>
      <c r="H1802" s="600"/>
      <c r="I1802" s="605"/>
      <c r="J1802" s="606">
        <f>J1800+J1801</f>
        <v>24394.469311555196</v>
      </c>
    </row>
    <row r="1803" spans="1:10" ht="27.6">
      <c r="A1803" s="578"/>
      <c r="B1803" s="579">
        <v>99</v>
      </c>
      <c r="C1803" s="578" t="str">
        <f>'5.Tiên lượng'!C205</f>
        <v>BB.11211VD</v>
      </c>
      <c r="D1803" s="578" t="str">
        <f>'5.Tiên lượng'!C205</f>
        <v>BB.11211VD</v>
      </c>
      <c r="E1803" s="580" t="str">
        <f>'5.Tiên lượng'!D205</f>
        <v>Tháo dỡ ống bê tông bằng cần cẩu, đoạn ống dài 1m - Đường kính 400mm</v>
      </c>
      <c r="F1803" s="579" t="str">
        <f>'5.Tiên lượng'!E205</f>
        <v>1 đoạn ống</v>
      </c>
      <c r="G1803" s="581"/>
      <c r="H1803" s="582"/>
      <c r="I1803" s="602"/>
      <c r="J1803" s="582"/>
    </row>
    <row r="1804" spans="1:10">
      <c r="A1804" s="126"/>
      <c r="B1804" s="127"/>
      <c r="C1804" s="128" t="s">
        <v>590</v>
      </c>
      <c r="D1804" s="128" t="s">
        <v>590</v>
      </c>
      <c r="E1804" s="583" t="s">
        <v>262</v>
      </c>
      <c r="F1804" s="127" t="s">
        <v>263</v>
      </c>
      <c r="G1804" s="130"/>
      <c r="H1804" s="131"/>
      <c r="I1804" s="143"/>
      <c r="J1804" s="131">
        <v>0</v>
      </c>
    </row>
    <row r="1805" spans="1:10">
      <c r="A1805" s="126"/>
      <c r="B1805" s="127"/>
      <c r="C1805" s="128" t="s">
        <v>590</v>
      </c>
      <c r="D1805" s="128" t="s">
        <v>590</v>
      </c>
      <c r="E1805" s="583" t="s">
        <v>265</v>
      </c>
      <c r="F1805" s="127" t="s">
        <v>266</v>
      </c>
      <c r="G1805" s="130"/>
      <c r="H1805" s="131"/>
      <c r="I1805" s="143"/>
      <c r="J1805" s="131">
        <f>SUM(J1806:J1806)</f>
        <v>70200</v>
      </c>
    </row>
    <row r="1806" spans="1:10">
      <c r="A1806" s="584"/>
      <c r="B1806" s="585"/>
      <c r="C1806" s="586" t="s">
        <v>590</v>
      </c>
      <c r="D1806" s="133" t="s">
        <v>622</v>
      </c>
      <c r="E1806" s="587" t="str">
        <f>" - "&amp;'Giá NC'!E9</f>
        <v xml:space="preserve"> - Nhân công bậc 3,5/7 - Nhóm 2</v>
      </c>
      <c r="F1806" s="585" t="str">
        <f>'Giá NC'!F9</f>
        <v>công</v>
      </c>
      <c r="G1806" s="588">
        <f>PTVT!G871</f>
        <v>0.26</v>
      </c>
      <c r="H1806" s="589">
        <f>'Giá NC'!K9</f>
        <v>270000</v>
      </c>
      <c r="I1806" s="603">
        <f>'5.Tiên lượng'!W205</f>
        <v>1</v>
      </c>
      <c r="J1806" s="589">
        <f>PRODUCT(G1806,H1806,I1806)</f>
        <v>70200</v>
      </c>
    </row>
    <row r="1807" spans="1:10">
      <c r="A1807" s="126"/>
      <c r="B1807" s="127"/>
      <c r="C1807" s="128" t="s">
        <v>590</v>
      </c>
      <c r="D1807" s="128" t="s">
        <v>590</v>
      </c>
      <c r="E1807" s="583" t="s">
        <v>267</v>
      </c>
      <c r="F1807" s="127" t="s">
        <v>268</v>
      </c>
      <c r="G1807" s="130"/>
      <c r="H1807" s="131"/>
      <c r="I1807" s="143"/>
      <c r="J1807" s="131">
        <f>SUM(J1808:J1809)</f>
        <v>62618.819794999989</v>
      </c>
    </row>
    <row r="1808" spans="1:10">
      <c r="A1808" s="584"/>
      <c r="B1808" s="585"/>
      <c r="C1808" s="586" t="s">
        <v>590</v>
      </c>
      <c r="D1808" s="133" t="s">
        <v>665</v>
      </c>
      <c r="E1808" s="587" t="str">
        <f>" - "&amp;'Giá Máy'!E6</f>
        <v xml:space="preserve"> - Cần cẩu bánh hơi 6T</v>
      </c>
      <c r="F1808" s="585" t="str">
        <f>'Giá Máy'!F6</f>
        <v>ca</v>
      </c>
      <c r="G1808" s="588">
        <f>PTVT!G873</f>
        <v>3.6999999999999998E-2</v>
      </c>
      <c r="H1808" s="589">
        <f>'Giá Máy'!O6</f>
        <v>1611810.0333333332</v>
      </c>
      <c r="I1808" s="603">
        <f>'5.Tiên lượng'!X205</f>
        <v>1</v>
      </c>
      <c r="J1808" s="589">
        <f t="shared" ref="J1808:J1809" si="117">PRODUCT(G1808,H1808,I1808)</f>
        <v>59636.971233333323</v>
      </c>
    </row>
    <row r="1809" spans="1:10">
      <c r="A1809" s="584"/>
      <c r="B1809" s="585"/>
      <c r="C1809" s="586" t="s">
        <v>590</v>
      </c>
      <c r="D1809" s="133" t="s">
        <v>611</v>
      </c>
      <c r="E1809" s="587" t="s">
        <v>612</v>
      </c>
      <c r="F1809" s="585" t="s">
        <v>37</v>
      </c>
      <c r="G1809" s="588">
        <f>PTVT!G874</f>
        <v>5</v>
      </c>
      <c r="H1809" s="589">
        <f>IF('5.Tiên lượng'!X205&lt;&gt;0,SUM(J1808:J1808)/100/'5.Tiên lượng'!X205,0)</f>
        <v>596.36971233333327</v>
      </c>
      <c r="I1809" s="603">
        <f>'5.Tiên lượng'!X205</f>
        <v>1</v>
      </c>
      <c r="J1809" s="589">
        <f t="shared" si="117"/>
        <v>2981.8485616666662</v>
      </c>
    </row>
    <row r="1810" spans="1:10">
      <c r="A1810" s="584"/>
      <c r="B1810" s="585"/>
      <c r="C1810" s="586" t="s">
        <v>590</v>
      </c>
      <c r="D1810" s="133" t="s">
        <v>590</v>
      </c>
      <c r="E1810" s="587" t="s">
        <v>269</v>
      </c>
      <c r="F1810" s="585" t="s">
        <v>270</v>
      </c>
      <c r="G1810" s="590"/>
      <c r="H1810" s="589"/>
      <c r="I1810" s="603"/>
      <c r="J1810" s="589">
        <f>J1804+J1805+J1807</f>
        <v>132818.81979499999</v>
      </c>
    </row>
    <row r="1811" spans="1:10">
      <c r="A1811" s="584"/>
      <c r="B1811" s="585"/>
      <c r="C1811" s="586" t="s">
        <v>590</v>
      </c>
      <c r="D1811" s="133" t="s">
        <v>590</v>
      </c>
      <c r="E1811" s="587" t="s">
        <v>273</v>
      </c>
      <c r="F1811" s="585" t="s">
        <v>274</v>
      </c>
      <c r="G1811" s="591">
        <f>'Thông tin'!E67</f>
        <v>6.2E-2</v>
      </c>
      <c r="H1811" s="589"/>
      <c r="I1811" s="603"/>
      <c r="J1811" s="589">
        <f>(J1810)*G1811</f>
        <v>8234.7668272899991</v>
      </c>
    </row>
    <row r="1812" spans="1:10">
      <c r="A1812" s="584"/>
      <c r="B1812" s="585"/>
      <c r="C1812" s="586" t="s">
        <v>590</v>
      </c>
      <c r="D1812" s="133" t="s">
        <v>590</v>
      </c>
      <c r="E1812" s="587" t="s">
        <v>276</v>
      </c>
      <c r="F1812" s="585" t="s">
        <v>277</v>
      </c>
      <c r="G1812" s="591">
        <f>'Thông tin'!E60</f>
        <v>2.2000000000000002E-2</v>
      </c>
      <c r="H1812" s="589"/>
      <c r="I1812" s="603"/>
      <c r="J1812" s="589">
        <f>(J1810)*G1812</f>
        <v>2922.01403549</v>
      </c>
    </row>
    <row r="1813" spans="1:10" ht="27.6">
      <c r="A1813" s="584"/>
      <c r="B1813" s="585"/>
      <c r="C1813" s="586" t="s">
        <v>590</v>
      </c>
      <c r="D1813" s="133" t="s">
        <v>590</v>
      </c>
      <c r="E1813" s="587" t="s">
        <v>279</v>
      </c>
      <c r="F1813" s="585" t="s">
        <v>142</v>
      </c>
      <c r="G1813" s="591">
        <f>'Thông tin'!E65</f>
        <v>0.02</v>
      </c>
      <c r="H1813" s="589"/>
      <c r="I1813" s="603"/>
      <c r="J1813" s="589">
        <f>(J1810)*G1813</f>
        <v>2656.3763958999998</v>
      </c>
    </row>
    <row r="1814" spans="1:10">
      <c r="A1814" s="584"/>
      <c r="B1814" s="585"/>
      <c r="C1814" s="586" t="s">
        <v>590</v>
      </c>
      <c r="D1814" s="133" t="s">
        <v>590</v>
      </c>
      <c r="E1814" s="587" t="s">
        <v>281</v>
      </c>
      <c r="F1814" s="585" t="s">
        <v>282</v>
      </c>
      <c r="G1814" s="590"/>
      <c r="H1814" s="589"/>
      <c r="I1814" s="603"/>
      <c r="J1814" s="589">
        <f>J1811+J1812+J1813</f>
        <v>13813.157258679999</v>
      </c>
    </row>
    <row r="1815" spans="1:10">
      <c r="A1815" s="584"/>
      <c r="B1815" s="585"/>
      <c r="C1815" s="586" t="s">
        <v>590</v>
      </c>
      <c r="D1815" s="133" t="s">
        <v>590</v>
      </c>
      <c r="E1815" s="587" t="s">
        <v>284</v>
      </c>
      <c r="F1815" s="585" t="s">
        <v>285</v>
      </c>
      <c r="G1815" s="591">
        <f>'Thông tin'!E63</f>
        <v>0.06</v>
      </c>
      <c r="H1815" s="589"/>
      <c r="I1815" s="603"/>
      <c r="J1815" s="589">
        <f>(J1810+J1814)*G1815</f>
        <v>8797.9186232207994</v>
      </c>
    </row>
    <row r="1816" spans="1:10">
      <c r="A1816" s="584"/>
      <c r="B1816" s="585"/>
      <c r="C1816" s="586" t="s">
        <v>590</v>
      </c>
      <c r="D1816" s="133" t="s">
        <v>590</v>
      </c>
      <c r="E1816" s="592" t="s">
        <v>287</v>
      </c>
      <c r="F1816" s="593" t="s">
        <v>288</v>
      </c>
      <c r="G1816" s="590"/>
      <c r="H1816" s="589"/>
      <c r="I1816" s="603"/>
      <c r="J1816" s="604">
        <f>J1810+J1814+J1815</f>
        <v>155429.89567690078</v>
      </c>
    </row>
    <row r="1817" spans="1:10">
      <c r="A1817" s="584"/>
      <c r="B1817" s="585"/>
      <c r="C1817" s="586" t="s">
        <v>590</v>
      </c>
      <c r="D1817" s="133" t="s">
        <v>590</v>
      </c>
      <c r="E1817" s="587" t="s">
        <v>290</v>
      </c>
      <c r="F1817" s="585" t="s">
        <v>291</v>
      </c>
      <c r="G1817" s="591">
        <f>'Thông tin'!E61</f>
        <v>0.1</v>
      </c>
      <c r="H1817" s="589"/>
      <c r="I1817" s="603"/>
      <c r="J1817" s="589">
        <f>(J1816)*G1817</f>
        <v>15542.989567690078</v>
      </c>
    </row>
    <row r="1818" spans="1:10">
      <c r="A1818" s="594"/>
      <c r="B1818" s="595"/>
      <c r="C1818" s="596" t="s">
        <v>590</v>
      </c>
      <c r="D1818" s="137" t="s">
        <v>590</v>
      </c>
      <c r="E1818" s="597" t="s">
        <v>293</v>
      </c>
      <c r="F1818" s="598" t="s">
        <v>19</v>
      </c>
      <c r="G1818" s="599"/>
      <c r="H1818" s="600"/>
      <c r="I1818" s="605"/>
      <c r="J1818" s="606">
        <f>J1816+J1817</f>
        <v>170972.88524459087</v>
      </c>
    </row>
    <row r="1819" spans="1:10" ht="27.6">
      <c r="A1819" s="578"/>
      <c r="B1819" s="579">
        <v>100</v>
      </c>
      <c r="C1819" s="578" t="str">
        <f>'5.Tiên lượng'!C206</f>
        <v>AA.22121</v>
      </c>
      <c r="D1819" s="578" t="str">
        <f>'5.Tiên lượng'!C206</f>
        <v>AA.22121</v>
      </c>
      <c r="E1819" s="580" t="str">
        <f>'5.Tiên lượng'!D206</f>
        <v>Phá dỡ kết cấu gạch đá bằng búa căn khí nén 3m3/ph</v>
      </c>
      <c r="F1819" s="579" t="str">
        <f>'5.Tiên lượng'!E206</f>
        <v>m3</v>
      </c>
      <c r="G1819" s="581"/>
      <c r="H1819" s="582"/>
      <c r="I1819" s="602"/>
      <c r="J1819" s="582"/>
    </row>
    <row r="1820" spans="1:10">
      <c r="A1820" s="126"/>
      <c r="B1820" s="127"/>
      <c r="C1820" s="128" t="s">
        <v>590</v>
      </c>
      <c r="D1820" s="128" t="s">
        <v>590</v>
      </c>
      <c r="E1820" s="583" t="s">
        <v>262</v>
      </c>
      <c r="F1820" s="127" t="s">
        <v>263</v>
      </c>
      <c r="G1820" s="130"/>
      <c r="H1820" s="131"/>
      <c r="I1820" s="143"/>
      <c r="J1820" s="131">
        <v>0</v>
      </c>
    </row>
    <row r="1821" spans="1:10">
      <c r="A1821" s="126"/>
      <c r="B1821" s="127"/>
      <c r="C1821" s="128" t="s">
        <v>590</v>
      </c>
      <c r="D1821" s="128" t="s">
        <v>590</v>
      </c>
      <c r="E1821" s="583" t="s">
        <v>265</v>
      </c>
      <c r="F1821" s="127" t="s">
        <v>266</v>
      </c>
      <c r="G1821" s="130"/>
      <c r="H1821" s="131"/>
      <c r="I1821" s="143"/>
      <c r="J1821" s="131">
        <f>SUM(J1822:J1822)</f>
        <v>45723.600000000006</v>
      </c>
    </row>
    <row r="1822" spans="1:10">
      <c r="A1822" s="584"/>
      <c r="B1822" s="585"/>
      <c r="C1822" s="586" t="s">
        <v>590</v>
      </c>
      <c r="D1822" s="133" t="s">
        <v>598</v>
      </c>
      <c r="E1822" s="587" t="str">
        <f>" - "&amp;'Giá NC'!E5</f>
        <v xml:space="preserve"> - Nhân công bậc 3,0/7 - Nhóm 1</v>
      </c>
      <c r="F1822" s="585" t="str">
        <f>'Giá NC'!F5</f>
        <v>công</v>
      </c>
      <c r="G1822" s="588">
        <f>PTVT!G877</f>
        <v>0.2</v>
      </c>
      <c r="H1822" s="589">
        <f>'Giá NC'!K5</f>
        <v>228618</v>
      </c>
      <c r="I1822" s="603">
        <f>'5.Tiên lượng'!W206</f>
        <v>1</v>
      </c>
      <c r="J1822" s="589">
        <f>PRODUCT(G1822,H1822,I1822)</f>
        <v>45723.600000000006</v>
      </c>
    </row>
    <row r="1823" spans="1:10">
      <c r="A1823" s="126"/>
      <c r="B1823" s="127"/>
      <c r="C1823" s="128" t="s">
        <v>590</v>
      </c>
      <c r="D1823" s="128" t="s">
        <v>590</v>
      </c>
      <c r="E1823" s="583" t="s">
        <v>267</v>
      </c>
      <c r="F1823" s="127" t="s">
        <v>268</v>
      </c>
      <c r="G1823" s="130"/>
      <c r="H1823" s="131"/>
      <c r="I1823" s="143"/>
      <c r="J1823" s="131">
        <f>SUM(J1824:J1825)</f>
        <v>90038.426666666666</v>
      </c>
    </row>
    <row r="1824" spans="1:10">
      <c r="A1824" s="584"/>
      <c r="B1824" s="585"/>
      <c r="C1824" s="586" t="s">
        <v>590</v>
      </c>
      <c r="D1824" s="133" t="s">
        <v>673</v>
      </c>
      <c r="E1824" s="587" t="str">
        <f>" - "&amp;'Giá Máy'!E5</f>
        <v xml:space="preserve"> - Búa căn khí nén 3m3/ph</v>
      </c>
      <c r="F1824" s="585" t="str">
        <f>'Giá Máy'!F5</f>
        <v>ca</v>
      </c>
      <c r="G1824" s="588">
        <f>PTVT!G879</f>
        <v>0.15</v>
      </c>
      <c r="H1824" s="589">
        <f>'Giá Máy'!O5</f>
        <v>21146.666666666668</v>
      </c>
      <c r="I1824" s="603">
        <f>'5.Tiên lượng'!X206</f>
        <v>1</v>
      </c>
      <c r="J1824" s="589">
        <f t="shared" ref="J1824:J1825" si="118">PRODUCT(G1824,H1824,I1824)</f>
        <v>3172</v>
      </c>
    </row>
    <row r="1825" spans="1:10">
      <c r="A1825" s="584"/>
      <c r="B1825" s="585"/>
      <c r="C1825" s="586" t="s">
        <v>590</v>
      </c>
      <c r="D1825" s="133" t="s">
        <v>674</v>
      </c>
      <c r="E1825" s="587" t="str">
        <f>" - "&amp;'Giá Máy'!E21</f>
        <v xml:space="preserve"> - Máy nén khí diezel 360m3/h</v>
      </c>
      <c r="F1825" s="585" t="str">
        <f>'Giá Máy'!F21</f>
        <v>ca</v>
      </c>
      <c r="G1825" s="588">
        <f>PTVT!G880</f>
        <v>7.4999999999999997E-2</v>
      </c>
      <c r="H1825" s="589">
        <f>'Giá Máy'!O21</f>
        <v>1158219.0222222223</v>
      </c>
      <c r="I1825" s="603">
        <f>'5.Tiên lượng'!X206</f>
        <v>1</v>
      </c>
      <c r="J1825" s="589">
        <f t="shared" si="118"/>
        <v>86866.426666666666</v>
      </c>
    </row>
    <row r="1826" spans="1:10">
      <c r="A1826" s="584"/>
      <c r="B1826" s="585"/>
      <c r="C1826" s="586" t="s">
        <v>590</v>
      </c>
      <c r="D1826" s="133" t="s">
        <v>590</v>
      </c>
      <c r="E1826" s="587" t="s">
        <v>269</v>
      </c>
      <c r="F1826" s="585" t="s">
        <v>270</v>
      </c>
      <c r="G1826" s="590"/>
      <c r="H1826" s="589"/>
      <c r="I1826" s="603"/>
      <c r="J1826" s="589">
        <f>J1820+J1821+J1823</f>
        <v>135762.02666666667</v>
      </c>
    </row>
    <row r="1827" spans="1:10">
      <c r="A1827" s="584"/>
      <c r="B1827" s="585"/>
      <c r="C1827" s="586" t="s">
        <v>590</v>
      </c>
      <c r="D1827" s="133" t="s">
        <v>590</v>
      </c>
      <c r="E1827" s="587" t="s">
        <v>273</v>
      </c>
      <c r="F1827" s="585" t="s">
        <v>274</v>
      </c>
      <c r="G1827" s="591">
        <f>'Thông tin'!E67</f>
        <v>6.2E-2</v>
      </c>
      <c r="H1827" s="589"/>
      <c r="I1827" s="603"/>
      <c r="J1827" s="589">
        <f>(J1826)*G1827</f>
        <v>8417.2456533333334</v>
      </c>
    </row>
    <row r="1828" spans="1:10">
      <c r="A1828" s="584"/>
      <c r="B1828" s="585"/>
      <c r="C1828" s="586" t="s">
        <v>590</v>
      </c>
      <c r="D1828" s="133" t="s">
        <v>590</v>
      </c>
      <c r="E1828" s="587" t="s">
        <v>276</v>
      </c>
      <c r="F1828" s="585" t="s">
        <v>277</v>
      </c>
      <c r="G1828" s="591">
        <f>'Thông tin'!E60</f>
        <v>2.2000000000000002E-2</v>
      </c>
      <c r="H1828" s="589"/>
      <c r="I1828" s="603"/>
      <c r="J1828" s="589">
        <f>(J1826)*G1828</f>
        <v>2986.7645866666671</v>
      </c>
    </row>
    <row r="1829" spans="1:10" ht="27.6">
      <c r="A1829" s="584"/>
      <c r="B1829" s="585"/>
      <c r="C1829" s="586" t="s">
        <v>590</v>
      </c>
      <c r="D1829" s="133" t="s">
        <v>590</v>
      </c>
      <c r="E1829" s="587" t="s">
        <v>279</v>
      </c>
      <c r="F1829" s="585" t="s">
        <v>142</v>
      </c>
      <c r="G1829" s="591">
        <f>'Thông tin'!E65</f>
        <v>0.02</v>
      </c>
      <c r="H1829" s="589"/>
      <c r="I1829" s="603"/>
      <c r="J1829" s="589">
        <f>(J1826)*G1829</f>
        <v>2715.2405333333336</v>
      </c>
    </row>
    <row r="1830" spans="1:10">
      <c r="A1830" s="584"/>
      <c r="B1830" s="585"/>
      <c r="C1830" s="586" t="s">
        <v>590</v>
      </c>
      <c r="D1830" s="133" t="s">
        <v>590</v>
      </c>
      <c r="E1830" s="587" t="s">
        <v>281</v>
      </c>
      <c r="F1830" s="585" t="s">
        <v>282</v>
      </c>
      <c r="G1830" s="590"/>
      <c r="H1830" s="589"/>
      <c r="I1830" s="603"/>
      <c r="J1830" s="589">
        <f>J1827+J1828+J1829</f>
        <v>14119.250773333333</v>
      </c>
    </row>
    <row r="1831" spans="1:10">
      <c r="A1831" s="584"/>
      <c r="B1831" s="585"/>
      <c r="C1831" s="586" t="s">
        <v>590</v>
      </c>
      <c r="D1831" s="133" t="s">
        <v>590</v>
      </c>
      <c r="E1831" s="587" t="s">
        <v>284</v>
      </c>
      <c r="F1831" s="585" t="s">
        <v>285</v>
      </c>
      <c r="G1831" s="591">
        <f>'Thông tin'!E63</f>
        <v>0.06</v>
      </c>
      <c r="H1831" s="589"/>
      <c r="I1831" s="603"/>
      <c r="J1831" s="589">
        <f>(J1826+J1830)*G1831</f>
        <v>8992.8766464</v>
      </c>
    </row>
    <row r="1832" spans="1:10">
      <c r="A1832" s="584"/>
      <c r="B1832" s="585"/>
      <c r="C1832" s="586" t="s">
        <v>590</v>
      </c>
      <c r="D1832" s="133" t="s">
        <v>590</v>
      </c>
      <c r="E1832" s="592" t="s">
        <v>287</v>
      </c>
      <c r="F1832" s="593" t="s">
        <v>288</v>
      </c>
      <c r="G1832" s="590"/>
      <c r="H1832" s="589"/>
      <c r="I1832" s="603"/>
      <c r="J1832" s="604">
        <f>J1826+J1830+J1831</f>
        <v>158874.1540864</v>
      </c>
    </row>
    <row r="1833" spans="1:10">
      <c r="A1833" s="584"/>
      <c r="B1833" s="585"/>
      <c r="C1833" s="586" t="s">
        <v>590</v>
      </c>
      <c r="D1833" s="133" t="s">
        <v>590</v>
      </c>
      <c r="E1833" s="587" t="s">
        <v>290</v>
      </c>
      <c r="F1833" s="585" t="s">
        <v>291</v>
      </c>
      <c r="G1833" s="591">
        <f>'Thông tin'!E61</f>
        <v>0.1</v>
      </c>
      <c r="H1833" s="589"/>
      <c r="I1833" s="603"/>
      <c r="J1833" s="589">
        <f>(J1832)*G1833</f>
        <v>15887.415408640001</v>
      </c>
    </row>
    <row r="1834" spans="1:10">
      <c r="A1834" s="594"/>
      <c r="B1834" s="595"/>
      <c r="C1834" s="596" t="s">
        <v>590</v>
      </c>
      <c r="D1834" s="137" t="s">
        <v>590</v>
      </c>
      <c r="E1834" s="597" t="s">
        <v>293</v>
      </c>
      <c r="F1834" s="598" t="s">
        <v>19</v>
      </c>
      <c r="G1834" s="599"/>
      <c r="H1834" s="600"/>
      <c r="I1834" s="605"/>
      <c r="J1834" s="606">
        <f>J1832+J1833</f>
        <v>174761.56949503999</v>
      </c>
    </row>
    <row r="1835" spans="1:10" ht="27.6">
      <c r="A1835" s="578"/>
      <c r="B1835" s="579">
        <v>101</v>
      </c>
      <c r="C1835" s="578" t="str">
        <f>'5.Tiên lượng'!C209</f>
        <v>AB.41432</v>
      </c>
      <c r="D1835" s="578" t="str">
        <f>'5.Tiên lượng'!C209</f>
        <v>AB.41432</v>
      </c>
      <c r="E1835" s="580" t="str">
        <f>'5.Tiên lượng'!D209</f>
        <v>Vận chuyển đất bằng ô tô tự đổ 10T, phạm vi ≤1000m - Cấp đất II</v>
      </c>
      <c r="F1835" s="579" t="str">
        <f>'5.Tiên lượng'!E209</f>
        <v>100m3</v>
      </c>
      <c r="G1835" s="581"/>
      <c r="H1835" s="582"/>
      <c r="I1835" s="602"/>
      <c r="J1835" s="582"/>
    </row>
    <row r="1836" spans="1:10">
      <c r="A1836" s="126"/>
      <c r="B1836" s="127"/>
      <c r="C1836" s="128" t="s">
        <v>590</v>
      </c>
      <c r="D1836" s="128" t="s">
        <v>590</v>
      </c>
      <c r="E1836" s="583" t="s">
        <v>262</v>
      </c>
      <c r="F1836" s="127" t="s">
        <v>263</v>
      </c>
      <c r="G1836" s="130"/>
      <c r="H1836" s="131"/>
      <c r="I1836" s="143"/>
      <c r="J1836" s="131">
        <v>0</v>
      </c>
    </row>
    <row r="1837" spans="1:10">
      <c r="A1837" s="126"/>
      <c r="B1837" s="127"/>
      <c r="C1837" s="128" t="s">
        <v>590</v>
      </c>
      <c r="D1837" s="128" t="s">
        <v>590</v>
      </c>
      <c r="E1837" s="583" t="s">
        <v>265</v>
      </c>
      <c r="F1837" s="127" t="s">
        <v>266</v>
      </c>
      <c r="G1837" s="130"/>
      <c r="H1837" s="131"/>
      <c r="I1837" s="143"/>
      <c r="J1837" s="131">
        <v>0</v>
      </c>
    </row>
    <row r="1838" spans="1:10">
      <c r="A1838" s="126"/>
      <c r="B1838" s="127"/>
      <c r="C1838" s="128" t="s">
        <v>590</v>
      </c>
      <c r="D1838" s="128" t="s">
        <v>590</v>
      </c>
      <c r="E1838" s="583" t="s">
        <v>267</v>
      </c>
      <c r="F1838" s="127" t="s">
        <v>268</v>
      </c>
      <c r="G1838" s="130"/>
      <c r="H1838" s="131"/>
      <c r="I1838" s="143"/>
      <c r="J1838" s="131">
        <f>SUM(J1839:J1839)</f>
        <v>1518125.1906057145</v>
      </c>
    </row>
    <row r="1839" spans="1:10">
      <c r="A1839" s="584"/>
      <c r="B1839" s="585"/>
      <c r="C1839" s="586" t="s">
        <v>590</v>
      </c>
      <c r="D1839" s="133" t="s">
        <v>683</v>
      </c>
      <c r="E1839" s="587" t="str">
        <f>" - "&amp;'Giá Máy'!E31</f>
        <v xml:space="preserve"> - Ô tô tự đổ 10T</v>
      </c>
      <c r="F1839" s="585" t="str">
        <f>'Giá Máy'!F31</f>
        <v>ca</v>
      </c>
      <c r="G1839" s="588">
        <f>PTVT!G883</f>
        <v>0.76900000000000002</v>
      </c>
      <c r="H1839" s="589">
        <f>'Giá Máy'!O31</f>
        <v>1974154.9942857143</v>
      </c>
      <c r="I1839" s="603">
        <f>'5.Tiên lượng'!X209</f>
        <v>1</v>
      </c>
      <c r="J1839" s="589">
        <f>PRODUCT(G1839,H1839,I1839)</f>
        <v>1518125.1906057145</v>
      </c>
    </row>
    <row r="1840" spans="1:10">
      <c r="A1840" s="584"/>
      <c r="B1840" s="585"/>
      <c r="C1840" s="586" t="s">
        <v>590</v>
      </c>
      <c r="D1840" s="133" t="s">
        <v>590</v>
      </c>
      <c r="E1840" s="587" t="s">
        <v>269</v>
      </c>
      <c r="F1840" s="585" t="s">
        <v>270</v>
      </c>
      <c r="G1840" s="590"/>
      <c r="H1840" s="589"/>
      <c r="I1840" s="603"/>
      <c r="J1840" s="589">
        <f>J1836+J1837+J1838</f>
        <v>1518125.1906057145</v>
      </c>
    </row>
    <row r="1841" spans="1:10">
      <c r="A1841" s="584"/>
      <c r="B1841" s="585"/>
      <c r="C1841" s="586" t="s">
        <v>590</v>
      </c>
      <c r="D1841" s="133" t="s">
        <v>590</v>
      </c>
      <c r="E1841" s="587" t="s">
        <v>273</v>
      </c>
      <c r="F1841" s="585" t="s">
        <v>274</v>
      </c>
      <c r="G1841" s="591">
        <f>'Thông tin'!E67</f>
        <v>6.2E-2</v>
      </c>
      <c r="H1841" s="589"/>
      <c r="I1841" s="603"/>
      <c r="J1841" s="589">
        <f>(J1840)*G1841</f>
        <v>94123.761817554288</v>
      </c>
    </row>
    <row r="1842" spans="1:10">
      <c r="A1842" s="584"/>
      <c r="B1842" s="585"/>
      <c r="C1842" s="586" t="s">
        <v>590</v>
      </c>
      <c r="D1842" s="133" t="s">
        <v>590</v>
      </c>
      <c r="E1842" s="587" t="s">
        <v>276</v>
      </c>
      <c r="F1842" s="585" t="s">
        <v>277</v>
      </c>
      <c r="G1842" s="591">
        <f>'Thông tin'!E60</f>
        <v>2.2000000000000002E-2</v>
      </c>
      <c r="H1842" s="589"/>
      <c r="I1842" s="603"/>
      <c r="J1842" s="589">
        <f>(J1840)*G1842</f>
        <v>33398.754193325723</v>
      </c>
    </row>
    <row r="1843" spans="1:10" ht="27.6">
      <c r="A1843" s="584"/>
      <c r="B1843" s="585"/>
      <c r="C1843" s="586" t="s">
        <v>590</v>
      </c>
      <c r="D1843" s="133" t="s">
        <v>590</v>
      </c>
      <c r="E1843" s="587" t="s">
        <v>279</v>
      </c>
      <c r="F1843" s="585" t="s">
        <v>142</v>
      </c>
      <c r="G1843" s="591">
        <f>'Thông tin'!E65</f>
        <v>0.02</v>
      </c>
      <c r="H1843" s="589"/>
      <c r="I1843" s="603"/>
      <c r="J1843" s="589">
        <f>(J1840)*G1843</f>
        <v>30362.50381211429</v>
      </c>
    </row>
    <row r="1844" spans="1:10">
      <c r="A1844" s="584"/>
      <c r="B1844" s="585"/>
      <c r="C1844" s="586" t="s">
        <v>590</v>
      </c>
      <c r="D1844" s="133" t="s">
        <v>590</v>
      </c>
      <c r="E1844" s="587" t="s">
        <v>281</v>
      </c>
      <c r="F1844" s="585" t="s">
        <v>282</v>
      </c>
      <c r="G1844" s="590"/>
      <c r="H1844" s="589"/>
      <c r="I1844" s="603"/>
      <c r="J1844" s="589">
        <f>J1841+J1842+J1843</f>
        <v>157885.01982299431</v>
      </c>
    </row>
    <row r="1845" spans="1:10">
      <c r="A1845" s="584"/>
      <c r="B1845" s="585"/>
      <c r="C1845" s="586" t="s">
        <v>590</v>
      </c>
      <c r="D1845" s="133" t="s">
        <v>590</v>
      </c>
      <c r="E1845" s="587" t="s">
        <v>284</v>
      </c>
      <c r="F1845" s="585" t="s">
        <v>285</v>
      </c>
      <c r="G1845" s="591">
        <f>'Thông tin'!E63</f>
        <v>0.06</v>
      </c>
      <c r="H1845" s="589"/>
      <c r="I1845" s="603"/>
      <c r="J1845" s="589">
        <f>(J1840+J1844)*G1845</f>
        <v>100560.61262572251</v>
      </c>
    </row>
    <row r="1846" spans="1:10">
      <c r="A1846" s="584"/>
      <c r="B1846" s="585"/>
      <c r="C1846" s="586" t="s">
        <v>590</v>
      </c>
      <c r="D1846" s="133" t="s">
        <v>590</v>
      </c>
      <c r="E1846" s="592" t="s">
        <v>287</v>
      </c>
      <c r="F1846" s="593" t="s">
        <v>288</v>
      </c>
      <c r="G1846" s="590"/>
      <c r="H1846" s="589"/>
      <c r="I1846" s="603"/>
      <c r="J1846" s="604">
        <f>J1840+J1844+J1845</f>
        <v>1776570.8230544312</v>
      </c>
    </row>
    <row r="1847" spans="1:10">
      <c r="A1847" s="584"/>
      <c r="B1847" s="585"/>
      <c r="C1847" s="586" t="s">
        <v>590</v>
      </c>
      <c r="D1847" s="133" t="s">
        <v>590</v>
      </c>
      <c r="E1847" s="587" t="s">
        <v>290</v>
      </c>
      <c r="F1847" s="585" t="s">
        <v>291</v>
      </c>
      <c r="G1847" s="591">
        <f>'Thông tin'!E61</f>
        <v>0.1</v>
      </c>
      <c r="H1847" s="589"/>
      <c r="I1847" s="603"/>
      <c r="J1847" s="589">
        <f>(J1846)*G1847</f>
        <v>177657.08230544312</v>
      </c>
    </row>
    <row r="1848" spans="1:10">
      <c r="A1848" s="594"/>
      <c r="B1848" s="595"/>
      <c r="C1848" s="596" t="s">
        <v>590</v>
      </c>
      <c r="D1848" s="137" t="s">
        <v>590</v>
      </c>
      <c r="E1848" s="597" t="s">
        <v>293</v>
      </c>
      <c r="F1848" s="598" t="s">
        <v>19</v>
      </c>
      <c r="G1848" s="599"/>
      <c r="H1848" s="600"/>
      <c r="I1848" s="605"/>
      <c r="J1848" s="606">
        <f>J1846+J1847</f>
        <v>1954227.9053598745</v>
      </c>
    </row>
    <row r="1849" spans="1:10" ht="27.6">
      <c r="A1849" s="578"/>
      <c r="B1849" s="579">
        <v>102</v>
      </c>
      <c r="C1849" s="578" t="str">
        <f>'5.Tiên lượng'!C211</f>
        <v>AB.53431</v>
      </c>
      <c r="D1849" s="578" t="str">
        <f>'5.Tiên lượng'!C211</f>
        <v>AB.53431</v>
      </c>
      <c r="E1849" s="580" t="str">
        <f>'5.Tiên lượng'!D211</f>
        <v>Vận chuyển đá sau nổ mìn bằng ô tô tự đổ 10T trong phạm vi ≤1000m</v>
      </c>
      <c r="F1849" s="579" t="str">
        <f>'5.Tiên lượng'!E211</f>
        <v>100m3</v>
      </c>
      <c r="G1849" s="581"/>
      <c r="H1849" s="582"/>
      <c r="I1849" s="602"/>
      <c r="J1849" s="582"/>
    </row>
    <row r="1850" spans="1:10">
      <c r="A1850" s="126"/>
      <c r="B1850" s="127"/>
      <c r="C1850" s="128" t="s">
        <v>590</v>
      </c>
      <c r="D1850" s="128" t="s">
        <v>590</v>
      </c>
      <c r="E1850" s="583" t="s">
        <v>262</v>
      </c>
      <c r="F1850" s="127" t="s">
        <v>263</v>
      </c>
      <c r="G1850" s="130"/>
      <c r="H1850" s="131"/>
      <c r="I1850" s="143"/>
      <c r="J1850" s="131">
        <v>0</v>
      </c>
    </row>
    <row r="1851" spans="1:10">
      <c r="A1851" s="126"/>
      <c r="B1851" s="127"/>
      <c r="C1851" s="128" t="s">
        <v>590</v>
      </c>
      <c r="D1851" s="128" t="s">
        <v>590</v>
      </c>
      <c r="E1851" s="583" t="s">
        <v>265</v>
      </c>
      <c r="F1851" s="127" t="s">
        <v>266</v>
      </c>
      <c r="G1851" s="130"/>
      <c r="H1851" s="131"/>
      <c r="I1851" s="143"/>
      <c r="J1851" s="131">
        <v>0</v>
      </c>
    </row>
    <row r="1852" spans="1:10">
      <c r="A1852" s="126"/>
      <c r="B1852" s="127"/>
      <c r="C1852" s="128" t="s">
        <v>590</v>
      </c>
      <c r="D1852" s="128" t="s">
        <v>590</v>
      </c>
      <c r="E1852" s="583" t="s">
        <v>267</v>
      </c>
      <c r="F1852" s="127" t="s">
        <v>268</v>
      </c>
      <c r="G1852" s="130"/>
      <c r="H1852" s="131"/>
      <c r="I1852" s="143"/>
      <c r="J1852" s="131">
        <f>SUM(J1853:J1853)</f>
        <v>2836860.7267885716</v>
      </c>
    </row>
    <row r="1853" spans="1:10">
      <c r="A1853" s="584"/>
      <c r="B1853" s="585"/>
      <c r="C1853" s="586" t="s">
        <v>590</v>
      </c>
      <c r="D1853" s="133" t="s">
        <v>683</v>
      </c>
      <c r="E1853" s="587" t="str">
        <f>" - "&amp;'Giá Máy'!E31</f>
        <v xml:space="preserve"> - Ô tô tự đổ 10T</v>
      </c>
      <c r="F1853" s="585" t="str">
        <f>'Giá Máy'!F31</f>
        <v>ca</v>
      </c>
      <c r="G1853" s="588">
        <f>PTVT!G886</f>
        <v>1.4370000000000001</v>
      </c>
      <c r="H1853" s="589">
        <f>'Giá Máy'!O31</f>
        <v>1974154.9942857143</v>
      </c>
      <c r="I1853" s="603">
        <f>'5.Tiên lượng'!X211</f>
        <v>1</v>
      </c>
      <c r="J1853" s="589">
        <f>PRODUCT(G1853,H1853,I1853)</f>
        <v>2836860.7267885716</v>
      </c>
    </row>
    <row r="1854" spans="1:10">
      <c r="A1854" s="584"/>
      <c r="B1854" s="585"/>
      <c r="C1854" s="586" t="s">
        <v>590</v>
      </c>
      <c r="D1854" s="133" t="s">
        <v>590</v>
      </c>
      <c r="E1854" s="587" t="s">
        <v>269</v>
      </c>
      <c r="F1854" s="585" t="s">
        <v>270</v>
      </c>
      <c r="G1854" s="590"/>
      <c r="H1854" s="589"/>
      <c r="I1854" s="603"/>
      <c r="J1854" s="589">
        <f>J1850+J1851+J1852</f>
        <v>2836860.7267885716</v>
      </c>
    </row>
    <row r="1855" spans="1:10">
      <c r="A1855" s="584"/>
      <c r="B1855" s="585"/>
      <c r="C1855" s="586" t="s">
        <v>590</v>
      </c>
      <c r="D1855" s="133" t="s">
        <v>590</v>
      </c>
      <c r="E1855" s="587" t="s">
        <v>273</v>
      </c>
      <c r="F1855" s="585" t="s">
        <v>274</v>
      </c>
      <c r="G1855" s="591">
        <f>'Thông tin'!E67</f>
        <v>6.2E-2</v>
      </c>
      <c r="H1855" s="589"/>
      <c r="I1855" s="603"/>
      <c r="J1855" s="589">
        <f>(J1854)*G1855</f>
        <v>175885.36506089143</v>
      </c>
    </row>
    <row r="1856" spans="1:10">
      <c r="A1856" s="584"/>
      <c r="B1856" s="585"/>
      <c r="C1856" s="586" t="s">
        <v>590</v>
      </c>
      <c r="D1856" s="133" t="s">
        <v>590</v>
      </c>
      <c r="E1856" s="587" t="s">
        <v>276</v>
      </c>
      <c r="F1856" s="585" t="s">
        <v>277</v>
      </c>
      <c r="G1856" s="591">
        <f>'Thông tin'!E60</f>
        <v>2.2000000000000002E-2</v>
      </c>
      <c r="H1856" s="589"/>
      <c r="I1856" s="603"/>
      <c r="J1856" s="589">
        <f>(J1854)*G1856</f>
        <v>62410.935989348582</v>
      </c>
    </row>
    <row r="1857" spans="1:10" ht="27.6">
      <c r="A1857" s="584"/>
      <c r="B1857" s="585"/>
      <c r="C1857" s="586" t="s">
        <v>590</v>
      </c>
      <c r="D1857" s="133" t="s">
        <v>590</v>
      </c>
      <c r="E1857" s="587" t="s">
        <v>279</v>
      </c>
      <c r="F1857" s="585" t="s">
        <v>142</v>
      </c>
      <c r="G1857" s="591">
        <f>'Thông tin'!E65</f>
        <v>0.02</v>
      </c>
      <c r="H1857" s="589"/>
      <c r="I1857" s="603"/>
      <c r="J1857" s="589">
        <f>(J1854)*G1857</f>
        <v>56737.214535771433</v>
      </c>
    </row>
    <row r="1858" spans="1:10">
      <c r="A1858" s="584"/>
      <c r="B1858" s="585"/>
      <c r="C1858" s="586" t="s">
        <v>590</v>
      </c>
      <c r="D1858" s="133" t="s">
        <v>590</v>
      </c>
      <c r="E1858" s="587" t="s">
        <v>281</v>
      </c>
      <c r="F1858" s="585" t="s">
        <v>282</v>
      </c>
      <c r="G1858" s="590"/>
      <c r="H1858" s="589"/>
      <c r="I1858" s="603"/>
      <c r="J1858" s="589">
        <f>J1855+J1856+J1857</f>
        <v>295033.51558601146</v>
      </c>
    </row>
    <row r="1859" spans="1:10">
      <c r="A1859" s="584"/>
      <c r="B1859" s="585"/>
      <c r="C1859" s="586" t="s">
        <v>590</v>
      </c>
      <c r="D1859" s="133" t="s">
        <v>590</v>
      </c>
      <c r="E1859" s="587" t="s">
        <v>284</v>
      </c>
      <c r="F1859" s="585" t="s">
        <v>285</v>
      </c>
      <c r="G1859" s="591">
        <f>'Thông tin'!E63</f>
        <v>0.06</v>
      </c>
      <c r="H1859" s="589"/>
      <c r="I1859" s="603"/>
      <c r="J1859" s="589">
        <f>(J1854+J1858)*G1859</f>
        <v>187913.65454247498</v>
      </c>
    </row>
    <row r="1860" spans="1:10">
      <c r="A1860" s="584"/>
      <c r="B1860" s="585"/>
      <c r="C1860" s="586" t="s">
        <v>590</v>
      </c>
      <c r="D1860" s="133" t="s">
        <v>590</v>
      </c>
      <c r="E1860" s="592" t="s">
        <v>287</v>
      </c>
      <c r="F1860" s="593" t="s">
        <v>288</v>
      </c>
      <c r="G1860" s="590"/>
      <c r="H1860" s="589"/>
      <c r="I1860" s="603"/>
      <c r="J1860" s="604">
        <f>J1854+J1858+J1859</f>
        <v>3319807.8969170582</v>
      </c>
    </row>
    <row r="1861" spans="1:10">
      <c r="A1861" s="584"/>
      <c r="B1861" s="585"/>
      <c r="C1861" s="586" t="s">
        <v>590</v>
      </c>
      <c r="D1861" s="133" t="s">
        <v>590</v>
      </c>
      <c r="E1861" s="587" t="s">
        <v>290</v>
      </c>
      <c r="F1861" s="585" t="s">
        <v>291</v>
      </c>
      <c r="G1861" s="591">
        <f>'Thông tin'!E61</f>
        <v>0.1</v>
      </c>
      <c r="H1861" s="589"/>
      <c r="I1861" s="603"/>
      <c r="J1861" s="589">
        <f>(J1860)*G1861</f>
        <v>331980.78969170584</v>
      </c>
    </row>
    <row r="1862" spans="1:10">
      <c r="A1862" s="594"/>
      <c r="B1862" s="595"/>
      <c r="C1862" s="596" t="s">
        <v>590</v>
      </c>
      <c r="D1862" s="137" t="s">
        <v>590</v>
      </c>
      <c r="E1862" s="597" t="s">
        <v>293</v>
      </c>
      <c r="F1862" s="598" t="s">
        <v>19</v>
      </c>
      <c r="G1862" s="599"/>
      <c r="H1862" s="600"/>
      <c r="I1862" s="605"/>
      <c r="J1862" s="606">
        <f>J1860+J1861</f>
        <v>3651788.6866087639</v>
      </c>
    </row>
  </sheetData>
  <mergeCells count="4">
    <mergeCell ref="A1:J1"/>
    <mergeCell ref="A2:J2"/>
    <mergeCell ref="A3:J3"/>
    <mergeCell ref="A4:J4"/>
  </mergeCells>
  <conditionalFormatting sqref="I1:I1862">
    <cfRule type="cellIs" dxfId="14" priority="1" stopIfTrue="1" operator="equal">
      <formula>1</formula>
    </cfRule>
  </conditionalFormatting>
  <pageMargins left="0.6" right="0.6" top="0.79" bottom="0.79" header="0.3" footer="0.3"/>
  <pageSetup paperSize="9" scale="90" orientation="portrait" useFirstPageNumber="1"/>
  <headerFooter>
    <oddFooter>&amp;CTrang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34</vt:i4>
      </vt:variant>
    </vt:vector>
  </HeadingPairs>
  <TitlesOfParts>
    <vt:vector size="78" baseType="lpstr">
      <vt:lpstr>SGV</vt:lpstr>
      <vt:lpstr>2. TMĐT</vt:lpstr>
      <vt:lpstr>3. THKPHM</vt:lpstr>
      <vt:lpstr>4.THKPHM</vt:lpstr>
      <vt:lpstr>5.Tiên lượng</vt:lpstr>
      <vt:lpstr>6.Chiết tính</vt:lpstr>
      <vt:lpstr>Giá VL</vt:lpstr>
      <vt:lpstr>THVL</vt:lpstr>
      <vt:lpstr>Cước ô tô</vt:lpstr>
      <vt:lpstr>Cước ô tô mới</vt:lpstr>
      <vt:lpstr>Cước sông</vt:lpstr>
      <vt:lpstr>Cước TC</vt:lpstr>
      <vt:lpstr>Giá NC</vt:lpstr>
      <vt:lpstr>THNC</vt:lpstr>
      <vt:lpstr>Tính giá NC</vt:lpstr>
      <vt:lpstr>Giá Máy</vt:lpstr>
      <vt:lpstr>THM</vt:lpstr>
      <vt:lpstr>Bù giá CM</vt:lpstr>
      <vt:lpstr>7.Tính giá CM</vt:lpstr>
      <vt:lpstr>THNL</vt:lpstr>
      <vt:lpstr>THTL</vt:lpstr>
      <vt:lpstr>8.ĐGTH</vt:lpstr>
      <vt:lpstr>Tổng hợp VT</vt:lpstr>
      <vt:lpstr>GGTXD</vt:lpstr>
      <vt:lpstr>PTVT</vt:lpstr>
      <vt:lpstr>THDGDT</vt:lpstr>
      <vt:lpstr>THCPXD</vt:lpstr>
      <vt:lpstr>THCPTB</vt:lpstr>
      <vt:lpstr>HM chung</vt:lpstr>
      <vt:lpstr>Bìa ngoài</vt:lpstr>
      <vt:lpstr>Bìa trong</vt:lpstr>
      <vt:lpstr>Thuyết minh</vt:lpstr>
      <vt:lpstr>Thông tin</vt:lpstr>
      <vt:lpstr>Nội suy</vt:lpstr>
      <vt:lpstr>Chiết tính rút gọn</vt:lpstr>
      <vt:lpstr>ĐGTH rút gọn</vt:lpstr>
      <vt:lpstr>Giá vữa</vt:lpstr>
      <vt:lpstr>Sheet1</vt:lpstr>
      <vt:lpstr>QT_PL08b</vt:lpstr>
      <vt:lpstr>QT_PL03a</vt:lpstr>
      <vt:lpstr>QT_PL03b</vt:lpstr>
      <vt:lpstr>QT_PL04</vt:lpstr>
      <vt:lpstr>QT_PL05</vt:lpstr>
      <vt:lpstr>QT_PL06</vt:lpstr>
      <vt:lpstr>'2. TMĐT'!Print_Area</vt:lpstr>
      <vt:lpstr>'3. THKPHM'!Print_Area</vt:lpstr>
      <vt:lpstr>'5.Tiên lượng'!Print_Area</vt:lpstr>
      <vt:lpstr>'Bù giá CM'!Print_Area</vt:lpstr>
      <vt:lpstr>GGTXD!Print_Area</vt:lpstr>
      <vt:lpstr>THM!Print_Area</vt:lpstr>
      <vt:lpstr>THNL!Print_Area</vt:lpstr>
      <vt:lpstr>THTL!Print_Area</vt:lpstr>
      <vt:lpstr>'2. TMĐT'!Print_Titles</vt:lpstr>
      <vt:lpstr>'5.Tiên lượng'!Print_Titles</vt:lpstr>
      <vt:lpstr>'6.Chiết tính'!Print_Titles</vt:lpstr>
      <vt:lpstr>'8.ĐGTH'!Print_Titles</vt:lpstr>
      <vt:lpstr>'Chiết tính rút gọn'!Print_Titles</vt:lpstr>
      <vt:lpstr>'Cước ô tô'!Print_Titles</vt:lpstr>
      <vt:lpstr>'Cước sông'!Print_Titles</vt:lpstr>
      <vt:lpstr>'Giá VL'!Print_Titles</vt:lpstr>
      <vt:lpstr>PTVT!Print_Titles</vt:lpstr>
      <vt:lpstr>THCPTB!Print_Titles</vt:lpstr>
      <vt:lpstr>THCPXD!Print_Titles</vt:lpstr>
      <vt:lpstr>THDGDT!Print_Titles</vt:lpstr>
      <vt:lpstr>THM!Print_Titles</vt:lpstr>
      <vt:lpstr>THNC!Print_Titles</vt:lpstr>
      <vt:lpstr>THVL!Print_Titles</vt:lpstr>
      <vt:lpstr>StartInfo_CongTrinh</vt:lpstr>
      <vt:lpstr>StartInfo_HangMuc</vt:lpstr>
      <vt:lpstr>StartInfo_MauTHKPHM</vt:lpstr>
      <vt:lpstr>StartInfo_SoLieuTinhGiaNC</vt:lpstr>
      <vt:lpstr>THNL.TTCLGiaHT0</vt:lpstr>
      <vt:lpstr>THNL.TTGiaGoc0</vt:lpstr>
      <vt:lpstr>THNL.TTGiaHT0</vt:lpstr>
      <vt:lpstr>THTL.TongKL0</vt:lpstr>
      <vt:lpstr>THTL.TTCLGiaHT0</vt:lpstr>
      <vt:lpstr>THTL.TTGiaGoc0</vt:lpstr>
      <vt:lpstr>THTL.TTGiaHT0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anhngocpc</dc:creator>
  <cp:lastModifiedBy>MAY TINH KHANH LOC</cp:lastModifiedBy>
  <cp:lastPrinted>2025-11-01T03:49:53Z</cp:lastPrinted>
  <dcterms:created xsi:type="dcterms:W3CDTF">2023-05-31T00:36:00Z</dcterms:created>
  <dcterms:modified xsi:type="dcterms:W3CDTF">2025-11-01T09:18:50Z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0E233615354840DE833FB222E20D1B92_12</vt:lpwstr>
  </property>
  <property fmtid="{D5CDD505-2E9C-101B-9397-08002B2CF9AE}" pid="3" name="KSOProductBuildVer">
    <vt:lpwstr>1033-12.2.0.21172</vt:lpwstr>
  </property>
</Properties>
</file>