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never" codeName="ThisWorkbook" defaultThemeVersion="124226"/>
  <bookViews>
    <workbookView xWindow="0" yWindow="0" windowWidth="19420" windowHeight="7610" tabRatio="890" firstSheet="7" activeTab="7"/>
  </bookViews>
  <sheets>
    <sheet name="Kangatang" sheetId="40" state="veryHidden" r:id="rId1"/>
    <sheet name="SGV" sheetId="42" state="hidden" r:id="rId2"/>
    <sheet name="SGV_2" sheetId="43" state="veryHidden" r:id="rId3"/>
    <sheet name="foxz" sheetId="44" state="hidden" r:id="rId4"/>
    <sheet name="foxz_2" sheetId="45" state="veryHidden" r:id="rId5"/>
    <sheet name="foxz_3" sheetId="46" state="veryHidden" r:id="rId6"/>
    <sheet name="foxz_4" sheetId="47" state="veryHidden" r:id="rId7"/>
    <sheet name="TH TĐịnh" sheetId="38" r:id="rId8"/>
    <sheet name="TH kinh phí" sheetId="10" state="hidden" r:id="rId9"/>
    <sheet name="PTH" sheetId="37" state="hidden" r:id="rId10"/>
    <sheet name="Công trình TL" sheetId="11" state="hidden" r:id="rId11"/>
    <sheet name="Hệ số" sheetId="13" state="hidden" r:id="rId12"/>
    <sheet name="Đơn giá TH" sheetId="14" state="hidden" r:id="rId13"/>
    <sheet name="Quyết toán" sheetId="22" state="hidden" r:id="rId14"/>
    <sheet name="Giá tháng QT" sheetId="23" state="hidden" r:id="rId15"/>
    <sheet name="HaoPhiVatTu QT" sheetId="24" state="hidden" r:id="rId16"/>
    <sheet name="Tổng hợp VT QT" sheetId="25" state="hidden" r:id="rId17"/>
    <sheet name="Cước VC QT" sheetId="26" state="hidden" r:id="rId18"/>
    <sheet name="Cước bộ QT" sheetId="27" state="hidden" r:id="rId19"/>
    <sheet name="NhiênLiệu QT" sheetId="28" state="hidden" r:id="rId20"/>
    <sheet name="Chiết tính QT" sheetId="29" state="hidden" r:id="rId21"/>
    <sheet name="Dự thầu QT" sheetId="30" state="hidden" r:id="rId22"/>
    <sheet name="Hệ số QT" sheetId="31" state="hidden" r:id="rId23"/>
    <sheet name="HSXLQT" sheetId="32" state="hidden" r:id="rId24"/>
    <sheet name="KL hoàn thành" sheetId="33" state="hidden" r:id="rId25"/>
    <sheet name="KL phát sinh" sheetId="34" state="hidden" r:id="rId26"/>
    <sheet name="Tổng hợp QT" sheetId="35" state="hidden" r:id="rId27"/>
    <sheet name="Cấu hình" sheetId="36" state="hidden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Print_Area" localSheetId="20">'Chiết tính QT'!$A$1:$IU$65535</definedName>
    <definedName name="_xlnm.Print_Area" localSheetId="10">'Công trình TL'!$A$1:$O$5</definedName>
    <definedName name="_xlnm.Print_Area" localSheetId="18">'Cước bộ QT'!$A$1:$IU$65535</definedName>
    <definedName name="_xlnm.Print_Area" localSheetId="17">'Cước VC QT'!$A$1:$IU$65535</definedName>
    <definedName name="_xlnm.Print_Area" localSheetId="12">'Đơn giá TH'!$A$1:$O$5</definedName>
    <definedName name="_xlnm.Print_Area" localSheetId="21">'Dự thầu QT'!$A$1:$IU$65535</definedName>
    <definedName name="_xlnm.Print_Area" localSheetId="14">'Giá tháng QT'!$A$1:$IU$65535</definedName>
    <definedName name="_xlnm.Print_Area" localSheetId="15">'HaoPhiVatTu QT'!$A$1:$IU$65535</definedName>
    <definedName name="_xlnm.Print_Area" localSheetId="11">'Hệ số'!$A$1:$H$4</definedName>
    <definedName name="_xlnm.Print_Area" localSheetId="22">'Hệ số QT'!$A$1:$IU$65535</definedName>
    <definedName name="_xlnm.Print_Area" localSheetId="23">HSXLQT!$A$1:$IU$65535</definedName>
    <definedName name="_xlnm.Print_Area" localSheetId="24">'KL hoàn thành'!$A$1:$IU$65535</definedName>
    <definedName name="_xlnm.Print_Area" localSheetId="25">'KL phát sinh'!$A$1:$IU$65535</definedName>
    <definedName name="_xlnm.Print_Area" localSheetId="19">'NhiênLiệu QT'!$A$1:$IU$65535</definedName>
    <definedName name="_xlnm.Print_Area" localSheetId="13">'Quyết toán'!$A$1:$IU$65535</definedName>
    <definedName name="_xlnm.Print_Area" localSheetId="8">'TH kinh phí'!$A$1:$I$80</definedName>
    <definedName name="_xlnm.Print_Area" localSheetId="7">'TH TĐịnh'!$A$2:$I$33</definedName>
    <definedName name="_xlnm.Print_Area" localSheetId="26">'Tổng hợp QT'!$A$1:$IU$65535</definedName>
    <definedName name="_xlnm.Print_Area" localSheetId="16">'Tổng hợp VT QT'!$A$1:$IU$65535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8" l="1"/>
  <c r="I24" i="38"/>
  <c r="G10" i="38" l="1"/>
  <c r="G9" i="38"/>
  <c r="G8" i="38"/>
  <c r="H11" i="38"/>
  <c r="I11" i="38" s="1"/>
  <c r="H10" i="38" l="1"/>
  <c r="G7" i="38" l="1"/>
  <c r="G16" i="38" l="1"/>
  <c r="H16" i="38" s="1"/>
  <c r="I16" i="38" s="1"/>
  <c r="G17" i="38"/>
  <c r="H17" i="38" s="1"/>
  <c r="I17" i="38" s="1"/>
  <c r="M8" i="38"/>
  <c r="H12" i="38" l="1"/>
  <c r="I12" i="38" s="1"/>
  <c r="I20" i="38" l="1"/>
  <c r="K6" i="38" l="1"/>
  <c r="L6" i="38" s="1"/>
  <c r="F18" i="38"/>
  <c r="K7" i="38"/>
  <c r="F22" i="38"/>
  <c r="G25" i="10"/>
  <c r="K14" i="10"/>
  <c r="G14" i="10" s="1"/>
  <c r="G61" i="10"/>
  <c r="I61" i="10" s="1"/>
  <c r="I70" i="10"/>
  <c r="I69" i="10"/>
  <c r="I72" i="10"/>
  <c r="I71" i="10"/>
  <c r="I73" i="10"/>
  <c r="I74" i="10"/>
  <c r="I35" i="10"/>
  <c r="G35" i="10" s="1"/>
  <c r="H35" i="10" s="1"/>
  <c r="G40" i="10"/>
  <c r="H40" i="10" s="1"/>
  <c r="G39" i="10"/>
  <c r="H39" i="10" s="1"/>
  <c r="G12" i="10"/>
  <c r="G13" i="10"/>
  <c r="H13" i="10" s="1"/>
  <c r="I13" i="10" s="1"/>
  <c r="G52" i="10"/>
  <c r="H52" i="10" s="1"/>
  <c r="I52" i="10" s="1"/>
  <c r="C95" i="10" s="1"/>
  <c r="G41" i="10"/>
  <c r="H41" i="10" s="1"/>
  <c r="G22" i="10"/>
  <c r="H22" i="10" s="1"/>
  <c r="G11" i="10"/>
  <c r="H11" i="10" s="1"/>
  <c r="I11" i="10" s="1"/>
  <c r="G10" i="10"/>
  <c r="H10" i="10" s="1"/>
  <c r="I10" i="10" s="1"/>
  <c r="G9" i="10"/>
  <c r="H9" i="10" s="1"/>
  <c r="I9" i="10" s="1"/>
  <c r="G8" i="10"/>
  <c r="H8" i="10" s="1"/>
  <c r="G7" i="10"/>
  <c r="H7" i="10" s="1"/>
  <c r="I7" i="10" s="1"/>
  <c r="G6" i="10"/>
  <c r="G31" i="10"/>
  <c r="H31" i="10" s="1"/>
  <c r="I31" i="10" s="1"/>
  <c r="G24" i="10"/>
  <c r="H24" i="10" s="1"/>
  <c r="I24" i="10" s="1"/>
  <c r="G27" i="10"/>
  <c r="H27" i="10" s="1"/>
  <c r="I27" i="10" s="1"/>
  <c r="G30" i="10"/>
  <c r="H30" i="10" s="1"/>
  <c r="G32" i="10"/>
  <c r="H32" i="10" s="1"/>
  <c r="I32" i="10" s="1"/>
  <c r="G17" i="10"/>
  <c r="K29" i="10"/>
  <c r="G18" i="10"/>
  <c r="H18" i="10" s="1"/>
  <c r="G15" i="10"/>
  <c r="H15" i="10" s="1"/>
  <c r="G63" i="10"/>
  <c r="I38" i="10"/>
  <c r="K19" i="10"/>
  <c r="G19" i="10" s="1"/>
  <c r="H19" i="10" s="1"/>
  <c r="K25" i="10"/>
  <c r="G33" i="10"/>
  <c r="H33" i="10" s="1"/>
  <c r="I33" i="10" s="1"/>
  <c r="P35" i="10"/>
  <c r="L14" i="10"/>
  <c r="G34" i="10"/>
  <c r="H34" i="10" s="1"/>
  <c r="I34" i="10" s="1"/>
  <c r="K23" i="10"/>
  <c r="G23" i="10" s="1"/>
  <c r="H23" i="10" s="1"/>
  <c r="O10" i="10"/>
  <c r="F42" i="10"/>
  <c r="F43" i="10"/>
  <c r="G53" i="10"/>
  <c r="H53" i="10" s="1"/>
  <c r="I53" i="10" s="1"/>
  <c r="H20" i="10"/>
  <c r="I20" i="10" s="1"/>
  <c r="R29" i="10"/>
  <c r="O8" i="10"/>
  <c r="K16" i="10"/>
  <c r="G16" i="10" s="1"/>
  <c r="H16" i="10" s="1"/>
  <c r="I16" i="10" s="1"/>
  <c r="P36" i="10"/>
  <c r="P34" i="10"/>
  <c r="P31" i="10"/>
  <c r="P30" i="10"/>
  <c r="P29" i="10"/>
  <c r="P22" i="10"/>
  <c r="F45" i="10"/>
  <c r="F44" i="10"/>
  <c r="F77" i="10"/>
  <c r="F76" i="10"/>
  <c r="H75" i="10"/>
  <c r="G75" i="10"/>
  <c r="F36" i="10"/>
  <c r="F46" i="10"/>
  <c r="F47" i="10"/>
  <c r="F56" i="10"/>
  <c r="F57" i="10"/>
  <c r="H26" i="10"/>
  <c r="I26" i="10" s="1"/>
  <c r="H21" i="10"/>
  <c r="I21" i="10" s="1"/>
  <c r="L15" i="10"/>
  <c r="H6" i="10"/>
  <c r="I6" i="10" s="1"/>
  <c r="H12" i="10"/>
  <c r="I12" i="10" s="1"/>
  <c r="K24" i="10"/>
  <c r="C92" i="10"/>
  <c r="C91" i="10"/>
  <c r="G58" i="10"/>
  <c r="I58" i="10" s="1"/>
  <c r="C94" i="10" s="1"/>
  <c r="G60" i="10"/>
  <c r="I60" i="10" s="1"/>
  <c r="G59" i="10"/>
  <c r="H59" i="10" s="1"/>
  <c r="I59" i="10" s="1"/>
  <c r="I68" i="10"/>
  <c r="I8" i="10" l="1"/>
  <c r="H63" i="10"/>
  <c r="I63" i="10" s="1"/>
  <c r="H14" i="10"/>
  <c r="I14" i="10" s="1"/>
  <c r="H25" i="10"/>
  <c r="I25" i="10" s="1"/>
  <c r="I15" i="10"/>
  <c r="I18" i="10"/>
  <c r="P41" i="10"/>
  <c r="P42" i="10" s="1"/>
  <c r="P43" i="10" s="1"/>
  <c r="I22" i="10"/>
  <c r="I19" i="10"/>
  <c r="H29" i="10"/>
  <c r="G38" i="10"/>
  <c r="H17" i="10"/>
  <c r="I17" i="10" s="1"/>
  <c r="I23" i="10"/>
  <c r="I30" i="10"/>
  <c r="I29" i="10" s="1"/>
  <c r="G5" i="10"/>
  <c r="G29" i="10"/>
  <c r="C90" i="10"/>
  <c r="K36" i="10" l="1"/>
  <c r="G42" i="10"/>
  <c r="G44" i="10"/>
  <c r="H5" i="10"/>
  <c r="I5" i="10" s="1"/>
  <c r="K41" i="10"/>
  <c r="G46" i="10"/>
  <c r="G67" i="10"/>
  <c r="G56" i="10"/>
  <c r="I56" i="10" s="1"/>
  <c r="G55" i="10"/>
  <c r="G47" i="10"/>
  <c r="G62" i="10"/>
  <c r="G28" i="10"/>
  <c r="G57" i="10"/>
  <c r="I57" i="10" s="1"/>
  <c r="G66" i="10"/>
  <c r="G43" i="10"/>
  <c r="G45" i="10"/>
  <c r="G36" i="10"/>
  <c r="G48" i="10"/>
  <c r="G49" i="10"/>
  <c r="G64" i="10"/>
  <c r="H38" i="10"/>
  <c r="G65" i="10" l="1"/>
  <c r="I65" i="10" s="1"/>
  <c r="I36" i="10"/>
  <c r="G50" i="10"/>
  <c r="H42" i="10"/>
  <c r="I42" i="10" s="1"/>
  <c r="H48" i="10"/>
  <c r="I48" i="10" s="1"/>
  <c r="H66" i="10"/>
  <c r="I66" i="10" s="1"/>
  <c r="G51" i="10"/>
  <c r="H47" i="10"/>
  <c r="I47" i="10" s="1"/>
  <c r="H44" i="10"/>
  <c r="I44" i="10" s="1"/>
  <c r="H55" i="10"/>
  <c r="H64" i="10"/>
  <c r="I64" i="10" s="1"/>
  <c r="H45" i="10"/>
  <c r="I45" i="10" s="1"/>
  <c r="H28" i="10"/>
  <c r="I28" i="10" s="1"/>
  <c r="I4" i="10" s="1"/>
  <c r="H46" i="10"/>
  <c r="I46" i="10" s="1"/>
  <c r="H49" i="10"/>
  <c r="I49" i="10" s="1"/>
  <c r="H43" i="10"/>
  <c r="I43" i="10" s="1"/>
  <c r="C93" i="10" s="1"/>
  <c r="C87" i="10" s="1"/>
  <c r="H62" i="10"/>
  <c r="I62" i="10" s="1"/>
  <c r="H67" i="10"/>
  <c r="I67" i="10" s="1"/>
  <c r="G4" i="10"/>
  <c r="H4" i="10" l="1"/>
  <c r="G37" i="10"/>
  <c r="I55" i="10"/>
  <c r="I54" i="10" s="1"/>
  <c r="H54" i="10"/>
  <c r="H51" i="10"/>
  <c r="I51" i="10" s="1"/>
  <c r="G54" i="10"/>
  <c r="H50" i="10"/>
  <c r="I50" i="10" s="1"/>
  <c r="G78" i="10" l="1"/>
  <c r="I37" i="10"/>
  <c r="I76" i="10" s="1"/>
  <c r="H37" i="10"/>
  <c r="H78" i="10" s="1"/>
  <c r="H9" i="38" l="1"/>
  <c r="I9" i="38" s="1"/>
  <c r="N8" i="38" s="1"/>
  <c r="I77" i="10"/>
  <c r="I75" i="10" s="1"/>
  <c r="I78" i="10" s="1"/>
  <c r="I79" i="10" s="1"/>
  <c r="K83" i="10" s="1"/>
  <c r="H8" i="38" l="1"/>
  <c r="H7" i="38" s="1"/>
  <c r="G13" i="38"/>
  <c r="I8" i="38" l="1"/>
  <c r="M14" i="38"/>
  <c r="G15" i="38"/>
  <c r="G22" i="38"/>
  <c r="G18" i="38"/>
  <c r="L14" i="38"/>
  <c r="K12" i="38"/>
  <c r="G14" i="38" l="1"/>
  <c r="I7" i="38"/>
  <c r="H18" i="38"/>
  <c r="I18" i="38" s="1"/>
  <c r="H22" i="38"/>
  <c r="H19" i="38" s="1"/>
  <c r="H15" i="38"/>
  <c r="H14" i="38" l="1"/>
  <c r="H13" i="38" s="1"/>
  <c r="I15" i="38"/>
  <c r="I14" i="38" s="1"/>
  <c r="I22" i="38"/>
  <c r="K14" i="38" l="1"/>
  <c r="I13" i="38"/>
  <c r="M28" i="38" l="1"/>
  <c r="G21" i="38"/>
  <c r="I21" i="38" s="1"/>
  <c r="I19" i="38" s="1"/>
  <c r="K23" i="38" s="1"/>
  <c r="G19" i="38"/>
  <c r="I26" i="38" l="1"/>
  <c r="M20" i="38"/>
  <c r="G23" i="38"/>
  <c r="G25" i="38" s="1"/>
  <c r="H24" i="38"/>
  <c r="H23" i="38" l="1"/>
  <c r="H25" i="38" s="1"/>
  <c r="M26" i="38" s="1"/>
  <c r="G30" i="38" l="1"/>
  <c r="H30" i="38"/>
  <c r="L23" i="38"/>
</calcChain>
</file>

<file path=xl/sharedStrings.xml><?xml version="1.0" encoding="utf-8"?>
<sst xmlns="http://schemas.openxmlformats.org/spreadsheetml/2006/main" count="734" uniqueCount="492">
  <si>
    <t>BẢNG DỰ TOÁN HẠNG MỤC CÔNG TRÌNH</t>
  </si>
  <si>
    <t>TRUNG TÂM THƯƠNG MẠI - VĂN PHÒNG VÀ CHUNG CƯ SME HOÀNG GIA</t>
  </si>
  <si>
    <t>HẠNG MỤC : HOÀN THIỆN PHẦN SƠN</t>
  </si>
  <si>
    <t>STT</t>
  </si>
  <si>
    <t>Mã số</t>
  </si>
  <si>
    <t>Đơn vị</t>
  </si>
  <si>
    <t>Hệ số</t>
  </si>
  <si>
    <t>Khối lượng</t>
  </si>
  <si>
    <t>Đơn giá</t>
  </si>
  <si>
    <t>Thành tiền</t>
  </si>
  <si>
    <t>Hệ số điều chỉnh</t>
  </si>
  <si>
    <t>Định mức</t>
  </si>
  <si>
    <t>Vật liệu</t>
  </si>
  <si>
    <t>V.L</t>
  </si>
  <si>
    <t>N.C</t>
  </si>
  <si>
    <t>Máy</t>
  </si>
  <si>
    <t>HOÀN THIỆN PHẦN SƠN</t>
  </si>
  <si>
    <t>DG6168HN_XD_LD</t>
  </si>
  <si>
    <t>BẢNG GIÁ THÔNG BÁO CÔNG TRÌNH</t>
  </si>
  <si>
    <t>Giá tháng</t>
  </si>
  <si>
    <t>BẢNG TỔNG HỢP VẬT TƯ VÀ CHÊNH LỆCH GIÁ</t>
  </si>
  <si>
    <t>BẢNG CƯỚC VẬN CHUYỂN</t>
  </si>
  <si>
    <t>BẢNG TỔNG HỢP DỰ TOÁN CHI PHÍ XÂY DỰNG</t>
  </si>
  <si>
    <t>Khoản mục chi phí</t>
  </si>
  <si>
    <t>Ký hiệu</t>
  </si>
  <si>
    <t>Cách tính</t>
  </si>
  <si>
    <t>A</t>
  </si>
  <si>
    <t>TT</t>
  </si>
  <si>
    <t>T</t>
  </si>
  <si>
    <t>G</t>
  </si>
  <si>
    <t>Gxdcpt</t>
  </si>
  <si>
    <t>Gxdnt</t>
  </si>
  <si>
    <t>TỔNG CỘNG</t>
  </si>
  <si>
    <t>Gxd</t>
  </si>
  <si>
    <t>BẢNG TỔNG HỢP CHI PHÍ XÂY DỰNG CÔNG TRÌNH</t>
  </si>
  <si>
    <t>Hạng mục</t>
  </si>
  <si>
    <t>BẢNG TỔNG HỢP CHI PHÍ THIẾT BỊ CÔNG TRÌNH</t>
  </si>
  <si>
    <t>1</t>
  </si>
  <si>
    <t>2</t>
  </si>
  <si>
    <t>3</t>
  </si>
  <si>
    <t>BẢNG TỔNG HỢP DỰ TOÁN CÔNG TRÌNH</t>
  </si>
  <si>
    <t>Chi phí xây dựng</t>
  </si>
  <si>
    <t>Gcpxd</t>
  </si>
  <si>
    <t>Gxd + Gnt</t>
  </si>
  <si>
    <t>1.1</t>
  </si>
  <si>
    <t>1.2</t>
  </si>
  <si>
    <t>Chi phí xây dựng nhà tạm tại hiện trường để ở và điều hành thi công</t>
  </si>
  <si>
    <t>Chi phí thiết bị</t>
  </si>
  <si>
    <t>Gtb</t>
  </si>
  <si>
    <t>Chi phí quản lý dự án</t>
  </si>
  <si>
    <t>Gqlda</t>
  </si>
  <si>
    <t>4</t>
  </si>
  <si>
    <t>Chi phí tư vấn đầu tư xây dựng</t>
  </si>
  <si>
    <t>Gtv</t>
  </si>
  <si>
    <t>4.1</t>
  </si>
  <si>
    <t>Gtv1</t>
  </si>
  <si>
    <t>Gks</t>
  </si>
  <si>
    <t>4.2</t>
  </si>
  <si>
    <t>Gtv2</t>
  </si>
  <si>
    <t>4.3</t>
  </si>
  <si>
    <t>4.4</t>
  </si>
  <si>
    <t>Gbcktkt</t>
  </si>
  <si>
    <t>4.5</t>
  </si>
  <si>
    <t>4.6</t>
  </si>
  <si>
    <t>Gtv6</t>
  </si>
  <si>
    <t>4.7</t>
  </si>
  <si>
    <t>Gtv7</t>
  </si>
  <si>
    <t>Gtttktc</t>
  </si>
  <si>
    <t>Glcnt</t>
  </si>
  <si>
    <t>Chi phí giám sát thi công xây dựng</t>
  </si>
  <si>
    <t>Ggstcxd</t>
  </si>
  <si>
    <t>Ggsldtb</t>
  </si>
  <si>
    <t>5</t>
  </si>
  <si>
    <t>Chi phí khác</t>
  </si>
  <si>
    <t>Gk</t>
  </si>
  <si>
    <t>5.1</t>
  </si>
  <si>
    <t>5.2</t>
  </si>
  <si>
    <t>Gk2</t>
  </si>
  <si>
    <t>Gtttk_BTC</t>
  </si>
  <si>
    <t>Gk3</t>
  </si>
  <si>
    <t>Gttdt_BTC</t>
  </si>
  <si>
    <t>5.4</t>
  </si>
  <si>
    <t>Gk4</t>
  </si>
  <si>
    <t>5.5</t>
  </si>
  <si>
    <t>Gk5</t>
  </si>
  <si>
    <t>Gkiemtoan</t>
  </si>
  <si>
    <t>Gthamtra</t>
  </si>
  <si>
    <t>Gbaohiem</t>
  </si>
  <si>
    <t>6</t>
  </si>
  <si>
    <t>Chi phí dự phòng</t>
  </si>
  <si>
    <t>Gdp</t>
  </si>
  <si>
    <t>Gtmdt</t>
  </si>
  <si>
    <t>LÀM TRÒN</t>
  </si>
  <si>
    <t>Tên công tác</t>
  </si>
  <si>
    <t>Bù VL</t>
  </si>
  <si>
    <t>NC XL</t>
  </si>
  <si>
    <t>NC đất</t>
  </si>
  <si>
    <t>Ca máy</t>
  </si>
  <si>
    <t>BẢNG CHIẾT TÍNH DỰ THẦU HẠNG MỤC CÔNG TRÌNH</t>
  </si>
  <si>
    <t>Thành phần hao phí</t>
  </si>
  <si>
    <t>BẢNG HỆ SỐ CHI PHÍ XÂY DỰNG</t>
  </si>
  <si>
    <t>Đơn giá tổng hợp</t>
  </si>
  <si>
    <t>Bù V.L</t>
  </si>
  <si>
    <t>NC Đất</t>
  </si>
  <si>
    <t>BẢNG ĐƠN GIÁ DỰ THẦU HẠNG MỤC CÔNG TRÌNH</t>
  </si>
  <si>
    <t>BẢNG PHÂN TÍCH VẬT TƯ HẠNG MỤC CÔNG TRÌNH</t>
  </si>
  <si>
    <t>HỒ SƠ DỰ TOÁN</t>
  </si>
  <si>
    <t>Bảng định vị</t>
  </si>
  <si>
    <t>Công trình</t>
  </si>
  <si>
    <t>Đơn giá, CSDL</t>
  </si>
  <si>
    <t>Mẫu tính toán</t>
  </si>
  <si>
    <t>Hệ số chung công trình</t>
  </si>
  <si>
    <t>Tiêu đề bảng</t>
  </si>
  <si>
    <t>Phông chữ sheet Tiên lượng</t>
  </si>
  <si>
    <t>Màu sắc sheet Tiên lượng</t>
  </si>
  <si>
    <t>Phông chữ các bảng khác</t>
  </si>
  <si>
    <t>Chữ ký</t>
  </si>
  <si>
    <t>Làm tròn số học</t>
  </si>
  <si>
    <t>Tổng hạng mục</t>
  </si>
  <si>
    <t>Giai đoạn QT</t>
  </si>
  <si>
    <t>Tổng giai đoạn QT</t>
  </si>
  <si>
    <t>Thông tin chung về Công trình</t>
  </si>
  <si>
    <t>Tên công trình</t>
  </si>
  <si>
    <t>Địa điểm XD</t>
  </si>
  <si>
    <t>Chủ đầu tư</t>
  </si>
  <si>
    <t>Đơn vị thi công</t>
  </si>
  <si>
    <t>Loại (Dự, quyết toán )</t>
  </si>
  <si>
    <t>Loại công trình</t>
  </si>
  <si>
    <t>Loại thiết kế</t>
  </si>
  <si>
    <t>Cấp công trình</t>
  </si>
  <si>
    <t>Hệ số K, điều chỉnh TKế</t>
  </si>
  <si>
    <t>Công văn</t>
  </si>
  <si>
    <t>H.s chi phí Dự phòng</t>
  </si>
  <si>
    <t>Đơn giá , Cơ sở dữ liệu</t>
  </si>
  <si>
    <t>Tỉnh - TP</t>
  </si>
  <si>
    <t>Cước cơ giới</t>
  </si>
  <si>
    <t>Cước thủ công</t>
  </si>
  <si>
    <t>hanoi</t>
  </si>
  <si>
    <t>GVL61672012</t>
  </si>
  <si>
    <t>Chiết tính</t>
  </si>
  <si>
    <t>Tổng hợp kinh phí HM</t>
  </si>
  <si>
    <t>Tổng hợp kinh phí công trình</t>
  </si>
  <si>
    <t>Nhóm công trình</t>
  </si>
  <si>
    <t>Hệ số ...</t>
  </si>
  <si>
    <t>Tên Bảng</t>
  </si>
  <si>
    <t>Tiêu đề</t>
  </si>
  <si>
    <t>Tiên lượng</t>
  </si>
  <si>
    <t>Giá Tháng</t>
  </si>
  <si>
    <t>Phân tích vật tư</t>
  </si>
  <si>
    <t>Tổng hợp vật tư</t>
  </si>
  <si>
    <t>Cước vận chuyển</t>
  </si>
  <si>
    <t>Cước vận chuyển bình quân</t>
  </si>
  <si>
    <t>BẢNG CƯỚC VẬN CHUYỂN BÌNH QUÂN</t>
  </si>
  <si>
    <t>Tổng hợp kinh phí hạng mục</t>
  </si>
  <si>
    <t>Tổng hợp chi phí thiết bị</t>
  </si>
  <si>
    <t>Tổng hợp chi phí XD</t>
  </si>
  <si>
    <t>Tổng hợp kinh phí</t>
  </si>
  <si>
    <t>Dự thầu</t>
  </si>
  <si>
    <t>Bìa</t>
  </si>
  <si>
    <t>Đơn giá Tổng hợp</t>
  </si>
  <si>
    <t>BẢNG ĐƠN GIÁ TỔNG HỢP HẠNG MỤC CÔNG TRÌNH</t>
  </si>
  <si>
    <t>Thành phần</t>
  </si>
  <si>
    <t>Tên phông chữ</t>
  </si>
  <si>
    <t>Cỡ chữ</t>
  </si>
  <si>
    <t>Bold</t>
  </si>
  <si>
    <t>Italic</t>
  </si>
  <si>
    <t>Underline</t>
  </si>
  <si>
    <t>Strikeout</t>
  </si>
  <si>
    <t>Công tác</t>
  </si>
  <si>
    <t>Arial</t>
  </si>
  <si>
    <t>Diễn giải</t>
  </si>
  <si>
    <t>Nhóm</t>
  </si>
  <si>
    <t>Times New Roman</t>
  </si>
  <si>
    <t>Tiêu đề bảng TL</t>
  </si>
  <si>
    <t>Tên hạng mục</t>
  </si>
  <si>
    <t>Tên bảng</t>
  </si>
  <si>
    <t>R</t>
  </si>
  <si>
    <t>B</t>
  </si>
  <si>
    <t>Diễn giải lỗi</t>
  </si>
  <si>
    <t>Tạm tính</t>
  </si>
  <si>
    <t>Phông chữ tiêu đề bảng</t>
  </si>
  <si>
    <t>Cỡ chữ tiêu đề bảng</t>
  </si>
  <si>
    <t>Arial Narrow</t>
  </si>
  <si>
    <t>Chữ ký (Cho phép User tự do đánh dấu cách )</t>
  </si>
  <si>
    <t>Chức danh</t>
  </si>
  <si>
    <t>Họ và tên người ký</t>
  </si>
  <si>
    <t>Người tính                                                Người kiểm                                                Cơ quan lập</t>
  </si>
  <si>
    <t>Tròn hao phí Đ.M</t>
  </si>
  <si>
    <t>Tròn khối lượng</t>
  </si>
  <si>
    <t>Tròn giá vật tư</t>
  </si>
  <si>
    <t>Tròn đơn giá công tác</t>
  </si>
  <si>
    <t>Tròn thành tiền</t>
  </si>
  <si>
    <t>Tròn tổng thành tiền</t>
  </si>
  <si>
    <t>Tròn Hệ số</t>
  </si>
  <si>
    <t>Tổng số hạng mục</t>
  </si>
  <si>
    <t>Hệ số chi phí chung</t>
  </si>
  <si>
    <t>H.S thu nhập chịu thuế TT</t>
  </si>
  <si>
    <t>H.S riêng VL</t>
  </si>
  <si>
    <t>Hệ số VL phụ</t>
  </si>
  <si>
    <t>H.S riêng NC</t>
  </si>
  <si>
    <t>H.S bù NC</t>
  </si>
  <si>
    <t>H.S riêng NC đất</t>
  </si>
  <si>
    <t>H.S bù NC đất</t>
  </si>
  <si>
    <t>H.S riêng Máy</t>
  </si>
  <si>
    <t>H.S bù Máy</t>
  </si>
  <si>
    <t>H.S VAT</t>
  </si>
  <si>
    <t>HS Lán trại</t>
  </si>
  <si>
    <t>H.S CP Trực tiếp</t>
  </si>
  <si>
    <t>H.S đảm bảo ATGT</t>
  </si>
  <si>
    <t>H.S VAT TB</t>
  </si>
  <si>
    <t>PP tính CPC</t>
  </si>
  <si>
    <t>Hệ số CPC đất</t>
  </si>
  <si>
    <t>Hs Chi phi du phong</t>
  </si>
  <si>
    <t>Mã đất đầu</t>
  </si>
  <si>
    <t>Mã đất cuối</t>
  </si>
  <si>
    <t>Loại HM</t>
  </si>
  <si>
    <t>HsCPC</t>
  </si>
  <si>
    <t>HsTNCTTT</t>
  </si>
  <si>
    <t>HsrVL</t>
  </si>
  <si>
    <t>HsVLP</t>
  </si>
  <si>
    <t>HsrNC</t>
  </si>
  <si>
    <t>HsbNC</t>
  </si>
  <si>
    <t>HsrNCDat</t>
  </si>
  <si>
    <t>HsbNCDat</t>
  </si>
  <si>
    <t>HsrMay</t>
  </si>
  <si>
    <t>HsbMay</t>
  </si>
  <si>
    <t>VAT</t>
  </si>
  <si>
    <t>HsLT</t>
  </si>
  <si>
    <t>HsTtKhac</t>
  </si>
  <si>
    <t>HsATGT</t>
  </si>
  <si>
    <t>HsCPCDat</t>
  </si>
  <si>
    <t>HsCpDp</t>
  </si>
  <si>
    <t>MaNcDatDau</t>
  </si>
  <si>
    <t>MaNcDatCuoi</t>
  </si>
  <si>
    <t>T0.065</t>
  </si>
  <si>
    <t>T0,055</t>
  </si>
  <si>
    <t>T0</t>
  </si>
  <si>
    <t>T0.8316</t>
  </si>
  <si>
    <t>T0.9494</t>
  </si>
  <si>
    <t>T0,1</t>
  </si>
  <si>
    <t>T0.01</t>
  </si>
  <si>
    <t>T0,025</t>
  </si>
  <si>
    <t>T0,01</t>
  </si>
  <si>
    <t>Chi phí lập hồ sơ mời thầu, đánh giá hồ sơ dự thầu thi công xây dựng</t>
  </si>
  <si>
    <t>Chi phí xây dựng
trước thuế</t>
  </si>
  <si>
    <t>Thuế giá trị
 gia tăng</t>
  </si>
  <si>
    <t>Chi phí xây dựng
sau thuế</t>
  </si>
  <si>
    <t>Chi phí xây dựng công trình chính, phụ trợ</t>
  </si>
  <si>
    <t>5.3</t>
  </si>
  <si>
    <t>Gxd1</t>
  </si>
  <si>
    <t>5.6</t>
  </si>
  <si>
    <t>5.7</t>
  </si>
  <si>
    <t>Gk6</t>
  </si>
  <si>
    <t>Gk7</t>
  </si>
  <si>
    <t>5.8</t>
  </si>
  <si>
    <t>Gk8</t>
  </si>
  <si>
    <t>5.9</t>
  </si>
  <si>
    <t>Gk9</t>
  </si>
  <si>
    <t>Chi phí nén tĩnh cọc BTCT</t>
  </si>
  <si>
    <t>Chi phí thẩm định kết quả đấu thầu (Nghị định 63/2014/NĐ-CP)</t>
  </si>
  <si>
    <t>Gxd2</t>
  </si>
  <si>
    <t>Gxd3</t>
  </si>
  <si>
    <t>Gxd4</t>
  </si>
  <si>
    <t>5.10</t>
  </si>
  <si>
    <t>Chi phí thỏa thuận đấu nối điện, nước</t>
  </si>
  <si>
    <t xml:space="preserve">        + Chống mối</t>
  </si>
  <si>
    <t>5.11</t>
  </si>
  <si>
    <t>Gk10</t>
  </si>
  <si>
    <t>Gk11</t>
  </si>
  <si>
    <t>Gdp1+…+Gdp2</t>
  </si>
  <si>
    <t>6.1</t>
  </si>
  <si>
    <t xml:space="preserve">Chi phí dự phòng cho yếu tố khối lượng phát sinh </t>
  </si>
  <si>
    <t>Gdp1</t>
  </si>
  <si>
    <t>6.2</t>
  </si>
  <si>
    <t>Chi phí dự phòng cho yếu tố trượt giá</t>
  </si>
  <si>
    <t>Gdp2</t>
  </si>
  <si>
    <t>Phí thẩm định dự án đầu tư xây dựng</t>
  </si>
  <si>
    <t>Chi phí thẩm định hồ sơ mời thầu (Nghị định 63/2014/NĐ-CP)</t>
  </si>
  <si>
    <t>Gtv3</t>
  </si>
  <si>
    <t>Gtv4</t>
  </si>
  <si>
    <t>Gtv5</t>
  </si>
  <si>
    <t>Gk1</t>
  </si>
  <si>
    <t>Chi phí kiểm toán (Thông tư 19/2016/TT-BTC) (Nếu có yêu cầu)</t>
  </si>
  <si>
    <t>Chi phí lập kế hoạch bảo vệ môi trường</t>
  </si>
  <si>
    <t>4.8</t>
  </si>
  <si>
    <t>4.9</t>
  </si>
  <si>
    <t>Gtv8</t>
  </si>
  <si>
    <t>Gtv9</t>
  </si>
  <si>
    <t>Chi phí giám sát lắp đặt thiết bị</t>
  </si>
  <si>
    <t>Chi phí lập hồ sơ mời thầu, đánh giá hồ sơ dự thầu mua sắm thiết bị</t>
  </si>
  <si>
    <t>0.05% x Gxd</t>
  </si>
  <si>
    <t>Gxd x 0%</t>
  </si>
  <si>
    <t>CÔNG TRÌNH : TRƯỜNG TIỂU HỌC TRONG KHU DÂN CƯ MỚI PHƯỜNG VẠN PHÚC, QUẬN HÀ ĐÔNG, HÀ NỘI</t>
  </si>
  <si>
    <t xml:space="preserve">        + Xây lắp PCCC</t>
  </si>
  <si>
    <t xml:space="preserve">        + Thiết bị PCCC</t>
  </si>
  <si>
    <t>Gtb1</t>
  </si>
  <si>
    <t xml:space="preserve">        + Thang tời thức ăn</t>
  </si>
  <si>
    <t>Gtb2</t>
  </si>
  <si>
    <t xml:space="preserve">        + Xây lắp trạm biến áp</t>
  </si>
  <si>
    <t>Gxd5</t>
  </si>
  <si>
    <t>Gtb3</t>
  </si>
  <si>
    <t>Chi phí khoan khảo sát địa chất (giai đoạn lập dự án+TKCS)</t>
  </si>
  <si>
    <t>Chi phí khoan khảo sát địa chất (giai đoạn thiết kế KTTC)</t>
  </si>
  <si>
    <t>Chi phí thiết kế bản vẽ thi công và dự toán công trình</t>
  </si>
  <si>
    <t>Chi phí thẩm tra thiết kế bản vẽ thi công</t>
  </si>
  <si>
    <t>Chi phí thẩm tra dự toán công trình</t>
  </si>
  <si>
    <t>Chi phí lập hồ sơ mời thầu, đánh giá hồ sơ dự thầu gói thầu tư vấn thiết kế</t>
  </si>
  <si>
    <t>Chi phí lập hồ sơ mời thầu, đánh giá hồ sơ dự thầu gói thầu tư vấn giám sát</t>
  </si>
  <si>
    <t>4.10</t>
  </si>
  <si>
    <t>4.11</t>
  </si>
  <si>
    <t>4.12</t>
  </si>
  <si>
    <t>4.13</t>
  </si>
  <si>
    <t>4.14</t>
  </si>
  <si>
    <t>Gtv10</t>
  </si>
  <si>
    <t>Gtv11</t>
  </si>
  <si>
    <t>Gtv12</t>
  </si>
  <si>
    <t>Gtv13</t>
  </si>
  <si>
    <t>Gtv14</t>
  </si>
  <si>
    <t>3,5% xGxd</t>
  </si>
  <si>
    <t>Chi phí hạng mục chung (NĐ 32/2015)</t>
  </si>
  <si>
    <t>0.014% x TMĐT</t>
  </si>
  <si>
    <t>Chi phi thẩm duyệt thiết kế về phòng cháy và chữa cháy (Thông tư số 150/2014/TT-BTC)</t>
  </si>
  <si>
    <t>0.038% x TMĐT</t>
  </si>
  <si>
    <t>Chi phí bảo hiểm công trình (Thông tư 329/2016/TT-BTC)</t>
  </si>
  <si>
    <t>Chi phí thẩm định giá thiết bị (Tạm tính 1%)</t>
  </si>
  <si>
    <t>1.0% x Gtb</t>
  </si>
  <si>
    <t>5.12</t>
  </si>
  <si>
    <t>Gk12</t>
  </si>
  <si>
    <t>Chi phi giám sát đánh giá đầu tư (Nghị định số 84/2015/NĐ-CP)</t>
  </si>
  <si>
    <t>Qlda x 20%</t>
  </si>
  <si>
    <t>5.13</t>
  </si>
  <si>
    <t>Gk13</t>
  </si>
  <si>
    <t>Gk1+…+Gk13</t>
  </si>
  <si>
    <t>0.844% x Gtb</t>
  </si>
  <si>
    <t>Gtv1+...+Gtv14</t>
  </si>
  <si>
    <t xml:space="preserve">        + Trạm biến áp</t>
  </si>
  <si>
    <t>Gxd8</t>
  </si>
  <si>
    <t>Gxd10</t>
  </si>
  <si>
    <t>Gxd11</t>
  </si>
  <si>
    <t xml:space="preserve">        + San nền</t>
  </si>
  <si>
    <t>Sân bóng</t>
  </si>
  <si>
    <t>BNPCCC</t>
  </si>
  <si>
    <t>BH1</t>
  </si>
  <si>
    <t>BH2</t>
  </si>
  <si>
    <t>TB</t>
  </si>
  <si>
    <t>NBV</t>
  </si>
  <si>
    <t>NX</t>
  </si>
  <si>
    <t xml:space="preserve">        + Rãnh</t>
  </si>
  <si>
    <t xml:space="preserve">        + Bồn hoa</t>
  </si>
  <si>
    <t xml:space="preserve">        + Cấp nước ngoài nhà</t>
  </si>
  <si>
    <t xml:space="preserve">        + Cấp điện ngoài nhà</t>
  </si>
  <si>
    <t xml:space="preserve">        + Nhà bảo vệ</t>
  </si>
  <si>
    <t xml:space="preserve">        + Bể nước PCCC</t>
  </si>
  <si>
    <t>Gxd12</t>
  </si>
  <si>
    <t>Gxd13</t>
  </si>
  <si>
    <t>Gxd14</t>
  </si>
  <si>
    <t>Gxd15</t>
  </si>
  <si>
    <t>Gxd16</t>
  </si>
  <si>
    <t>Gxd17</t>
  </si>
  <si>
    <t>Gxd18</t>
  </si>
  <si>
    <t>Gxd19</t>
  </si>
  <si>
    <t>Gxd20</t>
  </si>
  <si>
    <t>Gxd21</t>
  </si>
  <si>
    <t xml:space="preserve">        + Sân lát gạch Terrazzo 400x400</t>
  </si>
  <si>
    <t xml:space="preserve">        + Cột cờ</t>
  </si>
  <si>
    <t>Dự toán</t>
  </si>
  <si>
    <t>Chi phí thẩm tra báo cáo nghiên cứu khả thi</t>
  </si>
  <si>
    <t>0.367% x Gtb</t>
  </si>
  <si>
    <t>Phí thẩm định thiết kế (Thông tư 210/2016/TT-BTC)</t>
  </si>
  <si>
    <t>Phí thẩm định dự toán (Thông tư 210/2016/TT-BTC)</t>
  </si>
  <si>
    <t>Chi phí thẩm tra, phê duyệt quyết toán (Thông tư 19/2016/TT-BTC) (Nếu thực hiện mục 5.5 thì chi phí này chỉ được tính 50% giá trị)</t>
  </si>
  <si>
    <t>4.15</t>
  </si>
  <si>
    <t>Gtv15</t>
  </si>
  <si>
    <t>4.0</t>
  </si>
  <si>
    <t>1HT x 500.000.000đ</t>
  </si>
  <si>
    <t>Gxd1+..+Gxd24</t>
  </si>
  <si>
    <t>Kinh phí chuẩn bị đầu tư</t>
  </si>
  <si>
    <t>Trong đó :</t>
  </si>
  <si>
    <t xml:space="preserve"> - Chi phí xác định chỉ giới đường đỏ</t>
  </si>
  <si>
    <t>đ</t>
  </si>
  <si>
    <t xml:space="preserve"> - Chi phí tư vấn lập DADT</t>
  </si>
  <si>
    <t xml:space="preserve"> - Chi phí thẩm tra Dự án</t>
  </si>
  <si>
    <t xml:space="preserve"> - Chi phí thẩm định dự án</t>
  </si>
  <si>
    <t xml:space="preserve"> - Chi phí lập kế hoạch bảo vệ môi trường</t>
  </si>
  <si>
    <t xml:space="preserve"> -Chi phí khoan KSĐC</t>
  </si>
  <si>
    <t>Gxd6</t>
  </si>
  <si>
    <t>Gxd7</t>
  </si>
  <si>
    <t>Gxd26</t>
  </si>
  <si>
    <t>0.12% x Gxd</t>
  </si>
  <si>
    <t xml:space="preserve">        + Thiết bị camera an ninh</t>
  </si>
  <si>
    <t>Gtb4</t>
  </si>
  <si>
    <t>Gtb5</t>
  </si>
  <si>
    <t xml:space="preserve">        + Thiết bị văn phòng - Lớp học</t>
  </si>
  <si>
    <t>Gtb1+..+Gtb5</t>
  </si>
  <si>
    <t xml:space="preserve">        + Thang máy</t>
  </si>
  <si>
    <t>Gtb6</t>
  </si>
  <si>
    <t>2 Cái x.100.000.000đ</t>
  </si>
  <si>
    <t>Gxd9</t>
  </si>
  <si>
    <t>Chi phí khảo sát - lập quy hoạch TMB</t>
  </si>
  <si>
    <t>1HT x 760.000.000đ</t>
  </si>
  <si>
    <t>5524,5m3 x 150.000đ</t>
  </si>
  <si>
    <t>5738m2 x 350.000đ</t>
  </si>
  <si>
    <t>530m x 1.000.000đ</t>
  </si>
  <si>
    <t>1553m2 x 250.000đ</t>
  </si>
  <si>
    <t>Chi phí tư vấn lập báo cáo nghiên cứu khả thi</t>
  </si>
  <si>
    <t xml:space="preserve">        + Cổng chính, cổng phụ</t>
  </si>
  <si>
    <t xml:space="preserve">        + Tường rào inox</t>
  </si>
  <si>
    <t>406m x 2.500.000đ</t>
  </si>
  <si>
    <t>380m3 x 2.000.000đ</t>
  </si>
  <si>
    <t xml:space="preserve">        + Nhà hiệu bộ ( N2)</t>
  </si>
  <si>
    <t xml:space="preserve">        + Nhà lớp học (N3)</t>
  </si>
  <si>
    <t xml:space="preserve">        + Nhà lớp học (N4)</t>
  </si>
  <si>
    <t xml:space="preserve">        + Nhà bếp (N6)</t>
  </si>
  <si>
    <t xml:space="preserve">        + Nhà nghỉ giáo viên (N5)</t>
  </si>
  <si>
    <t xml:space="preserve">        + Nhà đa năng (N7)</t>
  </si>
  <si>
    <t xml:space="preserve">        + Hành lang cầu(N8)</t>
  </si>
  <si>
    <t>Theo HĐ số …./2018</t>
  </si>
  <si>
    <t>1526,0m2x5.800.000đ</t>
  </si>
  <si>
    <t>1915,0m2x5.800.000đ</t>
  </si>
  <si>
    <t>1870,0m2 x 5.800.000đ</t>
  </si>
  <si>
    <t>1276,0m2 x 5.800.000đ</t>
  </si>
  <si>
    <t>3536,0m2 x 5.800.000đ</t>
  </si>
  <si>
    <t>1612,0m2 x 5.800.000đ</t>
  </si>
  <si>
    <t>24m2 x 6.500.000đ</t>
  </si>
  <si>
    <t>1188m2 x 4.500.000đ</t>
  </si>
  <si>
    <t>Phí thẩm định hồ sơ mời thầu và kết quả đấu thầu thiết kế</t>
  </si>
  <si>
    <t>Gk14</t>
  </si>
  <si>
    <t>Tối thiểu</t>
  </si>
  <si>
    <t>Phí thẩm định hồ sơ mời thầu và kết quả đấu thầu xây lắp</t>
  </si>
  <si>
    <t>Gk15</t>
  </si>
  <si>
    <t>Phí thẩm định hồ sơ mời thầu và kết quả đấu thầu thiết bị</t>
  </si>
  <si>
    <t>Phí thẩm định hồ sơ mời thầu và kết quả đấu thầu giám sát</t>
  </si>
  <si>
    <t>Phí thẩm định hồ sơ mời thầu và kết quả đấu thầu kiểm toán</t>
  </si>
  <si>
    <t>Phí thẩm định kết quả bảo vệ môi trường</t>
  </si>
  <si>
    <t>Phí thẩm định chuyển đổi mục đích sử dụng đất</t>
  </si>
  <si>
    <t>Gk16</t>
  </si>
  <si>
    <t>Gk17</t>
  </si>
  <si>
    <t>Gk18</t>
  </si>
  <si>
    <t>Gk19</t>
  </si>
  <si>
    <t>Gk20</t>
  </si>
  <si>
    <t>5.14</t>
  </si>
  <si>
    <t>5.15</t>
  </si>
  <si>
    <t>5.16</t>
  </si>
  <si>
    <t>5.17</t>
  </si>
  <si>
    <t>5.18</t>
  </si>
  <si>
    <t>5.19</t>
  </si>
  <si>
    <t>5.20</t>
  </si>
  <si>
    <t>0.622% x Gtk</t>
  </si>
  <si>
    <t>0.728% x Ggs</t>
  </si>
  <si>
    <t>0.548% x TMĐT</t>
  </si>
  <si>
    <t>0.36% x TMĐT</t>
  </si>
  <si>
    <t>BẢNG TỔNG HỢP KINH PHÍ KHÁI TOÁN TƯ VẤN TRÌNH</t>
  </si>
  <si>
    <t>1 Cái x.15.000.000đ</t>
  </si>
  <si>
    <t>Tổng mức</t>
  </si>
  <si>
    <t xml:space="preserve">        + Thảm cỏ, cây xanh.</t>
  </si>
  <si>
    <t>a</t>
  </si>
  <si>
    <t>Chi phí lập báo cáo kinh tế kỹ thuật</t>
  </si>
  <si>
    <t>b</t>
  </si>
  <si>
    <t>Chi phí thẩm tra, phê duyệt quyết toán</t>
  </si>
  <si>
    <t>0,019%xTMĐT</t>
  </si>
  <si>
    <t>TỔNG CỘNG ( LÀM TRÒN)</t>
  </si>
  <si>
    <t>BẢNG KHÁI TOÁN TỔNG MỨC ĐẦU TƯ</t>
  </si>
  <si>
    <t>Chi phí bảo hiểm công trình (Thông tư 50/2022/TT-BTC)</t>
  </si>
  <si>
    <t>0,57% x (TMĐT-DP)</t>
  </si>
  <si>
    <t>3.1</t>
  </si>
  <si>
    <t>3.2</t>
  </si>
  <si>
    <t>3.3</t>
  </si>
  <si>
    <t>3.446% x Gxd</t>
  </si>
  <si>
    <t>Chi phí thẩm định dự án đầu tư xây dựng (TT28/2023/TT-BTC - Mức tối thiểu 500.000đ)</t>
  </si>
  <si>
    <t>Chi phí thẩm tra thiết kế bản vẽ</t>
  </si>
  <si>
    <t>Chi phí thẩm tra dự toán</t>
  </si>
  <si>
    <t>0,258%*Gxd</t>
  </si>
  <si>
    <t>0,25%*Gxd</t>
  </si>
  <si>
    <t>Gk1+…+Gk6</t>
  </si>
  <si>
    <t>6,5%*Gxd</t>
  </si>
  <si>
    <t>Gxd1+...+Gxd3</t>
  </si>
  <si>
    <t>Gtv1+Gtv2</t>
  </si>
  <si>
    <t>Đơn vị: VNĐ</t>
  </si>
  <si>
    <t>Đường bê tông sang TT hành chính công rộng 3m</t>
  </si>
  <si>
    <t>d</t>
  </si>
  <si>
    <t>Tường rào, cổng phụ sau phòng văn hóa</t>
  </si>
  <si>
    <t>e</t>
  </si>
  <si>
    <t>Cống thoát nước D600 thoát cho sân bóng, bồn cây, đánh cây trồng ra vị trí mới</t>
  </si>
  <si>
    <t>3.4</t>
  </si>
  <si>
    <t>c</t>
  </si>
  <si>
    <t>76m2*6000.000</t>
  </si>
  <si>
    <t>88m*2.700.000</t>
  </si>
  <si>
    <t>45m*2.250.000</t>
  </si>
  <si>
    <t>Công trình: xây mới 02 phòng làm việc cho phòng Văn hóa-Xã hội; 01 kho lưu trữ bảo quản tài liệu của xã; bê tông hóa khoảng 100 mét đường từ trụ sở UBND xã sang khu trung tâm phục vụ hành chính công và các công trình phụ trợ</t>
  </si>
  <si>
    <t>(Ban hành kèm theo Nghị quyết số      /NQ-HĐND ngày 31/10/2025 của HĐND xã Thiện Tân)</t>
  </si>
  <si>
    <t>Nhà làm việc 02 phòng và 01 kho lưu trữ</t>
  </si>
  <si>
    <t>Thoát nước ngoài nhà sau nhà 2 tầng và cổng phụ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</si>
</sst>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###;\-#,##0.###"/>
    <numFmt numFmtId="165" formatCode="#,##0.#;\-#,##0.#"/>
    <numFmt numFmtId="166" formatCode="0.###\ %;\-0.###\ %"/>
    <numFmt numFmtId="167" formatCode="0.####\ %;\-0.####\ %"/>
  </numFmts>
  <fonts count="42" x14ac:knownFonts="1">
    <font>
      <sz val="8.25"/>
      <name val="Microsoft Sans Serif"/>
    </font>
    <font>
      <sz val="8.25"/>
      <name val="Microsoft Sans Serif"/>
      <family val="2"/>
    </font>
    <font>
      <b/>
      <sz val="15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.25"/>
      <name val="Arial Narrow"/>
      <family val="2"/>
    </font>
    <font>
      <sz val="8.25"/>
      <name val="Microsoft Sans Serif"/>
      <family val="2"/>
    </font>
    <font>
      <i/>
      <sz val="12"/>
      <color indexed="3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8"/>
      <name val="Microsoft Sans Serif"/>
      <family val="2"/>
    </font>
    <font>
      <i/>
      <sz val="12"/>
      <name val="Times New Roman"/>
      <family val="1"/>
    </font>
    <font>
      <sz val="8.25"/>
      <name val="Microsoft Sans Serif"/>
      <family val="2"/>
    </font>
    <font>
      <sz val="8"/>
      <name val="Microsoft Sans Serif"/>
      <family val="2"/>
    </font>
    <font>
      <b/>
      <i/>
      <sz val="12"/>
      <color indexed="30"/>
      <name val="Times New Roman"/>
      <family val="1"/>
    </font>
    <font>
      <sz val="12"/>
      <name val="Microsoft Sans Serif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Microsoft Sans Serif"/>
      <family val="2"/>
    </font>
    <font>
      <sz val="11"/>
      <color theme="1"/>
      <name val="Arial"/>
      <family val="2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8.25"/>
      <color rgb="FFFF0000"/>
      <name val="Microsoft Sans Serif"/>
      <family val="2"/>
    </font>
    <font>
      <b/>
      <i/>
      <sz val="12"/>
      <color rgb="FFFF0000"/>
      <name val="Times New Roman"/>
      <family val="1"/>
    </font>
    <font>
      <sz val="12"/>
      <color rgb="FFFF0000"/>
      <name val="Microsoft Sans Serif"/>
      <family val="2"/>
    </font>
    <font>
      <sz val="10"/>
      <name val="Arial"/>
      <family val="2"/>
    </font>
    <font>
      <b/>
      <i/>
      <sz val="12"/>
      <name val="Cambria"/>
      <family val="1"/>
      <scheme val="major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i/>
      <sz val="8.25"/>
      <name val="Microsoft Sans Serif"/>
      <family val="2"/>
    </font>
    <font>
      <sz val="8"/>
      <name val="Microsoft Sans Serif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32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</cellStyleXfs>
  <cellXfs count="204">
    <xf numFmtId="0" fontId="1" fillId="0" borderId="0" xfId="0" applyFont="1" applyAlignment="1">
      <alignment vertical="top"/>
      <protection locked="0"/>
    </xf>
    <xf numFmtId="49" fontId="5" fillId="2" borderId="1" xfId="0" applyNumberFormat="1" applyFont="1" applyFill="1" applyBorder="1" applyAlignment="1">
      <alignment horizontal="center" vertical="center" wrapText="1"/>
      <protection locked="0"/>
    </xf>
    <xf numFmtId="49" fontId="5" fillId="2" borderId="2" xfId="0" applyNumberFormat="1" applyFont="1" applyFill="1" applyBorder="1" applyAlignment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  <protection locked="0"/>
    </xf>
    <xf numFmtId="0" fontId="11" fillId="0" borderId="0" xfId="0" applyFont="1" applyAlignment="1">
      <alignment vertical="top"/>
      <protection locked="0"/>
    </xf>
    <xf numFmtId="1" fontId="1" fillId="0" borderId="0" xfId="0" applyNumberFormat="1" applyFont="1" applyAlignment="1">
      <alignment horizontal="center" vertical="top"/>
      <protection locked="0"/>
    </xf>
    <xf numFmtId="1" fontId="1" fillId="0" borderId="0" xfId="0" applyNumberFormat="1" applyFont="1" applyAlignment="1">
      <alignment vertical="top"/>
      <protection locked="0"/>
    </xf>
    <xf numFmtId="49" fontId="1" fillId="0" borderId="0" xfId="0" applyNumberFormat="1" applyFont="1" applyAlignment="1">
      <alignment vertical="center"/>
      <protection locked="0"/>
    </xf>
    <xf numFmtId="49" fontId="1" fillId="0" borderId="0" xfId="0" applyNumberFormat="1" applyFont="1" applyAlignment="1">
      <alignment horizontal="center" vertical="center"/>
      <protection locked="0"/>
    </xf>
    <xf numFmtId="49" fontId="9" fillId="0" borderId="3" xfId="0" applyNumberFormat="1" applyFont="1" applyBorder="1" applyAlignment="1">
      <alignment horizontal="center" vertical="top"/>
      <protection locked="0"/>
    </xf>
    <xf numFmtId="49" fontId="9" fillId="0" borderId="4" xfId="0" applyNumberFormat="1" applyFont="1" applyBorder="1" applyAlignment="1">
      <alignment vertical="top" wrapText="1"/>
      <protection locked="0"/>
    </xf>
    <xf numFmtId="0" fontId="9" fillId="0" borderId="4" xfId="0" applyFont="1" applyBorder="1" applyAlignment="1">
      <alignment horizontal="center" vertical="top"/>
      <protection locked="0"/>
    </xf>
    <xf numFmtId="166" fontId="9" fillId="0" borderId="4" xfId="0" applyNumberFormat="1" applyFont="1" applyBorder="1" applyAlignment="1">
      <alignment horizontal="center" vertical="top" wrapText="1"/>
      <protection locked="0"/>
    </xf>
    <xf numFmtId="164" fontId="9" fillId="0" borderId="4" xfId="0" applyNumberFormat="1" applyFont="1" applyBorder="1" applyAlignment="1">
      <alignment horizontal="center" vertical="top" wrapText="1"/>
      <protection locked="0"/>
    </xf>
    <xf numFmtId="49" fontId="9" fillId="0" borderId="4" xfId="0" applyNumberFormat="1" applyFont="1" applyBorder="1" applyAlignment="1">
      <alignment horizontal="center" vertical="top" wrapText="1"/>
      <protection locked="0"/>
    </xf>
    <xf numFmtId="37" fontId="9" fillId="0" borderId="4" xfId="0" applyNumberFormat="1" applyFont="1" applyBorder="1" applyAlignment="1">
      <alignment vertical="top" wrapText="1"/>
      <protection locked="0"/>
    </xf>
    <xf numFmtId="0" fontId="10" fillId="0" borderId="5" xfId="0" applyFont="1" applyBorder="1" applyAlignment="1">
      <alignment horizontal="center" vertical="top"/>
      <protection locked="0"/>
    </xf>
    <xf numFmtId="0" fontId="1" fillId="0" borderId="5" xfId="0" applyFont="1" applyBorder="1" applyAlignment="1">
      <alignment vertical="top"/>
      <protection locked="0"/>
    </xf>
    <xf numFmtId="49" fontId="8" fillId="0" borderId="6" xfId="0" applyNumberFormat="1" applyFont="1" applyBorder="1" applyAlignment="1">
      <alignment horizontal="center" vertical="top"/>
      <protection locked="0"/>
    </xf>
    <xf numFmtId="49" fontId="8" fillId="0" borderId="7" xfId="0" applyNumberFormat="1" applyFont="1" applyBorder="1" applyAlignment="1">
      <alignment vertical="top" wrapText="1"/>
      <protection locked="0"/>
    </xf>
    <xf numFmtId="0" fontId="8" fillId="0" borderId="7" xfId="0" applyFont="1" applyBorder="1" applyAlignment="1">
      <alignment horizontal="center" vertical="top"/>
      <protection locked="0"/>
    </xf>
    <xf numFmtId="166" fontId="8" fillId="0" borderId="7" xfId="0" applyNumberFormat="1" applyFont="1" applyBorder="1" applyAlignment="1">
      <alignment horizontal="center" vertical="top" wrapText="1"/>
      <protection locked="0"/>
    </xf>
    <xf numFmtId="164" fontId="8" fillId="0" borderId="7" xfId="0" applyNumberFormat="1" applyFont="1" applyBorder="1" applyAlignment="1">
      <alignment horizontal="center" vertical="top" wrapText="1"/>
      <protection locked="0"/>
    </xf>
    <xf numFmtId="49" fontId="8" fillId="0" borderId="7" xfId="0" applyNumberFormat="1" applyFont="1" applyBorder="1" applyAlignment="1">
      <alignment horizontal="center" vertical="top" wrapText="1"/>
      <protection locked="0"/>
    </xf>
    <xf numFmtId="37" fontId="8" fillId="0" borderId="7" xfId="0" applyNumberFormat="1" applyFont="1" applyBorder="1" applyAlignment="1">
      <alignment vertical="top" wrapText="1"/>
      <protection locked="0"/>
    </xf>
    <xf numFmtId="0" fontId="10" fillId="0" borderId="8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vertical="top"/>
      <protection locked="0"/>
    </xf>
    <xf numFmtId="49" fontId="13" fillId="0" borderId="7" xfId="0" applyNumberFormat="1" applyFont="1" applyBorder="1" applyAlignment="1">
      <alignment vertical="top" wrapText="1"/>
      <protection locked="0"/>
    </xf>
    <xf numFmtId="0" fontId="13" fillId="0" borderId="7" xfId="0" applyFont="1" applyBorder="1" applyAlignment="1">
      <alignment horizontal="center" vertical="top"/>
      <protection locked="0"/>
    </xf>
    <xf numFmtId="49" fontId="9" fillId="0" borderId="6" xfId="0" applyNumberFormat="1" applyFont="1" applyBorder="1" applyAlignment="1">
      <alignment horizontal="center" vertical="top"/>
      <protection locked="0"/>
    </xf>
    <xf numFmtId="49" fontId="9" fillId="0" borderId="7" xfId="0" applyNumberFormat="1" applyFont="1" applyBorder="1" applyAlignment="1">
      <alignment vertical="top" wrapText="1"/>
      <protection locked="0"/>
    </xf>
    <xf numFmtId="0" fontId="9" fillId="0" borderId="7" xfId="0" applyFont="1" applyBorder="1" applyAlignment="1">
      <alignment horizontal="center" vertical="top"/>
      <protection locked="0"/>
    </xf>
    <xf numFmtId="166" fontId="9" fillId="0" borderId="7" xfId="0" applyNumberFormat="1" applyFont="1" applyBorder="1" applyAlignment="1">
      <alignment horizontal="center" vertical="top" wrapText="1"/>
      <protection locked="0"/>
    </xf>
    <xf numFmtId="164" fontId="9" fillId="0" borderId="7" xfId="0" applyNumberFormat="1" applyFont="1" applyBorder="1" applyAlignment="1">
      <alignment horizontal="center" vertical="top" wrapText="1"/>
      <protection locked="0"/>
    </xf>
    <xf numFmtId="49" fontId="9" fillId="0" borderId="7" xfId="0" applyNumberFormat="1" applyFont="1" applyBorder="1" applyAlignment="1">
      <alignment horizontal="center" vertical="top" wrapText="1"/>
      <protection locked="0"/>
    </xf>
    <xf numFmtId="37" fontId="9" fillId="0" borderId="7" xfId="0" applyNumberFormat="1" applyFont="1" applyBorder="1" applyAlignment="1">
      <alignment vertical="top" wrapText="1"/>
      <protection locked="0"/>
    </xf>
    <xf numFmtId="37" fontId="8" fillId="0" borderId="8" xfId="0" applyNumberFormat="1" applyFont="1" applyBorder="1" applyAlignment="1">
      <alignment vertical="top" wrapText="1"/>
      <protection locked="0"/>
    </xf>
    <xf numFmtId="167" fontId="8" fillId="0" borderId="7" xfId="0" applyNumberFormat="1" applyFont="1" applyBorder="1" applyAlignment="1">
      <alignment horizontal="center" vertical="top" wrapText="1"/>
      <protection locked="0"/>
    </xf>
    <xf numFmtId="0" fontId="9" fillId="0" borderId="6" xfId="0" applyFont="1" applyBorder="1" applyAlignment="1">
      <alignment vertical="top"/>
      <protection locked="0"/>
    </xf>
    <xf numFmtId="0" fontId="9" fillId="0" borderId="7" xfId="0" applyFont="1" applyBorder="1" applyAlignment="1">
      <alignment vertical="top"/>
      <protection locked="0"/>
    </xf>
    <xf numFmtId="166" fontId="9" fillId="0" borderId="7" xfId="0" applyNumberFormat="1" applyFont="1" applyBorder="1" applyAlignment="1">
      <alignment vertical="top" wrapText="1"/>
      <protection locked="0"/>
    </xf>
    <xf numFmtId="164" fontId="9" fillId="0" borderId="7" xfId="0" applyNumberFormat="1" applyFont="1" applyBorder="1" applyAlignment="1">
      <alignment vertical="top" wrapText="1"/>
      <protection locked="0"/>
    </xf>
    <xf numFmtId="165" fontId="9" fillId="0" borderId="7" xfId="0" applyNumberFormat="1" applyFont="1" applyBorder="1" applyAlignment="1">
      <alignment vertical="top" wrapText="1"/>
      <protection locked="0"/>
    </xf>
    <xf numFmtId="0" fontId="1" fillId="0" borderId="9" xfId="0" applyFont="1" applyBorder="1" applyAlignment="1">
      <alignment vertical="top"/>
      <protection locked="0"/>
    </xf>
    <xf numFmtId="49" fontId="13" fillId="0" borderId="7" xfId="0" applyNumberFormat="1" applyFont="1" applyBorder="1" applyAlignment="1">
      <alignment horizontal="center" vertical="top" wrapText="1"/>
      <protection locked="0"/>
    </xf>
    <xf numFmtId="37" fontId="13" fillId="0" borderId="7" xfId="0" applyNumberFormat="1" applyFont="1" applyBorder="1" applyAlignment="1">
      <alignment vertical="top" wrapText="1"/>
      <protection locked="0"/>
    </xf>
    <xf numFmtId="37" fontId="14" fillId="0" borderId="7" xfId="0" applyNumberFormat="1" applyFont="1" applyBorder="1" applyAlignment="1">
      <alignment vertical="top" wrapText="1"/>
      <protection locked="0"/>
    </xf>
    <xf numFmtId="37" fontId="9" fillId="3" borderId="7" xfId="0" applyNumberFormat="1" applyFont="1" applyFill="1" applyBorder="1" applyAlignment="1">
      <alignment vertical="top" wrapText="1"/>
      <protection locked="0"/>
    </xf>
    <xf numFmtId="37" fontId="1" fillId="0" borderId="9" xfId="0" applyNumberFormat="1" applyFont="1" applyBorder="1" applyAlignment="1">
      <alignment vertical="top"/>
      <protection locked="0"/>
    </xf>
    <xf numFmtId="49" fontId="8" fillId="0" borderId="6" xfId="0" applyNumberFormat="1" applyFont="1" applyBorder="1" applyAlignment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  <protection locked="0"/>
    </xf>
    <xf numFmtId="166" fontId="8" fillId="0" borderId="7" xfId="0" applyNumberFormat="1" applyFont="1" applyBorder="1" applyAlignment="1">
      <alignment horizontal="center" vertical="center" wrapText="1"/>
      <protection locked="0"/>
    </xf>
    <xf numFmtId="164" fontId="8" fillId="0" borderId="7" xfId="0" applyNumberFormat="1" applyFont="1" applyBorder="1" applyAlignment="1">
      <alignment horizontal="center" vertical="center" wrapText="1"/>
      <protection locked="0"/>
    </xf>
    <xf numFmtId="37" fontId="8" fillId="0" borderId="7" xfId="0" applyNumberFormat="1" applyFont="1" applyBorder="1" applyAlignment="1">
      <alignment vertical="center" wrapText="1"/>
      <protection locked="0"/>
    </xf>
    <xf numFmtId="49" fontId="18" fillId="0" borderId="7" xfId="0" applyNumberFormat="1" applyFont="1" applyBorder="1" applyAlignment="1">
      <alignment vertical="top" wrapText="1"/>
      <protection locked="0"/>
    </xf>
    <xf numFmtId="0" fontId="10" fillId="0" borderId="8" xfId="0" applyFont="1" applyBorder="1" applyAlignment="1">
      <alignment horizontal="center" vertical="center"/>
      <protection locked="0"/>
    </xf>
    <xf numFmtId="0" fontId="1" fillId="0" borderId="8" xfId="0" applyFont="1" applyBorder="1" applyAlignment="1">
      <alignment vertical="center"/>
      <protection locked="0"/>
    </xf>
    <xf numFmtId="0" fontId="19" fillId="0" borderId="8" xfId="0" applyFont="1" applyBorder="1" applyAlignment="1">
      <alignment vertical="top"/>
      <protection locked="0"/>
    </xf>
    <xf numFmtId="49" fontId="18" fillId="0" borderId="7" xfId="0" applyNumberFormat="1" applyFont="1" applyBorder="1" applyAlignment="1">
      <alignment horizontal="center" vertical="center" wrapText="1"/>
      <protection locked="0"/>
    </xf>
    <xf numFmtId="49" fontId="18" fillId="0" borderId="7" xfId="0" applyNumberFormat="1" applyFont="1" applyBorder="1" applyAlignment="1">
      <alignment vertical="center" wrapText="1"/>
      <protection locked="0"/>
    </xf>
    <xf numFmtId="49" fontId="18" fillId="0" borderId="7" xfId="0" applyNumberFormat="1" applyFont="1" applyBorder="1" applyAlignment="1">
      <alignment horizontal="center" vertical="top" wrapText="1"/>
      <protection locked="0"/>
    </xf>
    <xf numFmtId="49" fontId="18" fillId="0" borderId="6" xfId="0" applyNumberFormat="1" applyFont="1" applyBorder="1" applyAlignment="1">
      <alignment horizontal="center" vertical="top"/>
      <protection locked="0"/>
    </xf>
    <xf numFmtId="0" fontId="18" fillId="0" borderId="7" xfId="0" applyFont="1" applyBorder="1" applyAlignment="1">
      <alignment horizontal="center" vertical="top"/>
      <protection locked="0"/>
    </xf>
    <xf numFmtId="49" fontId="15" fillId="0" borderId="7" xfId="0" applyNumberFormat="1" applyFont="1" applyBorder="1" applyAlignment="1">
      <alignment horizontal="center" vertical="top" wrapText="1"/>
      <protection locked="0"/>
    </xf>
    <xf numFmtId="0" fontId="18" fillId="0" borderId="7" xfId="0" applyFont="1" applyBorder="1" applyAlignment="1">
      <alignment horizontal="center" vertical="center"/>
      <protection locked="0"/>
    </xf>
    <xf numFmtId="166" fontId="18" fillId="0" borderId="7" xfId="0" applyNumberFormat="1" applyFont="1" applyBorder="1" applyAlignment="1">
      <alignment horizontal="center" vertical="top" wrapText="1"/>
      <protection locked="0"/>
    </xf>
    <xf numFmtId="164" fontId="18" fillId="0" borderId="7" xfId="0" applyNumberFormat="1" applyFont="1" applyBorder="1" applyAlignment="1">
      <alignment horizontal="center" vertical="top" wrapText="1"/>
      <protection locked="0"/>
    </xf>
    <xf numFmtId="37" fontId="18" fillId="0" borderId="7" xfId="0" applyNumberFormat="1" applyFont="1" applyBorder="1" applyAlignment="1">
      <alignment vertical="top" wrapText="1"/>
      <protection locked="0"/>
    </xf>
    <xf numFmtId="0" fontId="14" fillId="0" borderId="8" xfId="0" applyFont="1" applyBorder="1" applyAlignment="1">
      <alignment horizontal="center" vertical="top"/>
      <protection locked="0"/>
    </xf>
    <xf numFmtId="49" fontId="8" fillId="0" borderId="7" xfId="0" applyNumberFormat="1" applyFont="1" applyBorder="1" applyAlignment="1">
      <alignment vertical="center" wrapText="1"/>
      <protection locked="0"/>
    </xf>
    <xf numFmtId="9" fontId="1" fillId="0" borderId="8" xfId="0" applyNumberFormat="1" applyFont="1" applyBorder="1" applyAlignment="1">
      <alignment vertical="top"/>
      <protection locked="0"/>
    </xf>
    <xf numFmtId="37" fontId="21" fillId="0" borderId="7" xfId="0" applyNumberFormat="1" applyFont="1" applyBorder="1" applyAlignment="1">
      <alignment vertical="top" wrapText="1"/>
      <protection locked="0"/>
    </xf>
    <xf numFmtId="37" fontId="1" fillId="0" borderId="8" xfId="0" applyNumberFormat="1" applyFont="1" applyBorder="1" applyAlignment="1">
      <alignment vertical="center"/>
      <protection locked="0"/>
    </xf>
    <xf numFmtId="0" fontId="22" fillId="0" borderId="8" xfId="0" applyFont="1" applyBorder="1" applyAlignment="1">
      <alignment vertical="top"/>
      <protection locked="0"/>
    </xf>
    <xf numFmtId="49" fontId="10" fillId="0" borderId="7" xfId="0" applyNumberFormat="1" applyFont="1" applyBorder="1" applyAlignment="1">
      <alignment horizontal="center" vertical="top" wrapText="1"/>
      <protection locked="0"/>
    </xf>
    <xf numFmtId="49" fontId="8" fillId="0" borderId="7" xfId="0" applyNumberFormat="1" applyFont="1" applyBorder="1" applyAlignment="1">
      <alignment horizontal="center" vertical="center" wrapText="1"/>
      <protection locked="0"/>
    </xf>
    <xf numFmtId="0" fontId="23" fillId="0" borderId="10" xfId="0" applyFont="1" applyBorder="1" applyAlignment="1">
      <alignment vertical="top"/>
      <protection locked="0"/>
    </xf>
    <xf numFmtId="0" fontId="23" fillId="0" borderId="11" xfId="0" applyFont="1" applyBorder="1" applyAlignment="1">
      <alignment vertical="top"/>
      <protection locked="0"/>
    </xf>
    <xf numFmtId="0" fontId="23" fillId="0" borderId="12" xfId="0" applyFont="1" applyBorder="1" applyAlignment="1">
      <alignment vertical="top"/>
      <protection locked="0"/>
    </xf>
    <xf numFmtId="0" fontId="23" fillId="0" borderId="13" xfId="0" quotePrefix="1" applyFont="1" applyBorder="1" applyAlignment="1">
      <alignment vertical="top"/>
      <protection locked="0"/>
    </xf>
    <xf numFmtId="3" fontId="23" fillId="0" borderId="14" xfId="0" applyNumberFormat="1" applyFont="1" applyBorder="1" applyAlignment="1">
      <alignment vertical="top"/>
      <protection locked="0"/>
    </xf>
    <xf numFmtId="0" fontId="23" fillId="0" borderId="13" xfId="0" quotePrefix="1" applyFont="1" applyBorder="1" applyAlignment="1">
      <alignment vertical="top" wrapText="1"/>
      <protection locked="0"/>
    </xf>
    <xf numFmtId="3" fontId="23" fillId="0" borderId="13" xfId="0" applyNumberFormat="1" applyFont="1" applyBorder="1" applyAlignment="1">
      <alignment vertical="top"/>
      <protection locked="0"/>
    </xf>
    <xf numFmtId="0" fontId="23" fillId="0" borderId="0" xfId="0" applyFont="1" applyAlignment="1">
      <alignment vertical="top"/>
      <protection locked="0"/>
    </xf>
    <xf numFmtId="4" fontId="22" fillId="0" borderId="8" xfId="0" applyNumberFormat="1" applyFont="1" applyBorder="1" applyAlignment="1">
      <alignment vertical="top"/>
      <protection locked="0"/>
    </xf>
    <xf numFmtId="37" fontId="1" fillId="0" borderId="0" xfId="0" applyNumberFormat="1" applyFont="1" applyAlignment="1">
      <alignment vertical="top"/>
      <protection locked="0"/>
    </xf>
    <xf numFmtId="37" fontId="14" fillId="0" borderId="8" xfId="0" applyNumberFormat="1" applyFont="1" applyBorder="1" applyAlignment="1">
      <alignment vertical="top" wrapText="1"/>
      <protection locked="0"/>
    </xf>
    <xf numFmtId="49" fontId="27" fillId="0" borderId="6" xfId="0" applyNumberFormat="1" applyFont="1" applyBorder="1" applyAlignment="1">
      <alignment horizontal="center" vertical="top"/>
      <protection locked="0"/>
    </xf>
    <xf numFmtId="49" fontId="28" fillId="0" borderId="7" xfId="0" applyNumberFormat="1" applyFont="1" applyBorder="1" applyAlignment="1">
      <alignment vertical="top" wrapText="1"/>
      <protection locked="0"/>
    </xf>
    <xf numFmtId="0" fontId="28" fillId="0" borderId="7" xfId="0" applyFont="1" applyBorder="1" applyAlignment="1">
      <alignment horizontal="center" vertical="top"/>
      <protection locked="0"/>
    </xf>
    <xf numFmtId="166" fontId="27" fillId="0" borderId="7" xfId="0" applyNumberFormat="1" applyFont="1" applyBorder="1" applyAlignment="1">
      <alignment horizontal="center" vertical="top" wrapText="1"/>
      <protection locked="0"/>
    </xf>
    <xf numFmtId="164" fontId="27" fillId="0" borderId="7" xfId="0" applyNumberFormat="1" applyFont="1" applyBorder="1" applyAlignment="1">
      <alignment horizontal="center" vertical="top" wrapText="1"/>
      <protection locked="0"/>
    </xf>
    <xf numFmtId="49" fontId="28" fillId="0" borderId="7" xfId="0" applyNumberFormat="1" applyFont="1" applyBorder="1" applyAlignment="1">
      <alignment horizontal="center" vertical="top" wrapText="1"/>
      <protection locked="0"/>
    </xf>
    <xf numFmtId="37" fontId="28" fillId="0" borderId="7" xfId="0" applyNumberFormat="1" applyFont="1" applyBorder="1" applyAlignment="1">
      <alignment vertical="top" wrapText="1"/>
      <protection locked="0"/>
    </xf>
    <xf numFmtId="0" fontId="29" fillId="0" borderId="8" xfId="0" applyFont="1" applyBorder="1" applyAlignment="1">
      <alignment horizontal="center" vertical="top"/>
      <protection locked="0"/>
    </xf>
    <xf numFmtId="0" fontId="30" fillId="0" borderId="5" xfId="0" applyFont="1" applyBorder="1" applyAlignment="1">
      <alignment vertical="top"/>
      <protection locked="0"/>
    </xf>
    <xf numFmtId="0" fontId="30" fillId="0" borderId="8" xfId="0" applyFont="1" applyBorder="1" applyAlignment="1">
      <alignment vertical="top"/>
      <protection locked="0"/>
    </xf>
    <xf numFmtId="9" fontId="30" fillId="0" borderId="8" xfId="0" applyNumberFormat="1" applyFont="1" applyBorder="1" applyAlignment="1">
      <alignment vertical="top"/>
      <protection locked="0"/>
    </xf>
    <xf numFmtId="49" fontId="28" fillId="0" borderId="6" xfId="0" applyNumberFormat="1" applyFont="1" applyBorder="1" applyAlignment="1">
      <alignment horizontal="center" vertical="top"/>
      <protection locked="0"/>
    </xf>
    <xf numFmtId="166" fontId="28" fillId="0" borderId="7" xfId="0" applyNumberFormat="1" applyFont="1" applyBorder="1" applyAlignment="1">
      <alignment horizontal="center" vertical="top" wrapText="1"/>
      <protection locked="0"/>
    </xf>
    <xf numFmtId="164" fontId="28" fillId="0" borderId="7" xfId="0" applyNumberFormat="1" applyFont="1" applyBorder="1" applyAlignment="1">
      <alignment horizontal="center" vertical="top" wrapText="1"/>
      <protection locked="0"/>
    </xf>
    <xf numFmtId="37" fontId="31" fillId="0" borderId="7" xfId="0" applyNumberFormat="1" applyFont="1" applyBorder="1" applyAlignment="1">
      <alignment vertical="top" wrapText="1"/>
      <protection locked="0"/>
    </xf>
    <xf numFmtId="0" fontId="32" fillId="0" borderId="8" xfId="0" applyFont="1" applyBorder="1" applyAlignment="1">
      <alignment vertical="top"/>
      <protection locked="0"/>
    </xf>
    <xf numFmtId="49" fontId="28" fillId="0" borderId="6" xfId="0" applyNumberFormat="1" applyFont="1" applyBorder="1" applyAlignment="1">
      <alignment horizontal="center" vertical="center"/>
      <protection locked="0"/>
    </xf>
    <xf numFmtId="49" fontId="28" fillId="0" borderId="7" xfId="0" applyNumberFormat="1" applyFont="1" applyBorder="1" applyAlignment="1">
      <alignment vertical="center" wrapText="1"/>
      <protection locked="0"/>
    </xf>
    <xf numFmtId="0" fontId="28" fillId="0" borderId="7" xfId="0" applyFont="1" applyBorder="1" applyAlignment="1">
      <alignment horizontal="center" vertical="center"/>
      <protection locked="0"/>
    </xf>
    <xf numFmtId="49" fontId="29" fillId="0" borderId="7" xfId="0" applyNumberFormat="1" applyFont="1" applyBorder="1" applyAlignment="1">
      <alignment horizontal="center" vertical="top" wrapText="1"/>
      <protection locked="0"/>
    </xf>
    <xf numFmtId="37" fontId="30" fillId="0" borderId="8" xfId="0" applyNumberFormat="1" applyFont="1" applyBorder="1" applyAlignment="1">
      <alignment vertical="top"/>
      <protection locked="0"/>
    </xf>
    <xf numFmtId="166" fontId="28" fillId="0" borderId="7" xfId="0" applyNumberFormat="1" applyFont="1" applyBorder="1" applyAlignment="1">
      <alignment horizontal="center" vertical="center" wrapText="1"/>
      <protection locked="0"/>
    </xf>
    <xf numFmtId="164" fontId="28" fillId="0" borderId="7" xfId="0" applyNumberFormat="1" applyFont="1" applyBorder="1" applyAlignment="1">
      <alignment horizontal="center" vertical="center" wrapText="1"/>
      <protection locked="0"/>
    </xf>
    <xf numFmtId="49" fontId="28" fillId="0" borderId="7" xfId="0" applyNumberFormat="1" applyFont="1" applyBorder="1" applyAlignment="1">
      <alignment horizontal="center" vertical="center" wrapText="1"/>
      <protection locked="0"/>
    </xf>
    <xf numFmtId="37" fontId="28" fillId="0" borderId="7" xfId="0" applyNumberFormat="1" applyFont="1" applyBorder="1" applyAlignment="1">
      <alignment vertical="center" wrapText="1"/>
      <protection locked="0"/>
    </xf>
    <xf numFmtId="37" fontId="28" fillId="0" borderId="8" xfId="0" applyNumberFormat="1" applyFont="1" applyBorder="1" applyAlignment="1">
      <alignment vertical="top" wrapText="1"/>
      <protection locked="0"/>
    </xf>
    <xf numFmtId="37" fontId="8" fillId="0" borderId="6" xfId="0" applyNumberFormat="1" applyFont="1" applyBorder="1" applyAlignment="1">
      <alignment vertical="top" wrapText="1"/>
      <protection locked="0"/>
    </xf>
    <xf numFmtId="0" fontId="12" fillId="0" borderId="0" xfId="0" applyFont="1" applyAlignment="1">
      <alignment vertical="top"/>
      <protection locked="0"/>
    </xf>
    <xf numFmtId="0" fontId="12" fillId="0" borderId="8" xfId="0" applyFont="1" applyBorder="1" applyAlignment="1">
      <alignment vertical="top"/>
      <protection locked="0"/>
    </xf>
    <xf numFmtId="37" fontId="12" fillId="0" borderId="8" xfId="0" applyNumberFormat="1" applyFont="1" applyBorder="1" applyAlignment="1">
      <alignment vertical="top"/>
      <protection locked="0"/>
    </xf>
    <xf numFmtId="49" fontId="5" fillId="0" borderId="13" xfId="0" applyNumberFormat="1" applyFont="1" applyBorder="1" applyAlignment="1">
      <alignment horizontal="center" vertical="center" wrapText="1"/>
      <protection locked="0"/>
    </xf>
    <xf numFmtId="49" fontId="8" fillId="0" borderId="13" xfId="0" applyNumberFormat="1" applyFont="1" applyBorder="1" applyAlignment="1">
      <alignment horizontal="center" vertical="top"/>
      <protection locked="0"/>
    </xf>
    <xf numFmtId="49" fontId="8" fillId="0" borderId="13" xfId="0" applyNumberFormat="1" applyFont="1" applyBorder="1" applyAlignment="1">
      <alignment vertical="center" wrapText="1"/>
      <protection locked="0"/>
    </xf>
    <xf numFmtId="49" fontId="8" fillId="0" borderId="13" xfId="0" applyNumberFormat="1" applyFont="1" applyBorder="1" applyAlignment="1">
      <alignment horizontal="center" vertical="center" wrapText="1"/>
      <protection locked="0"/>
    </xf>
    <xf numFmtId="166" fontId="8" fillId="0" borderId="13" xfId="0" applyNumberFormat="1" applyFont="1" applyBorder="1" applyAlignment="1">
      <alignment horizontal="center" vertical="top" wrapText="1"/>
      <protection locked="0"/>
    </xf>
    <xf numFmtId="164" fontId="8" fillId="0" borderId="13" xfId="0" applyNumberFormat="1" applyFont="1" applyBorder="1" applyAlignment="1">
      <alignment horizontal="center" vertical="top" wrapText="1"/>
      <protection locked="0"/>
    </xf>
    <xf numFmtId="37" fontId="8" fillId="0" borderId="13" xfId="0" applyNumberFormat="1" applyFont="1" applyBorder="1" applyAlignment="1">
      <alignment vertical="top" wrapText="1"/>
      <protection locked="0"/>
    </xf>
    <xf numFmtId="49" fontId="8" fillId="0" borderId="13" xfId="0" applyNumberFormat="1" applyFont="1" applyBorder="1" applyAlignment="1">
      <alignment vertical="top" wrapText="1"/>
      <protection locked="0"/>
    </xf>
    <xf numFmtId="49" fontId="8" fillId="0" borderId="13" xfId="0" applyNumberFormat="1" applyFont="1" applyBorder="1" applyAlignment="1">
      <alignment horizontal="center" vertical="top" wrapText="1"/>
      <protection locked="0"/>
    </xf>
    <xf numFmtId="0" fontId="8" fillId="0" borderId="13" xfId="0" applyFont="1" applyBorder="1" applyAlignment="1">
      <alignment horizontal="center" vertical="top"/>
      <protection locked="0"/>
    </xf>
    <xf numFmtId="0" fontId="25" fillId="0" borderId="0" xfId="0" applyFont="1" applyAlignment="1">
      <alignment vertical="top"/>
      <protection locked="0"/>
    </xf>
    <xf numFmtId="49" fontId="9" fillId="0" borderId="13" xfId="0" applyNumberFormat="1" applyFont="1" applyBorder="1" applyAlignment="1">
      <alignment horizontal="center" vertical="top"/>
      <protection locked="0"/>
    </xf>
    <xf numFmtId="49" fontId="9" fillId="0" borderId="13" xfId="0" applyNumberFormat="1" applyFont="1" applyBorder="1" applyAlignment="1">
      <alignment vertical="top" wrapText="1"/>
      <protection locked="0"/>
    </xf>
    <xf numFmtId="0" fontId="6" fillId="0" borderId="13" xfId="0" applyFont="1" applyBorder="1" applyAlignment="1">
      <alignment horizontal="center" vertical="top"/>
      <protection locked="0"/>
    </xf>
    <xf numFmtId="49" fontId="6" fillId="0" borderId="13" xfId="0" applyNumberFormat="1" applyFont="1" applyBorder="1" applyAlignment="1">
      <alignment horizontal="center" vertical="top" wrapText="1"/>
      <protection locked="0"/>
    </xf>
    <xf numFmtId="37" fontId="6" fillId="0" borderId="4" xfId="0" applyNumberFormat="1" applyFont="1" applyBorder="1" applyAlignment="1">
      <alignment vertical="top" wrapText="1"/>
      <protection locked="0"/>
    </xf>
    <xf numFmtId="0" fontId="12" fillId="0" borderId="5" xfId="0" applyFont="1" applyBorder="1" applyAlignment="1">
      <alignment vertical="top"/>
      <protection locked="0"/>
    </xf>
    <xf numFmtId="4" fontId="6" fillId="0" borderId="6" xfId="0" applyNumberFormat="1" applyFont="1" applyBorder="1" applyAlignment="1">
      <alignment vertical="top" wrapText="1"/>
      <protection locked="0"/>
    </xf>
    <xf numFmtId="49" fontId="6" fillId="0" borderId="13" xfId="0" applyNumberFormat="1" applyFont="1" applyBorder="1" applyAlignment="1">
      <alignment horizontal="center" vertical="top"/>
      <protection locked="0"/>
    </xf>
    <xf numFmtId="0" fontId="12" fillId="0" borderId="8" xfId="0" applyFont="1" applyBorder="1" applyAlignment="1">
      <alignment vertical="center"/>
      <protection locked="0"/>
    </xf>
    <xf numFmtId="167" fontId="8" fillId="0" borderId="13" xfId="0" applyNumberFormat="1" applyFont="1" applyBorder="1" applyAlignment="1">
      <alignment horizontal="center" vertical="top" wrapText="1"/>
      <protection locked="0"/>
    </xf>
    <xf numFmtId="37" fontId="8" fillId="0" borderId="13" xfId="0" applyNumberFormat="1" applyFont="1" applyBorder="1" applyAlignment="1">
      <alignment horizontal="right" vertical="center" wrapText="1"/>
      <protection locked="0"/>
    </xf>
    <xf numFmtId="166" fontId="8" fillId="0" borderId="13" xfId="0" applyNumberFormat="1" applyFont="1" applyBorder="1" applyAlignment="1">
      <alignment horizontal="center" vertical="center" wrapText="1"/>
      <protection locked="0"/>
    </xf>
    <xf numFmtId="37" fontId="8" fillId="0" borderId="13" xfId="0" applyNumberFormat="1" applyFont="1" applyBorder="1" applyAlignment="1">
      <alignment vertical="center" wrapText="1"/>
      <protection locked="0"/>
    </xf>
    <xf numFmtId="0" fontId="9" fillId="0" borderId="13" xfId="0" applyFont="1" applyBorder="1" applyAlignment="1">
      <alignment vertical="top"/>
      <protection locked="0"/>
    </xf>
    <xf numFmtId="0" fontId="9" fillId="0" borderId="18" xfId="0" applyFont="1" applyBorder="1" applyAlignment="1">
      <alignment vertical="top"/>
      <protection locked="0"/>
    </xf>
    <xf numFmtId="49" fontId="9" fillId="0" borderId="18" xfId="0" applyNumberFormat="1" applyFont="1" applyBorder="1" applyAlignment="1">
      <alignment horizontal="center" vertical="top" wrapText="1"/>
      <protection locked="0"/>
    </xf>
    <xf numFmtId="49" fontId="24" fillId="0" borderId="20" xfId="0" applyNumberFormat="1" applyFont="1" applyBorder="1" applyAlignment="1">
      <alignment horizontal="center" vertical="top" wrapText="1"/>
      <protection locked="0"/>
    </xf>
    <xf numFmtId="37" fontId="9" fillId="0" borderId="1" xfId="0" applyNumberFormat="1" applyFont="1" applyBorder="1" applyAlignment="1">
      <alignment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center"/>
      <protection locked="0"/>
    </xf>
    <xf numFmtId="0" fontId="10" fillId="0" borderId="0" xfId="0" applyFont="1" applyAlignment="1">
      <alignment horizontal="center" vertical="top"/>
      <protection locked="0"/>
    </xf>
    <xf numFmtId="0" fontId="10" fillId="0" borderId="0" xfId="0" applyFont="1" applyAlignment="1">
      <alignment vertical="top"/>
      <protection locked="0"/>
    </xf>
    <xf numFmtId="37" fontId="35" fillId="0" borderId="0" xfId="0" applyNumberFormat="1" applyFont="1" applyAlignment="1">
      <alignment vertical="top" wrapText="1"/>
      <protection locked="0"/>
    </xf>
    <xf numFmtId="37" fontId="36" fillId="0" borderId="0" xfId="0" applyNumberFormat="1" applyFont="1" applyAlignment="1">
      <alignment vertical="top"/>
      <protection locked="0"/>
    </xf>
    <xf numFmtId="0" fontId="36" fillId="0" borderId="0" xfId="0" applyFont="1" applyAlignment="1">
      <alignment vertical="top"/>
      <protection locked="0"/>
    </xf>
    <xf numFmtId="0" fontId="37" fillId="0" borderId="0" xfId="0" applyFont="1" applyAlignment="1">
      <alignment horizontal="center" vertical="center"/>
      <protection locked="0"/>
    </xf>
    <xf numFmtId="0" fontId="38" fillId="0" borderId="13" xfId="5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right" vertical="top"/>
      <protection locked="0"/>
    </xf>
    <xf numFmtId="0" fontId="39" fillId="0" borderId="8" xfId="0" applyFont="1" applyBorder="1" applyAlignment="1">
      <alignment vertical="top"/>
      <protection locked="0"/>
    </xf>
    <xf numFmtId="0" fontId="41" fillId="4" borderId="13" xfId="0" applyFont="1" applyFill="1" applyBorder="1" applyProtection="1"/>
    <xf numFmtId="0" fontId="12" fillId="5" borderId="0" xfId="0" applyFont="1" applyFill="1" applyAlignment="1">
      <alignment vertical="top"/>
      <protection locked="0"/>
    </xf>
    <xf numFmtId="0" fontId="12" fillId="5" borderId="5" xfId="0" applyFont="1" applyFill="1" applyBorder="1" applyAlignment="1">
      <alignment vertical="top"/>
      <protection locked="0"/>
    </xf>
    <xf numFmtId="0" fontId="12" fillId="5" borderId="8" xfId="0" applyFont="1" applyFill="1" applyBorder="1" applyAlignment="1">
      <alignment vertical="top"/>
      <protection locked="0"/>
    </xf>
    <xf numFmtId="2" fontId="12" fillId="5" borderId="8" xfId="0" applyNumberFormat="1" applyFont="1" applyFill="1" applyBorder="1" applyAlignment="1">
      <alignment vertical="center"/>
      <protection locked="0"/>
    </xf>
    <xf numFmtId="0" fontId="39" fillId="5" borderId="8" xfId="0" applyFont="1" applyFill="1" applyBorder="1" applyAlignment="1">
      <alignment vertical="top"/>
      <protection locked="0"/>
    </xf>
    <xf numFmtId="37" fontId="8" fillId="5" borderId="13" xfId="0" applyNumberFormat="1" applyFont="1" applyFill="1" applyBorder="1" applyAlignment="1">
      <alignment vertical="top" wrapText="1"/>
      <protection locked="0"/>
    </xf>
    <xf numFmtId="37" fontId="6" fillId="5" borderId="13" xfId="0" applyNumberFormat="1" applyFont="1" applyFill="1" applyBorder="1" applyAlignment="1">
      <alignment vertical="top" wrapText="1"/>
      <protection locked="0"/>
    </xf>
    <xf numFmtId="37" fontId="6" fillId="5" borderId="1" xfId="0" applyNumberFormat="1" applyFont="1" applyFill="1" applyBorder="1" applyAlignment="1">
      <alignment vertical="top" wrapText="1"/>
      <protection locked="0"/>
    </xf>
    <xf numFmtId="37" fontId="12" fillId="5" borderId="0" xfId="0" applyNumberFormat="1" applyFont="1" applyFill="1" applyAlignment="1">
      <alignment vertical="top"/>
      <protection locked="0"/>
    </xf>
    <xf numFmtId="37" fontId="12" fillId="5" borderId="8" xfId="0" applyNumberFormat="1" applyFont="1" applyFill="1" applyBorder="1" applyAlignment="1">
      <alignment vertical="center"/>
      <protection locked="0"/>
    </xf>
    <xf numFmtId="37" fontId="10" fillId="0" borderId="0" xfId="0" applyNumberFormat="1" applyFont="1" applyAlignment="1">
      <alignment vertical="top"/>
      <protection locked="0"/>
    </xf>
    <xf numFmtId="0" fontId="41" fillId="5" borderId="13" xfId="0" applyFont="1" applyFill="1" applyBorder="1" applyAlignment="1" applyProtection="1">
      <alignment wrapText="1"/>
    </xf>
    <xf numFmtId="0" fontId="1" fillId="0" borderId="0" xfId="0" applyFont="1" applyAlignment="1">
      <alignment vertical="top"/>
      <protection locked="0"/>
    </xf>
    <xf numFmtId="166" fontId="6" fillId="0" borderId="13" xfId="0" applyNumberFormat="1" applyFont="1" applyBorder="1" applyAlignment="1">
      <alignment horizontal="center" vertical="top" wrapText="1"/>
      <protection locked="0"/>
    </xf>
    <xf numFmtId="164" fontId="6" fillId="0" borderId="13" xfId="0" applyNumberFormat="1" applyFont="1" applyBorder="1" applyAlignment="1">
      <alignment horizontal="center" vertical="top" wrapText="1"/>
      <protection locked="0"/>
    </xf>
    <xf numFmtId="37" fontId="6" fillId="0" borderId="13" xfId="0" applyNumberFormat="1" applyFont="1" applyBorder="1" applyAlignment="1">
      <alignment vertical="top" wrapText="1"/>
      <protection locked="0"/>
    </xf>
    <xf numFmtId="10" fontId="8" fillId="0" borderId="13" xfId="0" applyNumberFormat="1" applyFont="1" applyBorder="1" applyAlignment="1">
      <alignment horizontal="center" vertical="top" wrapText="1"/>
      <protection locked="0"/>
    </xf>
    <xf numFmtId="0" fontId="6" fillId="0" borderId="18" xfId="0" applyFont="1" applyBorder="1" applyAlignment="1">
      <alignment horizontal="center" vertical="top"/>
      <protection locked="0"/>
    </xf>
    <xf numFmtId="166" fontId="6" fillId="0" borderId="18" xfId="0" applyNumberFormat="1" applyFont="1" applyBorder="1" applyAlignment="1">
      <alignment vertical="top" wrapText="1"/>
      <protection locked="0"/>
    </xf>
    <xf numFmtId="164" fontId="6" fillId="0" borderId="19" xfId="0" applyNumberFormat="1" applyFont="1" applyBorder="1" applyAlignment="1">
      <alignment vertical="top" wrapText="1"/>
      <protection locked="0"/>
    </xf>
    <xf numFmtId="37" fontId="6" fillId="0" borderId="18" xfId="0" applyNumberFormat="1" applyFont="1" applyBorder="1" applyAlignment="1">
      <alignment vertical="top" wrapText="1"/>
      <protection locked="0"/>
    </xf>
    <xf numFmtId="0" fontId="37" fillId="0" borderId="0" xfId="0" applyFont="1" applyAlignment="1">
      <alignment horizontal="center" vertical="center"/>
      <protection locked="0"/>
    </xf>
    <xf numFmtId="0" fontId="10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vertical="top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vertical="top"/>
      <protection locked="0"/>
    </xf>
    <xf numFmtId="0" fontId="8" fillId="0" borderId="0" xfId="0" applyFont="1" applyAlignment="1">
      <alignment horizontal="right" vertical="top" wrapText="1"/>
      <protection locked="0"/>
    </xf>
    <xf numFmtId="0" fontId="39" fillId="0" borderId="0" xfId="0" applyFont="1" applyAlignment="1">
      <alignment horizontal="right" vertical="top"/>
      <protection locked="0"/>
    </xf>
    <xf numFmtId="0" fontId="34" fillId="0" borderId="0" xfId="0" applyFont="1" applyAlignment="1">
      <alignment horizontal="center" vertical="top"/>
      <protection locked="0"/>
    </xf>
    <xf numFmtId="0" fontId="8" fillId="0" borderId="0" xfId="0" applyFont="1" applyAlignment="1">
      <alignment horizontal="center" vertical="top" wrapText="1"/>
      <protection locked="0"/>
    </xf>
    <xf numFmtId="3" fontId="23" fillId="0" borderId="13" xfId="0" applyNumberFormat="1" applyFont="1" applyBorder="1" applyAlignment="1">
      <alignment horizontal="right" vertical="top"/>
      <protection locked="0"/>
    </xf>
    <xf numFmtId="0" fontId="16" fillId="0" borderId="0" xfId="0" applyFont="1" applyAlignment="1">
      <alignment horizontal="center" vertical="top"/>
      <protection locked="0"/>
    </xf>
    <xf numFmtId="0" fontId="17" fillId="0" borderId="0" xfId="0" applyFont="1" applyAlignment="1">
      <alignment vertical="top"/>
      <protection locked="0"/>
    </xf>
    <xf numFmtId="49" fontId="7" fillId="0" borderId="15" xfId="0" applyNumberFormat="1" applyFont="1" applyBorder="1" applyAlignment="1">
      <alignment horizontal="center" vertical="center" wrapText="1"/>
      <protection locked="0"/>
    </xf>
    <xf numFmtId="0" fontId="1" fillId="0" borderId="16" xfId="0" applyFont="1" applyBorder="1" applyAlignment="1">
      <alignment vertical="top"/>
      <protection locked="0"/>
    </xf>
    <xf numFmtId="0" fontId="1" fillId="0" borderId="17" xfId="0" applyFont="1" applyBorder="1" applyAlignment="1">
      <alignment vertical="top"/>
      <protection locked="0"/>
    </xf>
    <xf numFmtId="3" fontId="23" fillId="0" borderId="0" xfId="0" applyNumberFormat="1" applyFont="1" applyAlignment="1">
      <alignment horizontal="right" vertical="top"/>
      <protection locked="0"/>
    </xf>
    <xf numFmtId="3" fontId="23" fillId="0" borderId="14" xfId="0" applyNumberFormat="1" applyFont="1" applyBorder="1" applyAlignment="1">
      <alignment horizontal="right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4" fillId="0" borderId="0" xfId="0" applyFont="1" applyAlignment="1">
      <alignment horizontal="center" vertical="top"/>
      <protection locked="0"/>
    </xf>
    <xf numFmtId="0" fontId="5" fillId="2" borderId="0" xfId="0" applyFont="1" applyFill="1" applyAlignment="1">
      <alignment horizontal="center" vertical="center"/>
      <protection locked="0"/>
    </xf>
    <xf numFmtId="0" fontId="5" fillId="0" borderId="0" xfId="0" applyFont="1" applyAlignment="1">
      <alignment horizontal="center" vertical="top"/>
      <protection locked="0"/>
    </xf>
    <xf numFmtId="49" fontId="5" fillId="2" borderId="0" xfId="0" applyNumberFormat="1" applyFont="1" applyFill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</cellXfs>
  <cellStyles count="6">
    <cellStyle name="Normal" xfId="0" builtinId="0"/>
    <cellStyle name="Normal 2" xfId="5"/>
    <cellStyle name="Normal 2 3" xfId="1"/>
    <cellStyle name="Normal 2 4" xfId="2"/>
    <cellStyle name="Normal 2 5" xfId="3"/>
    <cellStyle name="Normal 2 6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00008B"/>
      <rgbColor rgb="00FFFFCC"/>
      <rgbColor rgb="000000CD"/>
      <rgbColor rgb="00660066"/>
      <rgbColor rgb="00FF8080"/>
      <rgbColor rgb="000066CC"/>
      <rgbColor rgb="00CCCCFF"/>
      <rgbColor rgb="00F5F5F5"/>
      <rgbColor rgb="00F5FFFA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448235</xdr:colOff>
      <xdr:row>3</xdr:row>
      <xdr:rowOff>268941</xdr:rowOff>
    </xdr:from>
    <xdr:to>
      <xdr:col>5</xdr:col>
      <xdr:colOff>824753</xdr:colOff>
      <xdr:row>3</xdr:row>
      <xdr:rowOff>268941</xdr:rowOff>
    </xdr:to>
    <xdr:cxnSp macro="">
      <xdr:nvCxnSpPr>
        <xdr:cNvPr id="3" name="Straight Connector 2"/>
        <xdr:cNvCxnSpPr/>
      </xdr:nvCxnSpPr>
      <xdr:spPr>
        <a:xfrm>
          <a:off x="3863788" y="1039906"/>
          <a:ext cx="19094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59L4FH9YJRJWEF\Desktop\bcnckthi\Bang%20tinh%20dien%20tich-PA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59L4FH9YJRJWEF\Desktop\bcnckthi\DTlap%20QH%20theo%20TT%20m&#7899;i%20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59L4FH9YJRJWEF\Desktop\bcnckthi\DT%20thi%20nghiem%20c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M\Dropbox%20(Personal)\A.%20Hi&#7875;n\Kh&#225;i%20to&#225;n\TH%20V&#7841;n%20Ph&#250;c\Ng&#224;y%206-9-18\Gia%20du%20toan-Chong%20Mo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59L4FH9YJRJWEF\Desktop\bcnckthi\Co%20cau%20SDD-L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M\Dropbox%20(Personal)\A.%20Hi&#7875;n\Kh&#225;i%20to&#225;n\TH%20V&#7841;n%20Ph&#250;c\Ng&#224;y%206-9-18\PCCC-TIEU%20HOC%20VAN%20PHU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59L4FH9YJRJWEF\Desktop\bcnckthi\1.%20C&#226;y%20Xan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M\Dropbox%20(Personal)\A.%20Hi&#7875;n\Kh&#225;i%20to&#225;n\TH%20V&#7841;n%20Ph&#250;c\Ng&#224;y%206-9-18\Du%20toan%20DADT%20TBA%20tieu%20hoc%20Van%20Phu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M\Dropbox%20(Personal)\A.%20Hi&#7875;n\Kh&#225;i%20to&#225;n\TH%20V&#7841;n%20Ph&#250;c\Ng&#224;y%206-9-18\Dien%20Nhe-Truong%20TH%20VanPhuc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2\Dropbox%20(Personal)\A.%20Hi&#7875;n\Kh&#225;i%20to&#225;n\TH%20V&#7841;n%20Ph&#250;c\Ng&#224;y%206-9-18\Du%20toan%20mua%20sam%20thong%20thuong%20TH%20Van%20Phuc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W59L4FH9YJRJWEF\Desktop\bcnckthi\2-Khao%20sat%20dia%20hi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24">
          <cell r="F124">
            <v>1025</v>
          </cell>
        </row>
        <row r="126">
          <cell r="F126">
            <v>3071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 ngoai"/>
      <sheetName val="Bia trong"/>
      <sheetName val="Cho duoi 01"/>
    </sheetNames>
    <sheetDataSet>
      <sheetData sheetId="0" refreshError="1"/>
      <sheetData sheetId="1" refreshError="1"/>
      <sheetData sheetId="2" refreshError="1">
        <row r="15">
          <cell r="G15">
            <v>40678000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KP hạng mục"/>
      <sheetName val="Tổng hợp VT"/>
      <sheetName val="Công trình"/>
      <sheetName val="Giá tháng"/>
      <sheetName val="Đầu vào"/>
      <sheetName val="Nhân công"/>
      <sheetName val="Máy"/>
      <sheetName val="HaoPhiVatTu"/>
      <sheetName val="Cước VC"/>
      <sheetName val="Cước bộ"/>
      <sheetName val="Đơn giá chi tiết"/>
      <sheetName val="Giá tổng hợp"/>
      <sheetName val="TH chi phí XD"/>
      <sheetName val="TH chi phí TB"/>
      <sheetName val="HM chung"/>
      <sheetName val="Dự phòng"/>
      <sheetName val="TH kinh phí"/>
      <sheetName val="Luật XD"/>
      <sheetName val="Công trình TL"/>
      <sheetName val="Chiết tính"/>
      <sheetName val="Hệ số"/>
      <sheetName val="Đơn giá TH"/>
      <sheetName val="Dự thầu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ép"/>
      <sheetName val="HSXL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Tổng hợp QT"/>
      <sheetName val="Cấu hình"/>
    </sheetNames>
    <sheetDataSet>
      <sheetData sheetId="0" refreshError="1">
        <row r="21">
          <cell r="H21">
            <v>214083573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trình"/>
      <sheetName val="Giá tháng"/>
      <sheetName val="Đầu vào"/>
      <sheetName val="Nhân công"/>
      <sheetName val="Máy"/>
      <sheetName val="HaoPhiVatTu"/>
      <sheetName val="Tổng hợp VT"/>
      <sheetName val="Cước VC"/>
      <sheetName val="Cước bộ"/>
      <sheetName val="Đơn giá chi tiết"/>
      <sheetName val="Giá tổng hợp"/>
      <sheetName val="THKP hạng mục"/>
      <sheetName val="TH chi phí XD"/>
      <sheetName val="TH chi phí TB"/>
      <sheetName val="HM chung"/>
      <sheetName val="Dự phòng"/>
      <sheetName val="TH kinh phí"/>
      <sheetName val="Công trình TL"/>
      <sheetName val="Hệ số"/>
      <sheetName val="Đơn giá TH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ép"/>
      <sheetName val="HSXL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Tổng hợp QT"/>
      <sheetName val="Cấu hì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9">
          <cell r="H19">
            <v>867299409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 refreshError="1">
        <row r="19">
          <cell r="E19">
            <v>380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KP hạng mục"/>
      <sheetName val="TH chi phí TB"/>
      <sheetName val="Công trình"/>
      <sheetName val="Giá tháng"/>
      <sheetName val="Đầu vào"/>
      <sheetName val="Nhân công"/>
      <sheetName val="Máy"/>
      <sheetName val="HaoPhiVatTu"/>
      <sheetName val="Tổng hợp VT"/>
      <sheetName val="THVT gộp"/>
      <sheetName val="Cước VC"/>
      <sheetName val="Cước bộ"/>
      <sheetName val="Đơn giá chi tiết"/>
      <sheetName val="Giá tổng hợp"/>
      <sheetName val="TH chi phí XD"/>
      <sheetName val="HM chung"/>
      <sheetName val="Dự phòng"/>
      <sheetName val="TH kinh phí"/>
      <sheetName val="Luật XD"/>
      <sheetName val="Công trình TL"/>
      <sheetName val="Chiết tính"/>
      <sheetName val="Hệ số"/>
      <sheetName val="Đơn giá TH"/>
      <sheetName val="Dự thầu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ép"/>
      <sheetName val="HSXL"/>
      <sheetName val="Định mức tư vấn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Tổng hợp QT"/>
      <sheetName val="Cấu hình"/>
    </sheetNames>
    <sheetDataSet>
      <sheetData sheetId="0" refreshError="1">
        <row r="17">
          <cell r="H17">
            <v>4184728694</v>
          </cell>
        </row>
      </sheetData>
      <sheetData sheetId="1" refreshError="1">
        <row r="11">
          <cell r="F11">
            <v>400060000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trình"/>
      <sheetName val="Giá tháng"/>
      <sheetName val="Đầu vào"/>
      <sheetName val="Nhân công"/>
      <sheetName val="Máy"/>
      <sheetName val="HaoPhiVatTu"/>
      <sheetName val="Tổng hợp VT"/>
      <sheetName val="THVT gộp"/>
      <sheetName val="Cước VC"/>
      <sheetName val="Cước bộ"/>
      <sheetName val="Đơn giá chi tiết"/>
      <sheetName val="Giá tổng hợp"/>
      <sheetName val="THKP hạng mục"/>
      <sheetName val="TH chi phí XD"/>
      <sheetName val="TH chi phí TB"/>
      <sheetName val="HM chung"/>
      <sheetName val="Dự phòng"/>
      <sheetName val="TH kinh phí"/>
      <sheetName val="Luật XD"/>
      <sheetName val="Công trình TL"/>
      <sheetName val="Chiết tính"/>
      <sheetName val="Hệ số"/>
      <sheetName val="Đơn giá TH"/>
      <sheetName val="Dự thầu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ép"/>
      <sheetName val="HSXL"/>
      <sheetName val="Định mức tư vấn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Hệ số Pn"/>
      <sheetName val="Tổng hợp QT"/>
      <sheetName val="Cấu hì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H21">
            <v>822925124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trình"/>
      <sheetName val="Giá tháng"/>
      <sheetName val="Đầu vào"/>
      <sheetName val="Nhân công"/>
      <sheetName val="Máy"/>
      <sheetName val="HaoPhiVatTu"/>
      <sheetName val="Tổng hợp VT"/>
      <sheetName val="THVT gộp"/>
      <sheetName val="Cước VC"/>
      <sheetName val="Cước bộ"/>
      <sheetName val="VL-NC-MTC lắp đặt"/>
      <sheetName val="VL-NC-MTC xây dựng"/>
      <sheetName val="VL-NC-MTC thi nghiệm"/>
      <sheetName val="TH-vật liệu"/>
      <sheetName val="TH chi phí TB"/>
      <sheetName val="TH chi phi TNVT"/>
      <sheetName val="TH chi phi TNTB"/>
      <sheetName val="TH chi phi TB"/>
      <sheetName val="TH chi phi XD"/>
      <sheetName val="HM chung "/>
      <sheetName val="Giá tổng hợp"/>
      <sheetName val="Đơn giá chi tiết"/>
      <sheetName val="THKP hạng mục"/>
      <sheetName val="TH chi phí XD"/>
      <sheetName val="HM chung"/>
      <sheetName val="Dự phòng"/>
      <sheetName val="TH kinh phí"/>
      <sheetName val="Luật XD"/>
      <sheetName val="Công trình TL"/>
      <sheetName val="Chiết tính"/>
      <sheetName val="Hệ số"/>
      <sheetName val="Đơn giá TH"/>
      <sheetName val="Dự thầu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ép"/>
      <sheetName val="Sheet10"/>
      <sheetName val="HSXL"/>
      <sheetName val="Định mức tư vấn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Tổng hợp QT"/>
      <sheetName val="Cấu hì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6">
          <cell r="F26">
            <v>1154637712</v>
          </cell>
        </row>
      </sheetData>
      <sheetData sheetId="18" refreshError="1">
        <row r="40">
          <cell r="I40">
            <v>651256222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Ts"/>
      <sheetName val="SuatDautu"/>
      <sheetName val="Bia"/>
      <sheetName val="Bia1"/>
      <sheetName val="TM"/>
      <sheetName val="Bao cao tham tra"/>
      <sheetName val="Tong hop kinh phi"/>
      <sheetName val="THCP tu van"/>
      <sheetName val="DT man-month"/>
      <sheetName val="Cp chuyen gia"/>
      <sheetName val="Tienluong"/>
      <sheetName val="CPK TV"/>
      <sheetName val="Tien do TV"/>
      <sheetName val="THCP khac"/>
      <sheetName val="CP HMC"/>
      <sheetName val="CP Du phong"/>
      <sheetName val="QD79"/>
      <sheetName val="THDT goi thau XD"/>
      <sheetName val="THCP xay dung"/>
      <sheetName val="Don gia tong hop"/>
      <sheetName val="Du toan XD"/>
      <sheetName val="Don gia XD"/>
      <sheetName val="TH vat tu XD"/>
      <sheetName val="Thong ke thep"/>
      <sheetName val="Gia vua XD"/>
      <sheetName val="Gia vat lieu HTXD"/>
      <sheetName val="Nhan cong XD"/>
      <sheetName val="Gia ca may XD"/>
      <sheetName val="Thiet bị"/>
      <sheetName val="Du thau XD"/>
      <sheetName val="Bia2"/>
      <sheetName val="THDT goi thau TB"/>
      <sheetName val="THCP thiet bi"/>
      <sheetName val="CP mua sam TB"/>
      <sheetName val="CP dao tao"/>
      <sheetName val="THCP Lap dat"/>
      <sheetName val="Du toan LD"/>
      <sheetName val="Don gia LD"/>
      <sheetName val="TH vat tu LD"/>
      <sheetName val="Gia vua LD"/>
      <sheetName val="Gia vat lieu HTLD"/>
      <sheetName val="Nhan cong LD"/>
      <sheetName val="Gia ca may LD"/>
      <sheetName val="Du thau LD"/>
      <sheetName val="Tho lai may"/>
      <sheetName val="Dien Nhe-Truong TH VanPhuc"/>
    </sheetNames>
    <definedNames>
      <definedName name="THCP_G" refersTo="='THCP xay dung'!$D$2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0">
          <cell r="D20">
            <v>426653873.59522909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muc"/>
      <sheetName val="phong ban"/>
      <sheetName val="Sheet3"/>
    </sheetNames>
    <sheetDataSet>
      <sheetData sheetId="0" refreshError="1">
        <row r="459">
          <cell r="F459">
            <v>11433555000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KP hạng mục"/>
      <sheetName val="Tổng hợp VT"/>
      <sheetName val="Công trình"/>
      <sheetName val="Giá tháng"/>
      <sheetName val="Đầu vào"/>
      <sheetName val="Nhân công"/>
      <sheetName val="Máy"/>
      <sheetName val="HaoPhiVatTu"/>
      <sheetName val="THVT gộp"/>
      <sheetName val="Cước VC"/>
      <sheetName val="Cước bộ"/>
      <sheetName val="Đơn giá chi tiết"/>
      <sheetName val="Giá tổng hợp"/>
      <sheetName val="TH chi phí XD"/>
      <sheetName val="TH chi phí TB"/>
      <sheetName val="HM chung"/>
      <sheetName val="Dự phòng"/>
      <sheetName val="TH kinh phí"/>
      <sheetName val="Luật XD"/>
      <sheetName val="Công trình TL"/>
      <sheetName val="Chiết tính"/>
      <sheetName val="Hệ số"/>
      <sheetName val="Đơn giá TH"/>
      <sheetName val="Dự thầu"/>
      <sheetName val="HM chung thầu"/>
      <sheetName val="Dự phòng thầu"/>
      <sheetName val="Dự toán gói thầu"/>
      <sheetName val="Phân tích VT"/>
      <sheetName val="Bìa"/>
      <sheetName val="NhiênLiệu"/>
      <sheetName val="Thẩm định"/>
      <sheetName val="Thép"/>
      <sheetName val="HSXL"/>
      <sheetName val="Định mức tư vấn"/>
      <sheetName val="Quyết toán"/>
      <sheetName val="Giá tháng QT"/>
      <sheetName val="Đầu vào QT"/>
      <sheetName val="Nhân công QT"/>
      <sheetName val="Máy QT"/>
      <sheetName val="HaoPhiVatTu QT"/>
      <sheetName val="Tổng hợp VT QT"/>
      <sheetName val="Cước VC QT"/>
      <sheetName val="Cước bộ QT"/>
      <sheetName val="NhiênLiệu QT"/>
      <sheetName val="Chiết tính QT"/>
      <sheetName val="Dự thầu QT"/>
      <sheetName val="Hệ số QT"/>
      <sheetName val="HSXLQT"/>
      <sheetName val="KL hoàn thành"/>
      <sheetName val="KL phát sinh"/>
      <sheetName val="Tổng hợp QT"/>
      <sheetName val="Cấu hình"/>
    </sheetNames>
    <sheetDataSet>
      <sheetData sheetId="0" refreshError="1">
        <row r="34">
          <cell r="H34">
            <v>27541661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defaultGridColor="0" view="pageBreakPreview" colorId="0" workbookViewId="0"/>
  </sheetViews>
  <sheetFormatPr defaultRowHeight="11" x14ac:dyDescent="0.25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zoomScaleNormal="6" zoomScaleSheetLayoutView="4" workbookViewId="0"/>
  </sheetViews>
  <sheetFormatPr defaultRowHeight="11" x14ac:dyDescent="0.25"/>
  <sheetData/>
  <phoneticPr fontId="2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5"/>
  <sheetViews>
    <sheetView workbookViewId="0"/>
  </sheetViews>
  <sheetFormatPr defaultColWidth="10" defaultRowHeight="15" customHeight="1" x14ac:dyDescent="0.25"/>
  <cols>
    <col min="1" max="1" width="5.33203125" customWidth="1"/>
    <col min="2" max="2" width="10.44140625" customWidth="1"/>
    <col min="3" max="3" width="30.88671875" customWidth="1"/>
    <col min="4" max="4" width="9.33203125" customWidth="1"/>
    <col min="5" max="5" width="14" customWidth="1"/>
    <col min="6" max="6" width="11.33203125" customWidth="1"/>
    <col min="7" max="7" width="7.6640625" customWidth="1"/>
    <col min="8" max="10" width="11.33203125" customWidth="1"/>
    <col min="11" max="11" width="14.33203125" customWidth="1"/>
    <col min="12" max="12" width="7.6640625" customWidth="1"/>
    <col min="13" max="15" width="14.33203125" customWidth="1"/>
    <col min="16" max="18" width="7.88671875" customWidth="1"/>
  </cols>
  <sheetData>
    <row r="1" spans="1:18" ht="26.25" customHeight="1" x14ac:dyDescent="0.25">
      <c r="A1" s="197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30" customHeight="1" x14ac:dyDescent="0.25">
      <c r="A2" s="198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ht="37.5" customHeight="1" x14ac:dyDescent="0.25">
      <c r="A3" s="199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1:18" ht="18.75" customHeight="1" x14ac:dyDescent="0.25">
      <c r="A4" s="200" t="s">
        <v>27</v>
      </c>
      <c r="B4" s="3" t="s">
        <v>4</v>
      </c>
      <c r="C4" s="200" t="s">
        <v>93</v>
      </c>
      <c r="D4" s="200" t="s">
        <v>5</v>
      </c>
      <c r="E4" s="200" t="s">
        <v>7</v>
      </c>
      <c r="F4" s="200" t="s">
        <v>8</v>
      </c>
      <c r="G4" s="200"/>
      <c r="H4" s="200"/>
      <c r="I4" s="200"/>
      <c r="J4" s="200"/>
      <c r="K4" s="200" t="s">
        <v>9</v>
      </c>
      <c r="L4" s="200"/>
      <c r="M4" s="200"/>
      <c r="N4" s="200"/>
      <c r="O4" s="200"/>
      <c r="P4" s="200" t="s">
        <v>10</v>
      </c>
      <c r="Q4" s="200"/>
      <c r="R4" s="200"/>
    </row>
    <row r="5" spans="1:18" ht="18.75" customHeight="1" x14ac:dyDescent="0.25">
      <c r="A5" s="200"/>
      <c r="B5" s="3" t="s">
        <v>8</v>
      </c>
      <c r="C5" s="200"/>
      <c r="D5" s="200"/>
      <c r="E5" s="200"/>
      <c r="F5" s="3" t="s">
        <v>12</v>
      </c>
      <c r="G5" s="3" t="s">
        <v>94</v>
      </c>
      <c r="H5" s="3" t="s">
        <v>95</v>
      </c>
      <c r="I5" s="3" t="s">
        <v>96</v>
      </c>
      <c r="J5" s="3" t="s">
        <v>97</v>
      </c>
      <c r="K5" s="3" t="s">
        <v>12</v>
      </c>
      <c r="L5" s="3" t="s">
        <v>94</v>
      </c>
      <c r="M5" s="3" t="s">
        <v>95</v>
      </c>
      <c r="N5" s="3" t="s">
        <v>96</v>
      </c>
      <c r="O5" s="3" t="s">
        <v>97</v>
      </c>
      <c r="P5" s="3" t="s">
        <v>13</v>
      </c>
      <c r="Q5" s="3" t="s">
        <v>14</v>
      </c>
      <c r="R5" s="3" t="s">
        <v>15</v>
      </c>
    </row>
  </sheetData>
  <mergeCells count="10">
    <mergeCell ref="A1:R1"/>
    <mergeCell ref="A2:R2"/>
    <mergeCell ref="A3:R3"/>
    <mergeCell ref="A4:A5"/>
    <mergeCell ref="C4:C5"/>
    <mergeCell ref="D4:D5"/>
    <mergeCell ref="E4:E5"/>
    <mergeCell ref="F4:J4"/>
    <mergeCell ref="K4:O4"/>
    <mergeCell ref="P4:R4"/>
  </mergeCells>
  <phoneticPr fontId="0" type="noConversion"/>
  <pageMargins left="0.20833333333333334" right="0" top="0.57291666666666663" bottom="0.20833333333333334" header="0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4"/>
  <sheetViews>
    <sheetView workbookViewId="0"/>
  </sheetViews>
  <sheetFormatPr defaultColWidth="10" defaultRowHeight="15" customHeight="1" x14ac:dyDescent="0.25"/>
  <cols>
    <col min="1" max="1" width="6.6640625" customWidth="1"/>
    <col min="2" max="2" width="50" customWidth="1"/>
    <col min="3" max="3" width="11.6640625" customWidth="1"/>
    <col min="4" max="4" width="28.33203125" customWidth="1"/>
    <col min="5" max="6" width="10" hidden="1" customWidth="1"/>
    <col min="7" max="7" width="10" customWidth="1"/>
    <col min="8" max="8" width="22.44140625" customWidth="1"/>
  </cols>
  <sheetData>
    <row r="1" spans="1:8" ht="26.25" customHeight="1" x14ac:dyDescent="0.25">
      <c r="A1" s="197" t="s">
        <v>100</v>
      </c>
      <c r="B1" s="184"/>
      <c r="C1" s="184"/>
      <c r="D1" s="184"/>
      <c r="E1" s="184"/>
      <c r="F1" s="184"/>
      <c r="G1" s="184"/>
      <c r="H1" s="184"/>
    </row>
    <row r="2" spans="1:8" ht="30" customHeight="1" x14ac:dyDescent="0.25">
      <c r="A2" s="183" t="s">
        <v>1</v>
      </c>
      <c r="B2" s="184"/>
      <c r="C2" s="184"/>
      <c r="D2" s="184"/>
      <c r="E2" s="184"/>
      <c r="F2" s="184"/>
      <c r="G2" s="184"/>
      <c r="H2" s="184"/>
    </row>
    <row r="3" spans="1:8" ht="37.5" customHeight="1" x14ac:dyDescent="0.25">
      <c r="A3" s="201" t="s">
        <v>2</v>
      </c>
      <c r="B3" s="184"/>
      <c r="C3" s="184"/>
      <c r="D3" s="184"/>
      <c r="E3" s="184"/>
      <c r="F3" s="184"/>
      <c r="G3" s="184"/>
      <c r="H3" s="184"/>
    </row>
    <row r="4" spans="1:8" ht="26.25" customHeight="1" x14ac:dyDescent="0.25">
      <c r="A4" s="3" t="s">
        <v>3</v>
      </c>
      <c r="B4" s="3" t="s">
        <v>23</v>
      </c>
      <c r="C4" s="3" t="s">
        <v>24</v>
      </c>
      <c r="D4" s="3" t="s">
        <v>25</v>
      </c>
      <c r="E4" s="3"/>
      <c r="F4" s="3"/>
      <c r="G4" s="3" t="s">
        <v>6</v>
      </c>
      <c r="H4" s="3" t="s">
        <v>9</v>
      </c>
    </row>
  </sheetData>
  <mergeCells count="3">
    <mergeCell ref="A1:H1"/>
    <mergeCell ref="A2:H2"/>
    <mergeCell ref="A3:H3"/>
  </mergeCells>
  <phoneticPr fontId="0" type="noConversion"/>
  <pageMargins left="2.875" right="0" top="0.57291666666666663" bottom="0.20833333333333334" header="0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4:O5"/>
  <sheetViews>
    <sheetView workbookViewId="0"/>
  </sheetViews>
  <sheetFormatPr defaultColWidth="10" defaultRowHeight="15" customHeight="1" x14ac:dyDescent="0.25"/>
  <cols>
    <col min="1" max="1" width="5" customWidth="1"/>
    <col min="2" max="2" width="10" customWidth="1"/>
    <col min="3" max="3" width="29.109375" customWidth="1"/>
    <col min="4" max="4" width="6.6640625" customWidth="1"/>
    <col min="5" max="9" width="10" customWidth="1"/>
    <col min="10" max="15" width="10.88671875" customWidth="1"/>
  </cols>
  <sheetData>
    <row r="4" spans="1:15" ht="18.75" customHeight="1" x14ac:dyDescent="0.25">
      <c r="A4" s="200" t="s">
        <v>27</v>
      </c>
      <c r="B4" s="200" t="s">
        <v>4</v>
      </c>
      <c r="C4" s="200" t="s">
        <v>99</v>
      </c>
      <c r="D4" s="202" t="s">
        <v>5</v>
      </c>
      <c r="E4" s="200" t="s">
        <v>8</v>
      </c>
      <c r="F4" s="200"/>
      <c r="G4" s="200"/>
      <c r="H4" s="200"/>
      <c r="I4" s="200"/>
      <c r="J4" s="200" t="s">
        <v>9</v>
      </c>
      <c r="K4" s="200"/>
      <c r="L4" s="200"/>
      <c r="M4" s="200"/>
      <c r="N4" s="200"/>
      <c r="O4" s="202" t="s">
        <v>101</v>
      </c>
    </row>
    <row r="5" spans="1:15" ht="18.75" customHeight="1" x14ac:dyDescent="0.25">
      <c r="A5" s="200"/>
      <c r="B5" s="200"/>
      <c r="C5" s="200"/>
      <c r="D5" s="200"/>
      <c r="E5" s="3" t="s">
        <v>12</v>
      </c>
      <c r="F5" s="3" t="s">
        <v>102</v>
      </c>
      <c r="G5" s="3" t="s">
        <v>95</v>
      </c>
      <c r="H5" s="3" t="s">
        <v>103</v>
      </c>
      <c r="I5" s="3" t="s">
        <v>97</v>
      </c>
      <c r="J5" s="3" t="s">
        <v>12</v>
      </c>
      <c r="K5" s="3" t="s">
        <v>102</v>
      </c>
      <c r="L5" s="3" t="s">
        <v>95</v>
      </c>
      <c r="M5" s="3" t="s">
        <v>103</v>
      </c>
      <c r="N5" s="3" t="s">
        <v>97</v>
      </c>
      <c r="O5" s="200"/>
    </row>
  </sheetData>
  <mergeCells count="7">
    <mergeCell ref="O4:O5"/>
    <mergeCell ref="A4:A5"/>
    <mergeCell ref="B4:B5"/>
    <mergeCell ref="C4:C5"/>
    <mergeCell ref="D4:D5"/>
    <mergeCell ref="E4:I4"/>
    <mergeCell ref="J4:N4"/>
  </mergeCells>
  <phoneticPr fontId="0" type="noConversion"/>
  <pageMargins left="0.82291666666666663" right="0" top="0.57291666666666663" bottom="0.20833333333333334" header="0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1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"/>
  <sheetViews>
    <sheetView workbookViewId="0"/>
  </sheetViews>
  <sheetFormatPr defaultColWidth="10"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"/>
  <sheetViews>
    <sheetView workbookViewId="0"/>
  </sheetViews>
  <sheetFormatPr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"/>
  <sheetViews>
    <sheetView workbookViewId="0"/>
  </sheetViews>
  <sheetFormatPr defaultRowHeight="15" customHeight="1" x14ac:dyDescent="0.25"/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ColWidth="10" defaultRowHeight="15" customHeight="1" x14ac:dyDescent="0.25"/>
  <cols>
    <col min="1" max="16384" width="10" style="4"/>
  </cols>
  <sheetData/>
  <phoneticPr fontId="0" type="noConversion"/>
  <pageMargins left="0.82291666666666663" right="0" top="4.1666666666666664E-2" bottom="0.20833333333333334" header="0.57291666666666663" footer="0.20833333333333334"/>
  <pageSetup orientation="landscape" blackAndWhite="1" useFirstPageNumber="1" horizontalDpi="300" verticalDpi="300" r:id="rId1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W79"/>
  <sheetViews>
    <sheetView workbookViewId="0"/>
  </sheetViews>
  <sheetFormatPr defaultColWidth="10" defaultRowHeight="15" customHeight="1" x14ac:dyDescent="0.25"/>
  <cols>
    <col min="1" max="1" width="24.6640625" customWidth="1"/>
    <col min="2" max="3" width="29" customWidth="1"/>
    <col min="4" max="4" width="26.6640625" customWidth="1"/>
    <col min="5" max="5" width="22.88671875" customWidth="1"/>
    <col min="6" max="6" width="27.88671875" customWidth="1"/>
    <col min="7" max="7" width="26" customWidth="1"/>
    <col min="8" max="8" width="26.33203125" customWidth="1"/>
    <col min="9" max="9" width="20.33203125" customWidth="1"/>
    <col min="10" max="10" width="33.88671875" customWidth="1"/>
    <col min="11" max="11" width="18" customWidth="1"/>
    <col min="12" max="12" width="14.88671875" customWidth="1"/>
    <col min="13" max="13" width="11.6640625" customWidth="1"/>
    <col min="14" max="14" width="16.33203125" customWidth="1"/>
    <col min="15" max="15" width="17" customWidth="1"/>
    <col min="16" max="16" width="21.44140625" customWidth="1"/>
    <col min="17" max="17" width="12.6640625" customWidth="1"/>
    <col min="18" max="18" width="12.44140625" customWidth="1"/>
    <col min="19" max="19" width="20" customWidth="1"/>
    <col min="20" max="20" width="20.88671875" customWidth="1"/>
    <col min="21" max="21" width="13.88671875" customWidth="1"/>
    <col min="22" max="22" width="14.6640625" customWidth="1"/>
  </cols>
  <sheetData>
    <row r="1" spans="1:23" ht="15" customHeight="1" x14ac:dyDescent="0.25">
      <c r="A1" s="203" t="s">
        <v>107</v>
      </c>
      <c r="B1" s="184"/>
      <c r="C1" s="184"/>
      <c r="D1" s="184"/>
      <c r="E1" s="184"/>
      <c r="F1" s="184"/>
    </row>
    <row r="2" spans="1:23" ht="15" customHeight="1" x14ac:dyDescent="0.25">
      <c r="A2" s="5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</row>
    <row r="3" spans="1:23" ht="15" customHeight="1" x14ac:dyDescent="0.25">
      <c r="A3" t="s">
        <v>108</v>
      </c>
      <c r="B3" t="s">
        <v>109</v>
      </c>
      <c r="C3" t="s">
        <v>110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35</v>
      </c>
      <c r="L3" t="s">
        <v>118</v>
      </c>
      <c r="M3" t="s">
        <v>119</v>
      </c>
      <c r="N3" t="s">
        <v>120</v>
      </c>
    </row>
    <row r="4" spans="1:23" ht="15" customHeight="1" x14ac:dyDescent="0.25">
      <c r="A4" s="6">
        <v>6</v>
      </c>
      <c r="B4" s="6">
        <v>9</v>
      </c>
      <c r="C4" s="6">
        <v>12</v>
      </c>
      <c r="D4" s="6">
        <v>15</v>
      </c>
      <c r="E4" s="6">
        <v>18</v>
      </c>
      <c r="F4" s="6">
        <v>34</v>
      </c>
      <c r="G4" s="6">
        <v>44</v>
      </c>
      <c r="H4" s="6">
        <v>53</v>
      </c>
      <c r="I4" s="6">
        <v>68</v>
      </c>
      <c r="J4" s="6">
        <v>71</v>
      </c>
      <c r="K4" s="6">
        <v>78</v>
      </c>
      <c r="L4" s="6">
        <v>74</v>
      </c>
    </row>
    <row r="5" spans="1:23" ht="15" customHeight="1" x14ac:dyDescent="0.25">
      <c r="A5" s="184" t="s">
        <v>121</v>
      </c>
      <c r="B5" s="184"/>
      <c r="C5" s="184"/>
      <c r="D5" s="184"/>
      <c r="E5" s="184"/>
      <c r="F5" s="184"/>
    </row>
    <row r="6" spans="1:23" ht="15" customHeight="1" x14ac:dyDescent="0.25">
      <c r="A6" t="s">
        <v>122</v>
      </c>
      <c r="B6" t="s">
        <v>123</v>
      </c>
      <c r="C6" t="s">
        <v>124</v>
      </c>
      <c r="D6" t="s">
        <v>125</v>
      </c>
      <c r="E6" t="s">
        <v>126</v>
      </c>
      <c r="F6" t="s">
        <v>127</v>
      </c>
      <c r="G6" t="s">
        <v>128</v>
      </c>
      <c r="H6" t="s">
        <v>129</v>
      </c>
      <c r="I6" t="s">
        <v>130</v>
      </c>
      <c r="J6" t="s">
        <v>131</v>
      </c>
      <c r="K6" t="s">
        <v>132</v>
      </c>
    </row>
    <row r="7" spans="1:23" ht="17.25" customHeight="1" x14ac:dyDescent="0.25">
      <c r="A7" t="s">
        <v>1</v>
      </c>
      <c r="E7" s="7" t="s">
        <v>37</v>
      </c>
      <c r="J7" s="8"/>
    </row>
    <row r="8" spans="1:23" ht="15" customHeight="1" x14ac:dyDescent="0.25">
      <c r="A8" s="203" t="s">
        <v>133</v>
      </c>
      <c r="B8" s="184"/>
      <c r="C8" s="184"/>
      <c r="D8" s="184"/>
      <c r="E8" s="184"/>
      <c r="F8" s="184"/>
    </row>
    <row r="9" spans="1:23" ht="15" customHeight="1" x14ac:dyDescent="0.25">
      <c r="A9" t="s">
        <v>134</v>
      </c>
      <c r="B9" t="s">
        <v>8</v>
      </c>
      <c r="C9" t="s">
        <v>19</v>
      </c>
      <c r="D9" t="s">
        <v>135</v>
      </c>
      <c r="E9" t="s">
        <v>136</v>
      </c>
    </row>
    <row r="10" spans="1:23" ht="15" customHeight="1" x14ac:dyDescent="0.25">
      <c r="A10" t="s">
        <v>137</v>
      </c>
      <c r="B10" t="s">
        <v>17</v>
      </c>
      <c r="C10" t="s">
        <v>138</v>
      </c>
    </row>
    <row r="11" spans="1:23" ht="15" customHeight="1" x14ac:dyDescent="0.25">
      <c r="A11" s="184" t="s">
        <v>110</v>
      </c>
      <c r="B11" s="184"/>
      <c r="C11" s="184"/>
      <c r="D11" s="184"/>
      <c r="E11" s="184"/>
      <c r="F11" s="184"/>
    </row>
    <row r="12" spans="1:23" ht="15" customHeight="1" x14ac:dyDescent="0.25">
      <c r="A12" t="s">
        <v>139</v>
      </c>
      <c r="B12" t="s">
        <v>140</v>
      </c>
      <c r="C12" t="s">
        <v>141</v>
      </c>
    </row>
    <row r="14" spans="1:23" ht="15" customHeight="1" x14ac:dyDescent="0.25">
      <c r="A14" s="184" t="s">
        <v>111</v>
      </c>
      <c r="B14" s="184"/>
      <c r="C14" s="184"/>
      <c r="D14" s="184"/>
      <c r="E14" s="184"/>
      <c r="F14" s="184"/>
    </row>
    <row r="15" spans="1:23" ht="15" customHeight="1" x14ac:dyDescent="0.25">
      <c r="A15" t="s">
        <v>127</v>
      </c>
      <c r="B15" t="s">
        <v>142</v>
      </c>
      <c r="C15" t="s">
        <v>143</v>
      </c>
    </row>
    <row r="17" spans="1:6" ht="15" customHeight="1" x14ac:dyDescent="0.25">
      <c r="A17" s="184" t="s">
        <v>112</v>
      </c>
      <c r="B17" s="184"/>
      <c r="C17" s="184"/>
      <c r="D17" s="184"/>
      <c r="E17" s="184"/>
      <c r="F17" s="184"/>
    </row>
    <row r="18" spans="1:6" ht="15" customHeight="1" x14ac:dyDescent="0.25">
      <c r="A18" t="s">
        <v>144</v>
      </c>
      <c r="B18" t="s">
        <v>145</v>
      </c>
    </row>
    <row r="19" spans="1:6" ht="15" customHeight="1" x14ac:dyDescent="0.25">
      <c r="A19" t="s">
        <v>146</v>
      </c>
      <c r="B19" t="s">
        <v>0</v>
      </c>
    </row>
    <row r="20" spans="1:6" ht="15" customHeight="1" x14ac:dyDescent="0.25">
      <c r="A20" t="s">
        <v>147</v>
      </c>
      <c r="B20" t="s">
        <v>18</v>
      </c>
    </row>
    <row r="21" spans="1:6" ht="15" customHeight="1" x14ac:dyDescent="0.25">
      <c r="A21" t="s">
        <v>148</v>
      </c>
      <c r="B21" t="s">
        <v>105</v>
      </c>
    </row>
    <row r="22" spans="1:6" ht="15" customHeight="1" x14ac:dyDescent="0.25">
      <c r="A22" t="s">
        <v>149</v>
      </c>
      <c r="B22" t="s">
        <v>20</v>
      </c>
    </row>
    <row r="23" spans="1:6" ht="15" customHeight="1" x14ac:dyDescent="0.25">
      <c r="A23" t="s">
        <v>150</v>
      </c>
      <c r="B23" t="s">
        <v>21</v>
      </c>
    </row>
    <row r="24" spans="1:6" ht="15" customHeight="1" x14ac:dyDescent="0.25">
      <c r="A24" t="s">
        <v>151</v>
      </c>
      <c r="B24" t="s">
        <v>152</v>
      </c>
    </row>
    <row r="25" spans="1:6" ht="15" customHeight="1" x14ac:dyDescent="0.25">
      <c r="A25" t="s">
        <v>153</v>
      </c>
      <c r="B25" t="s">
        <v>22</v>
      </c>
    </row>
    <row r="26" spans="1:6" ht="15" customHeight="1" x14ac:dyDescent="0.25">
      <c r="A26" t="s">
        <v>154</v>
      </c>
      <c r="B26" t="s">
        <v>36</v>
      </c>
    </row>
    <row r="27" spans="1:6" ht="15" customHeight="1" x14ac:dyDescent="0.25">
      <c r="A27" t="s">
        <v>155</v>
      </c>
      <c r="B27" t="s">
        <v>34</v>
      </c>
    </row>
    <row r="28" spans="1:6" ht="15" customHeight="1" x14ac:dyDescent="0.25">
      <c r="A28" t="s">
        <v>156</v>
      </c>
      <c r="B28" t="s">
        <v>40</v>
      </c>
    </row>
    <row r="29" spans="1:6" ht="15" customHeight="1" x14ac:dyDescent="0.25">
      <c r="A29" t="s">
        <v>139</v>
      </c>
      <c r="B29" t="s">
        <v>98</v>
      </c>
    </row>
    <row r="30" spans="1:6" ht="15" customHeight="1" x14ac:dyDescent="0.25">
      <c r="A30" t="s">
        <v>157</v>
      </c>
      <c r="B30" t="s">
        <v>104</v>
      </c>
    </row>
    <row r="31" spans="1:6" ht="15" customHeight="1" x14ac:dyDescent="0.25">
      <c r="A31" t="s">
        <v>158</v>
      </c>
      <c r="B31" t="s">
        <v>106</v>
      </c>
    </row>
    <row r="32" spans="1:6" ht="15" customHeight="1" x14ac:dyDescent="0.25">
      <c r="A32" t="s">
        <v>159</v>
      </c>
      <c r="B32" t="s">
        <v>160</v>
      </c>
    </row>
    <row r="33" spans="1:7" ht="15" customHeight="1" x14ac:dyDescent="0.25">
      <c r="A33" s="184" t="s">
        <v>113</v>
      </c>
      <c r="B33" s="184"/>
      <c r="C33" s="184"/>
      <c r="D33" s="184"/>
      <c r="E33" s="184"/>
      <c r="F33" s="184"/>
    </row>
    <row r="34" spans="1:7" ht="15" customHeight="1" x14ac:dyDescent="0.25">
      <c r="A34" t="s">
        <v>161</v>
      </c>
      <c r="B34" t="s">
        <v>162</v>
      </c>
      <c r="C34" t="s">
        <v>163</v>
      </c>
      <c r="D34" t="s">
        <v>164</v>
      </c>
      <c r="E34" t="s">
        <v>165</v>
      </c>
      <c r="F34" t="s">
        <v>166</v>
      </c>
      <c r="G34" t="s">
        <v>167</v>
      </c>
    </row>
    <row r="35" spans="1:7" ht="15" customHeight="1" x14ac:dyDescent="0.25">
      <c r="A35" t="s">
        <v>168</v>
      </c>
      <c r="B35" t="s">
        <v>169</v>
      </c>
      <c r="C35" s="6">
        <v>10</v>
      </c>
      <c r="D35" s="6">
        <v>0</v>
      </c>
      <c r="E35" s="6">
        <v>0</v>
      </c>
      <c r="F35" s="6">
        <v>0</v>
      </c>
      <c r="G35" s="6">
        <v>0</v>
      </c>
    </row>
    <row r="36" spans="1:7" ht="15" customHeight="1" x14ac:dyDescent="0.25">
      <c r="A36" t="s">
        <v>170</v>
      </c>
      <c r="B36" t="s">
        <v>169</v>
      </c>
      <c r="C36" s="6">
        <v>10</v>
      </c>
      <c r="D36" s="6">
        <v>0</v>
      </c>
      <c r="E36" s="6">
        <v>1</v>
      </c>
      <c r="F36" s="6">
        <v>0</v>
      </c>
      <c r="G36" s="6">
        <v>0</v>
      </c>
    </row>
    <row r="37" spans="1:7" ht="15" customHeight="1" x14ac:dyDescent="0.25">
      <c r="A37" t="s">
        <v>171</v>
      </c>
      <c r="B37" t="s">
        <v>169</v>
      </c>
      <c r="C37" s="6">
        <v>10</v>
      </c>
      <c r="D37" s="6">
        <v>1</v>
      </c>
      <c r="E37" s="6">
        <v>0</v>
      </c>
      <c r="F37" s="6">
        <v>0</v>
      </c>
      <c r="G37" s="6">
        <v>0</v>
      </c>
    </row>
    <row r="38" spans="1:7" ht="15" customHeight="1" x14ac:dyDescent="0.25">
      <c r="A38" t="s">
        <v>35</v>
      </c>
      <c r="B38" t="s">
        <v>172</v>
      </c>
      <c r="C38" s="6">
        <v>10</v>
      </c>
      <c r="D38" s="6">
        <v>1</v>
      </c>
      <c r="E38" s="6">
        <v>0</v>
      </c>
      <c r="F38" s="6">
        <v>0</v>
      </c>
      <c r="G38" s="6">
        <v>0</v>
      </c>
    </row>
    <row r="39" spans="1:7" ht="15" customHeight="1" x14ac:dyDescent="0.25">
      <c r="A39" t="s">
        <v>173</v>
      </c>
      <c r="B39" t="s">
        <v>172</v>
      </c>
      <c r="C39" s="6">
        <v>11</v>
      </c>
      <c r="D39" s="6">
        <v>1</v>
      </c>
      <c r="E39" s="6">
        <v>0</v>
      </c>
      <c r="F39" s="6">
        <v>0</v>
      </c>
      <c r="G39" s="6">
        <v>0</v>
      </c>
    </row>
    <row r="40" spans="1:7" ht="15" customHeight="1" x14ac:dyDescent="0.25">
      <c r="A40" t="s">
        <v>174</v>
      </c>
      <c r="B40" t="s">
        <v>169</v>
      </c>
      <c r="C40" s="6">
        <v>11</v>
      </c>
      <c r="D40" s="6">
        <v>1</v>
      </c>
      <c r="E40" s="6">
        <v>0</v>
      </c>
      <c r="F40" s="6">
        <v>0</v>
      </c>
      <c r="G40" s="6">
        <v>0</v>
      </c>
    </row>
    <row r="41" spans="1:7" ht="15" customHeight="1" x14ac:dyDescent="0.25">
      <c r="A41" t="s">
        <v>122</v>
      </c>
      <c r="B41" t="s">
        <v>169</v>
      </c>
      <c r="C41" s="6">
        <v>12</v>
      </c>
      <c r="D41" s="6">
        <v>1</v>
      </c>
      <c r="E41" s="6">
        <v>0</v>
      </c>
      <c r="F41" s="6">
        <v>0</v>
      </c>
      <c r="G41" s="6">
        <v>0</v>
      </c>
    </row>
    <row r="42" spans="1:7" ht="15" customHeight="1" x14ac:dyDescent="0.25">
      <c r="A42" t="s">
        <v>175</v>
      </c>
      <c r="B42" t="s">
        <v>172</v>
      </c>
      <c r="C42" s="6">
        <v>15</v>
      </c>
      <c r="D42" s="6">
        <v>1</v>
      </c>
      <c r="E42" s="6">
        <v>0</v>
      </c>
      <c r="F42" s="6">
        <v>0</v>
      </c>
      <c r="G42" s="6">
        <v>0</v>
      </c>
    </row>
    <row r="43" spans="1:7" ht="15" customHeight="1" x14ac:dyDescent="0.25">
      <c r="A43" s="184" t="s">
        <v>114</v>
      </c>
      <c r="B43" s="184"/>
      <c r="C43" s="184"/>
      <c r="D43" s="184"/>
      <c r="E43" s="184"/>
      <c r="F43" s="184"/>
    </row>
    <row r="44" spans="1:7" ht="15" customHeight="1" x14ac:dyDescent="0.25">
      <c r="A44" t="s">
        <v>161</v>
      </c>
      <c r="B44" t="s">
        <v>26</v>
      </c>
      <c r="C44" t="s">
        <v>176</v>
      </c>
      <c r="D44" t="s">
        <v>29</v>
      </c>
      <c r="E44" t="s">
        <v>177</v>
      </c>
    </row>
    <row r="45" spans="1:7" ht="15" customHeight="1" x14ac:dyDescent="0.25">
      <c r="A45" t="s">
        <v>168</v>
      </c>
      <c r="B45" s="6">
        <v>255</v>
      </c>
      <c r="C45" s="6">
        <v>0</v>
      </c>
      <c r="D45" s="6">
        <v>0</v>
      </c>
      <c r="E45" s="6">
        <v>0</v>
      </c>
    </row>
    <row r="46" spans="1:7" ht="15" customHeight="1" x14ac:dyDescent="0.25">
      <c r="A46" t="s">
        <v>170</v>
      </c>
      <c r="B46" s="6">
        <v>255</v>
      </c>
      <c r="C46" s="6">
        <v>0</v>
      </c>
      <c r="D46" s="6">
        <v>0</v>
      </c>
      <c r="E46" s="6">
        <v>255</v>
      </c>
    </row>
    <row r="47" spans="1:7" ht="15" customHeight="1" x14ac:dyDescent="0.25">
      <c r="A47" t="s">
        <v>178</v>
      </c>
      <c r="B47" s="6">
        <v>255</v>
      </c>
      <c r="C47" s="6">
        <v>255</v>
      </c>
      <c r="D47" s="6">
        <v>0</v>
      </c>
      <c r="E47" s="6">
        <v>0</v>
      </c>
    </row>
    <row r="48" spans="1:7" ht="15" customHeight="1" x14ac:dyDescent="0.25">
      <c r="A48" t="s">
        <v>7</v>
      </c>
      <c r="B48" s="6">
        <v>255</v>
      </c>
      <c r="C48" s="6">
        <v>0</v>
      </c>
      <c r="D48" s="6">
        <v>0</v>
      </c>
      <c r="E48" s="6">
        <v>255</v>
      </c>
    </row>
    <row r="49" spans="1:9" ht="15" customHeight="1" x14ac:dyDescent="0.25">
      <c r="A49" t="s">
        <v>179</v>
      </c>
      <c r="B49" s="6">
        <v>255</v>
      </c>
      <c r="C49" s="6">
        <v>165</v>
      </c>
      <c r="D49" s="6">
        <v>42</v>
      </c>
      <c r="E49" s="6">
        <v>42</v>
      </c>
    </row>
    <row r="50" spans="1:9" ht="15" customHeight="1" x14ac:dyDescent="0.25">
      <c r="A50" t="s">
        <v>171</v>
      </c>
      <c r="B50" s="6">
        <v>255</v>
      </c>
      <c r="C50" s="6">
        <v>128</v>
      </c>
      <c r="D50" s="6">
        <v>0</v>
      </c>
      <c r="E50" s="6">
        <v>0</v>
      </c>
    </row>
    <row r="51" spans="1:9" ht="15" customHeight="1" x14ac:dyDescent="0.25">
      <c r="A51" t="s">
        <v>35</v>
      </c>
      <c r="B51" s="6">
        <v>255</v>
      </c>
      <c r="C51" s="6">
        <v>0</v>
      </c>
      <c r="D51" s="6">
        <v>0</v>
      </c>
      <c r="E51" s="6">
        <v>139</v>
      </c>
    </row>
    <row r="52" spans="1:9" ht="15" customHeight="1" x14ac:dyDescent="0.25">
      <c r="A52" s="184" t="s">
        <v>115</v>
      </c>
      <c r="B52" s="184"/>
      <c r="C52" s="184"/>
      <c r="D52" s="184"/>
      <c r="E52" s="184"/>
      <c r="F52" s="184"/>
    </row>
    <row r="53" spans="1:9" ht="15" customHeight="1" x14ac:dyDescent="0.25">
      <c r="A53" t="s">
        <v>175</v>
      </c>
      <c r="B53" t="s">
        <v>162</v>
      </c>
      <c r="C53" t="s">
        <v>163</v>
      </c>
      <c r="D53" t="s">
        <v>164</v>
      </c>
      <c r="E53" t="s">
        <v>165</v>
      </c>
      <c r="F53" t="s">
        <v>166</v>
      </c>
      <c r="G53" t="s">
        <v>167</v>
      </c>
      <c r="H53" t="s">
        <v>180</v>
      </c>
      <c r="I53" t="s">
        <v>181</v>
      </c>
    </row>
    <row r="54" spans="1:9" ht="15" customHeight="1" x14ac:dyDescent="0.25">
      <c r="A54" t="s">
        <v>147</v>
      </c>
      <c r="B54" t="s">
        <v>182</v>
      </c>
      <c r="C54" s="6">
        <v>11</v>
      </c>
      <c r="D54" s="6">
        <v>0</v>
      </c>
      <c r="E54" s="6">
        <v>0</v>
      </c>
      <c r="F54" s="6">
        <v>0</v>
      </c>
      <c r="G54" s="6">
        <v>0</v>
      </c>
      <c r="H54" t="s">
        <v>172</v>
      </c>
      <c r="I54" s="6">
        <v>11</v>
      </c>
    </row>
    <row r="55" spans="1:9" ht="15" customHeight="1" x14ac:dyDescent="0.25">
      <c r="A55" t="s">
        <v>148</v>
      </c>
      <c r="B55" t="s">
        <v>182</v>
      </c>
      <c r="C55" s="6">
        <v>11</v>
      </c>
      <c r="D55" s="6">
        <v>0</v>
      </c>
      <c r="E55" s="6">
        <v>0</v>
      </c>
      <c r="F55" s="6">
        <v>0</v>
      </c>
      <c r="G55" s="6">
        <v>0</v>
      </c>
      <c r="H55" t="s">
        <v>172</v>
      </c>
      <c r="I55" s="6">
        <v>11</v>
      </c>
    </row>
    <row r="56" spans="1:9" ht="15" customHeight="1" x14ac:dyDescent="0.25">
      <c r="A56" t="s">
        <v>149</v>
      </c>
      <c r="B56" t="s">
        <v>182</v>
      </c>
      <c r="C56" s="6">
        <v>11</v>
      </c>
      <c r="D56" s="6">
        <v>0</v>
      </c>
      <c r="E56" s="6">
        <v>0</v>
      </c>
      <c r="F56" s="6">
        <v>0</v>
      </c>
      <c r="G56" s="6">
        <v>0</v>
      </c>
      <c r="H56" t="s">
        <v>172</v>
      </c>
      <c r="I56" s="6">
        <v>11</v>
      </c>
    </row>
    <row r="57" spans="1:9" ht="15" customHeight="1" x14ac:dyDescent="0.25">
      <c r="A57" t="s">
        <v>150</v>
      </c>
      <c r="B57" t="s">
        <v>182</v>
      </c>
      <c r="C57" s="6">
        <v>11</v>
      </c>
      <c r="D57" s="6">
        <v>0</v>
      </c>
      <c r="E57" s="6">
        <v>0</v>
      </c>
      <c r="F57" s="6">
        <v>0</v>
      </c>
      <c r="G57" s="6">
        <v>0</v>
      </c>
      <c r="H57" t="s">
        <v>172</v>
      </c>
      <c r="I57" s="6">
        <v>11</v>
      </c>
    </row>
    <row r="58" spans="1:9" ht="15" customHeight="1" x14ac:dyDescent="0.25">
      <c r="A58" t="s">
        <v>151</v>
      </c>
      <c r="B58" t="s">
        <v>182</v>
      </c>
      <c r="C58" s="6">
        <v>11</v>
      </c>
      <c r="D58" s="6">
        <v>0</v>
      </c>
      <c r="E58" s="6">
        <v>0</v>
      </c>
      <c r="F58" s="6">
        <v>0</v>
      </c>
      <c r="G58" s="6">
        <v>0</v>
      </c>
      <c r="H58" t="s">
        <v>172</v>
      </c>
      <c r="I58" s="6">
        <v>11</v>
      </c>
    </row>
    <row r="59" spans="1:9" ht="15" customHeight="1" x14ac:dyDescent="0.25">
      <c r="A59" t="s">
        <v>153</v>
      </c>
      <c r="B59" t="s">
        <v>182</v>
      </c>
      <c r="C59" s="6">
        <v>11</v>
      </c>
      <c r="D59" s="6">
        <v>0</v>
      </c>
      <c r="E59" s="6">
        <v>0</v>
      </c>
      <c r="F59" s="6">
        <v>0</v>
      </c>
      <c r="G59" s="6">
        <v>0</v>
      </c>
      <c r="H59" t="s">
        <v>172</v>
      </c>
      <c r="I59" s="6">
        <v>11</v>
      </c>
    </row>
    <row r="60" spans="1:9" ht="15" customHeight="1" x14ac:dyDescent="0.25">
      <c r="A60" t="s">
        <v>154</v>
      </c>
      <c r="B60" t="s">
        <v>182</v>
      </c>
      <c r="C60" s="6">
        <v>11</v>
      </c>
      <c r="D60" s="6">
        <v>0</v>
      </c>
      <c r="E60" s="6">
        <v>0</v>
      </c>
      <c r="F60" s="6">
        <v>0</v>
      </c>
      <c r="G60" s="6">
        <v>0</v>
      </c>
      <c r="H60" t="s">
        <v>172</v>
      </c>
      <c r="I60" s="6">
        <v>11</v>
      </c>
    </row>
    <row r="61" spans="1:9" ht="15" customHeight="1" x14ac:dyDescent="0.25">
      <c r="A61" t="s">
        <v>155</v>
      </c>
      <c r="B61" t="s">
        <v>182</v>
      </c>
      <c r="C61" s="6">
        <v>11</v>
      </c>
      <c r="D61" s="6">
        <v>0</v>
      </c>
      <c r="E61" s="6">
        <v>0</v>
      </c>
      <c r="F61" s="6">
        <v>0</v>
      </c>
      <c r="G61" s="6">
        <v>0</v>
      </c>
      <c r="H61" t="s">
        <v>172</v>
      </c>
      <c r="I61" s="6">
        <v>11</v>
      </c>
    </row>
    <row r="62" spans="1:9" ht="15" customHeight="1" x14ac:dyDescent="0.25">
      <c r="A62" t="s">
        <v>156</v>
      </c>
      <c r="B62" t="s">
        <v>182</v>
      </c>
      <c r="C62" s="6">
        <v>11</v>
      </c>
      <c r="D62" s="6">
        <v>0</v>
      </c>
      <c r="E62" s="6">
        <v>0</v>
      </c>
      <c r="F62" s="6">
        <v>0</v>
      </c>
      <c r="G62" s="6">
        <v>0</v>
      </c>
      <c r="H62" t="s">
        <v>172</v>
      </c>
      <c r="I62" s="6">
        <v>11</v>
      </c>
    </row>
    <row r="63" spans="1:9" ht="15" customHeight="1" x14ac:dyDescent="0.25">
      <c r="A63" t="s">
        <v>139</v>
      </c>
      <c r="B63" t="s">
        <v>182</v>
      </c>
      <c r="C63" s="6">
        <v>11</v>
      </c>
      <c r="D63" s="6">
        <v>0</v>
      </c>
      <c r="E63" s="6">
        <v>0</v>
      </c>
      <c r="F63" s="6">
        <v>0</v>
      </c>
      <c r="G63" s="6">
        <v>0</v>
      </c>
      <c r="H63" t="s">
        <v>172</v>
      </c>
      <c r="I63" s="6">
        <v>11</v>
      </c>
    </row>
    <row r="64" spans="1:9" ht="15" customHeight="1" x14ac:dyDescent="0.25">
      <c r="A64" t="s">
        <v>157</v>
      </c>
      <c r="B64" t="s">
        <v>182</v>
      </c>
      <c r="C64" s="6">
        <v>11</v>
      </c>
      <c r="D64" s="6">
        <v>0</v>
      </c>
      <c r="E64" s="6">
        <v>0</v>
      </c>
      <c r="F64" s="6">
        <v>0</v>
      </c>
      <c r="G64" s="6">
        <v>0</v>
      </c>
      <c r="H64" t="s">
        <v>172</v>
      </c>
      <c r="I64" s="6">
        <v>11</v>
      </c>
    </row>
    <row r="65" spans="1:23" ht="15" customHeight="1" x14ac:dyDescent="0.25">
      <c r="A65" t="s">
        <v>158</v>
      </c>
      <c r="B65" t="s">
        <v>182</v>
      </c>
      <c r="C65" s="6">
        <v>11</v>
      </c>
      <c r="D65" s="6">
        <v>0</v>
      </c>
      <c r="E65" s="6">
        <v>0</v>
      </c>
      <c r="F65" s="6">
        <v>0</v>
      </c>
      <c r="G65" s="6">
        <v>0</v>
      </c>
      <c r="H65" t="s">
        <v>172</v>
      </c>
      <c r="I65" s="6">
        <v>11</v>
      </c>
    </row>
    <row r="66" spans="1:23" ht="15" customHeight="1" x14ac:dyDescent="0.25">
      <c r="A66" t="s">
        <v>159</v>
      </c>
      <c r="B66" t="s">
        <v>182</v>
      </c>
      <c r="C66" s="6">
        <v>11</v>
      </c>
      <c r="D66" s="6">
        <v>0</v>
      </c>
      <c r="E66" s="6">
        <v>0</v>
      </c>
      <c r="F66" s="6">
        <v>0</v>
      </c>
      <c r="G66" s="6">
        <v>0</v>
      </c>
      <c r="H66" t="s">
        <v>172</v>
      </c>
      <c r="I66" s="6">
        <v>11</v>
      </c>
    </row>
    <row r="67" spans="1:23" ht="15" customHeight="1" x14ac:dyDescent="0.25">
      <c r="A67" s="184" t="s">
        <v>183</v>
      </c>
      <c r="B67" s="184"/>
      <c r="C67" s="184"/>
      <c r="D67" s="184"/>
      <c r="E67" s="184"/>
      <c r="F67" s="184"/>
    </row>
    <row r="68" spans="1:23" ht="15" customHeight="1" x14ac:dyDescent="0.25">
      <c r="A68" t="s">
        <v>184</v>
      </c>
      <c r="B68" t="s">
        <v>185</v>
      </c>
    </row>
    <row r="69" spans="1:23" ht="15" customHeight="1" x14ac:dyDescent="0.25">
      <c r="A69" t="s">
        <v>186</v>
      </c>
    </row>
    <row r="70" spans="1:23" ht="15" customHeight="1" x14ac:dyDescent="0.25">
      <c r="A70" s="184" t="s">
        <v>117</v>
      </c>
      <c r="B70" s="184"/>
      <c r="C70" s="184"/>
      <c r="D70" s="184"/>
      <c r="E70" s="184"/>
      <c r="F70" s="184"/>
    </row>
    <row r="71" spans="1:23" ht="15" customHeight="1" x14ac:dyDescent="0.25">
      <c r="A71" t="s">
        <v>187</v>
      </c>
      <c r="B71" t="s">
        <v>188</v>
      </c>
      <c r="C71" t="s">
        <v>189</v>
      </c>
      <c r="D71" t="s">
        <v>190</v>
      </c>
      <c r="E71" t="s">
        <v>191</v>
      </c>
      <c r="F71" t="s">
        <v>192</v>
      </c>
      <c r="G71" t="s">
        <v>193</v>
      </c>
    </row>
    <row r="72" spans="1:23" ht="15" customHeight="1" x14ac:dyDescent="0.25">
      <c r="A72" s="6">
        <v>3</v>
      </c>
      <c r="B72" s="6">
        <v>3</v>
      </c>
      <c r="C72" s="6">
        <v>1</v>
      </c>
      <c r="D72" s="6">
        <v>1</v>
      </c>
      <c r="E72" s="6">
        <v>1</v>
      </c>
      <c r="F72" s="6">
        <v>0</v>
      </c>
      <c r="G72" s="6">
        <v>3</v>
      </c>
    </row>
    <row r="73" spans="1:23" ht="15" customHeight="1" x14ac:dyDescent="0.25">
      <c r="A73" s="184" t="s">
        <v>118</v>
      </c>
      <c r="B73" s="184"/>
      <c r="C73" s="184"/>
      <c r="D73" s="184"/>
      <c r="E73" s="184"/>
      <c r="F73" s="184"/>
    </row>
    <row r="74" spans="1:23" ht="15" customHeight="1" x14ac:dyDescent="0.25">
      <c r="A74" t="s">
        <v>194</v>
      </c>
    </row>
    <row r="75" spans="1:23" ht="15" customHeight="1" x14ac:dyDescent="0.25">
      <c r="A75" s="6">
        <v>0</v>
      </c>
    </row>
    <row r="76" spans="1:23" ht="15" customHeight="1" x14ac:dyDescent="0.25">
      <c r="A76" s="184" t="s">
        <v>35</v>
      </c>
      <c r="B76" s="184"/>
      <c r="C76" s="184"/>
      <c r="D76" s="184"/>
      <c r="E76" s="184"/>
      <c r="F76" s="184"/>
    </row>
    <row r="77" spans="1:23" ht="15" customHeight="1" x14ac:dyDescent="0.25">
      <c r="A77" t="s">
        <v>3</v>
      </c>
      <c r="B77" s="184" t="s">
        <v>174</v>
      </c>
      <c r="C77" t="s">
        <v>195</v>
      </c>
      <c r="D77" t="s">
        <v>196</v>
      </c>
      <c r="E77" t="s">
        <v>197</v>
      </c>
      <c r="F77" t="s">
        <v>198</v>
      </c>
      <c r="G77" t="s">
        <v>199</v>
      </c>
      <c r="H77" t="s">
        <v>200</v>
      </c>
      <c r="I77" t="s">
        <v>201</v>
      </c>
      <c r="J77" t="s">
        <v>202</v>
      </c>
      <c r="K77" t="s">
        <v>203</v>
      </c>
      <c r="L77" t="s">
        <v>204</v>
      </c>
      <c r="M77" t="s">
        <v>205</v>
      </c>
      <c r="N77" t="s">
        <v>206</v>
      </c>
      <c r="O77" t="s">
        <v>207</v>
      </c>
      <c r="P77" t="s">
        <v>208</v>
      </c>
      <c r="Q77" t="s">
        <v>209</v>
      </c>
      <c r="R77" t="s">
        <v>210</v>
      </c>
      <c r="S77" t="s">
        <v>211</v>
      </c>
      <c r="T77" t="s">
        <v>212</v>
      </c>
      <c r="U77" t="s">
        <v>213</v>
      </c>
      <c r="V77" t="s">
        <v>214</v>
      </c>
      <c r="W77" t="s">
        <v>215</v>
      </c>
    </row>
    <row r="78" spans="1:23" ht="15" customHeight="1" x14ac:dyDescent="0.25">
      <c r="A78" t="s">
        <v>24</v>
      </c>
      <c r="B78" s="184"/>
      <c r="C78" t="s">
        <v>216</v>
      </c>
      <c r="D78" t="s">
        <v>217</v>
      </c>
      <c r="E78" t="s">
        <v>218</v>
      </c>
      <c r="F78" t="s">
        <v>219</v>
      </c>
      <c r="G78" t="s">
        <v>220</v>
      </c>
      <c r="H78" t="s">
        <v>221</v>
      </c>
      <c r="I78" t="s">
        <v>222</v>
      </c>
      <c r="J78" t="s">
        <v>223</v>
      </c>
      <c r="K78" t="s">
        <v>224</v>
      </c>
      <c r="L78" t="s">
        <v>225</v>
      </c>
      <c r="M78" t="s">
        <v>226</v>
      </c>
      <c r="N78" t="s">
        <v>227</v>
      </c>
      <c r="O78" t="s">
        <v>228</v>
      </c>
      <c r="P78" t="s">
        <v>229</v>
      </c>
      <c r="S78" t="s">
        <v>230</v>
      </c>
      <c r="T78" t="s">
        <v>231</v>
      </c>
      <c r="U78" t="s">
        <v>232</v>
      </c>
      <c r="V78" t="s">
        <v>233</v>
      </c>
    </row>
    <row r="79" spans="1:23" ht="15" customHeight="1" x14ac:dyDescent="0.25">
      <c r="A79" s="6">
        <v>0</v>
      </c>
      <c r="B79" t="s">
        <v>16</v>
      </c>
      <c r="C79" t="s">
        <v>234</v>
      </c>
      <c r="D79" t="s">
        <v>235</v>
      </c>
      <c r="E79" t="s">
        <v>236</v>
      </c>
      <c r="F79" t="s">
        <v>236</v>
      </c>
      <c r="G79" t="s">
        <v>237</v>
      </c>
      <c r="H79" t="s">
        <v>236</v>
      </c>
      <c r="I79" t="s">
        <v>236</v>
      </c>
      <c r="J79" t="s">
        <v>236</v>
      </c>
      <c r="K79" t="s">
        <v>238</v>
      </c>
      <c r="L79" t="s">
        <v>236</v>
      </c>
      <c r="M79" t="s">
        <v>239</v>
      </c>
      <c r="N79" t="s">
        <v>240</v>
      </c>
      <c r="O79" t="s">
        <v>241</v>
      </c>
      <c r="P79" t="s">
        <v>242</v>
      </c>
      <c r="Q79" t="s">
        <v>239</v>
      </c>
      <c r="R79" s="6">
        <v>2</v>
      </c>
      <c r="S79" t="s">
        <v>28</v>
      </c>
      <c r="T79" t="s">
        <v>28</v>
      </c>
      <c r="W79" s="6">
        <v>1</v>
      </c>
    </row>
  </sheetData>
  <mergeCells count="14">
    <mergeCell ref="A14:F14"/>
    <mergeCell ref="A17:F17"/>
    <mergeCell ref="A1:F1"/>
    <mergeCell ref="A5:F5"/>
    <mergeCell ref="A8:F8"/>
    <mergeCell ref="A11:F11"/>
    <mergeCell ref="A76:F76"/>
    <mergeCell ref="B77:B78"/>
    <mergeCell ref="A33:F33"/>
    <mergeCell ref="A43:F43"/>
    <mergeCell ref="A52:F52"/>
    <mergeCell ref="A67:F67"/>
    <mergeCell ref="A70:F70"/>
    <mergeCell ref="A73:F73"/>
  </mergeCells>
  <phoneticPr fontId="0" type="noConversion"/>
  <printOptions headings="1" gridLines="1"/>
  <pageMargins left="0" right="0" top="0" bottom="0" header="0" footer="0"/>
  <pageSetup orientation="portrait" blackAndWhite="1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"/>
  <sheetViews>
    <sheetView workbookViewId="0"/>
  </sheetViews>
  <sheetFormatPr defaultRowHeight="1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N33"/>
  <sheetViews>
    <sheetView tabSelected="1" view="pageLayout" zoomScale="85" zoomScaleNormal="100" zoomScaleSheetLayoutView="100" zoomScalePageLayoutView="85" workbookViewId="0">
      <selection activeCell="B12" sqref="B12"/>
    </sheetView>
  </sheetViews>
  <sheetFormatPr defaultColWidth="10" defaultRowHeight="11" x14ac:dyDescent="0.25"/>
  <cols>
    <col min="1" max="1" width="6.6640625" customWidth="1"/>
    <col min="2" max="2" width="52.33203125" bestFit="1" customWidth="1"/>
    <col min="3" max="3" width="10.44140625" style="146" customWidth="1"/>
    <col min="4" max="4" width="15.88671875" customWidth="1"/>
    <col min="5" max="5" width="5.88671875" hidden="1" customWidth="1"/>
    <col min="6" max="6" width="27.88671875" customWidth="1"/>
    <col min="7" max="7" width="19.6640625" customWidth="1"/>
    <col min="8" max="8" width="18.6640625" customWidth="1"/>
    <col min="9" max="9" width="19.6640625" customWidth="1"/>
    <col min="10" max="10" width="10" hidden="1" customWidth="1"/>
    <col min="11" max="11" width="27.109375" style="114" hidden="1" customWidth="1"/>
    <col min="12" max="12" width="13.109375" style="114" hidden="1" customWidth="1"/>
    <col min="13" max="13" width="21.109375" style="158" customWidth="1"/>
    <col min="14" max="14" width="10" style="114"/>
  </cols>
  <sheetData>
    <row r="2" spans="1:14" ht="18" customHeight="1" x14ac:dyDescent="0.25">
      <c r="A2" s="181" t="s">
        <v>461</v>
      </c>
      <c r="B2" s="182"/>
      <c r="C2" s="182"/>
      <c r="D2" s="182"/>
      <c r="E2" s="182"/>
      <c r="F2" s="182"/>
      <c r="G2" s="182"/>
      <c r="H2" s="182"/>
      <c r="I2" s="182"/>
    </row>
    <row r="3" spans="1:14" ht="32.25" customHeight="1" x14ac:dyDescent="0.25">
      <c r="A3" s="183" t="s">
        <v>488</v>
      </c>
      <c r="B3" s="184"/>
      <c r="C3" s="184"/>
      <c r="D3" s="184"/>
      <c r="E3" s="184"/>
      <c r="F3" s="184"/>
      <c r="G3" s="184"/>
      <c r="H3" s="184"/>
      <c r="I3" s="184"/>
    </row>
    <row r="4" spans="1:14" ht="21.75" customHeight="1" x14ac:dyDescent="0.25">
      <c r="A4" s="188" t="s">
        <v>489</v>
      </c>
      <c r="B4" s="183"/>
      <c r="C4" s="183"/>
      <c r="D4" s="183"/>
      <c r="E4" s="183"/>
      <c r="F4" s="183"/>
      <c r="G4" s="183"/>
      <c r="H4" s="183"/>
      <c r="I4" s="183"/>
    </row>
    <row r="5" spans="1:14" ht="21" customHeight="1" x14ac:dyDescent="0.25">
      <c r="A5" s="185" t="s">
        <v>477</v>
      </c>
      <c r="B5" s="186"/>
      <c r="C5" s="186"/>
      <c r="D5" s="186"/>
      <c r="E5" s="186"/>
      <c r="F5" s="186"/>
      <c r="G5" s="186"/>
      <c r="H5" s="186"/>
      <c r="I5" s="186"/>
      <c r="K5" s="127">
        <v>97.103999999999999</v>
      </c>
    </row>
    <row r="6" spans="1:14" s="17" customFormat="1" ht="26.25" customHeight="1" x14ac:dyDescent="0.25">
      <c r="A6" s="117" t="s">
        <v>3</v>
      </c>
      <c r="B6" s="117" t="s">
        <v>23</v>
      </c>
      <c r="C6" s="117" t="s">
        <v>24</v>
      </c>
      <c r="D6" s="117" t="s">
        <v>11</v>
      </c>
      <c r="E6" s="117" t="s">
        <v>6</v>
      </c>
      <c r="F6" s="117" t="s">
        <v>25</v>
      </c>
      <c r="G6" s="117" t="s">
        <v>244</v>
      </c>
      <c r="H6" s="117" t="s">
        <v>245</v>
      </c>
      <c r="I6" s="117" t="s">
        <v>246</v>
      </c>
      <c r="J6" s="16" t="s">
        <v>33</v>
      </c>
      <c r="K6" s="132">
        <f>5800000/1.1</f>
        <v>5272727.2727272725</v>
      </c>
      <c r="L6" s="133">
        <f>K6*0.949</f>
        <v>5003818.1818181816</v>
      </c>
      <c r="M6" s="159"/>
      <c r="N6" s="133"/>
    </row>
    <row r="7" spans="1:14" s="26" customFormat="1" ht="15.5" x14ac:dyDescent="0.25">
      <c r="A7" s="128" t="s">
        <v>37</v>
      </c>
      <c r="B7" s="129" t="s">
        <v>41</v>
      </c>
      <c r="C7" s="130" t="s">
        <v>33</v>
      </c>
      <c r="D7" s="171"/>
      <c r="E7" s="172"/>
      <c r="F7" s="131" t="s">
        <v>475</v>
      </c>
      <c r="G7" s="173">
        <f>SUM(G8:G12)</f>
        <v>910513888.88888884</v>
      </c>
      <c r="H7" s="173">
        <f>SUM(H8:H12)</f>
        <v>72841111.111111104</v>
      </c>
      <c r="I7" s="173">
        <f>ROUND(SUM(I8:I12),-3)</f>
        <v>983355000</v>
      </c>
      <c r="J7" s="25"/>
      <c r="K7" s="134">
        <f>480*2</f>
        <v>960</v>
      </c>
      <c r="L7" s="115"/>
      <c r="M7" s="160">
        <v>185.5</v>
      </c>
      <c r="N7" s="115"/>
    </row>
    <row r="8" spans="1:14" s="26" customFormat="1" ht="15.5" x14ac:dyDescent="0.3">
      <c r="A8" s="118" t="s">
        <v>455</v>
      </c>
      <c r="B8" s="157" t="s">
        <v>490</v>
      </c>
      <c r="C8" s="126" t="s">
        <v>249</v>
      </c>
      <c r="D8" s="121"/>
      <c r="E8" s="122"/>
      <c r="F8" s="125" t="s">
        <v>485</v>
      </c>
      <c r="G8" s="123">
        <f>76*6000000</f>
        <v>456000000</v>
      </c>
      <c r="H8" s="123">
        <f>G8*8%</f>
        <v>36480000</v>
      </c>
      <c r="I8" s="123">
        <f>G8+H8</f>
        <v>492480000</v>
      </c>
      <c r="J8" s="25"/>
      <c r="K8" s="134"/>
      <c r="L8" s="115"/>
      <c r="M8" s="160">
        <f>(9.9+0.22)*7.22</f>
        <v>73.066400000000002</v>
      </c>
      <c r="N8" s="115">
        <f>I9/M8</f>
        <v>3511983.6203781767</v>
      </c>
    </row>
    <row r="9" spans="1:14" s="26" customFormat="1" ht="15.5" x14ac:dyDescent="0.3">
      <c r="A9" s="118" t="s">
        <v>457</v>
      </c>
      <c r="B9" s="157" t="s">
        <v>478</v>
      </c>
      <c r="C9" s="126" t="s">
        <v>260</v>
      </c>
      <c r="D9" s="121"/>
      <c r="E9" s="122"/>
      <c r="F9" s="125" t="s">
        <v>486</v>
      </c>
      <c r="G9" s="123">
        <f>88*2700000</f>
        <v>237600000</v>
      </c>
      <c r="H9" s="123">
        <f t="shared" ref="H9:H12" si="0">G9*8%</f>
        <v>19008000</v>
      </c>
      <c r="I9" s="123">
        <f t="shared" ref="I9:I12" si="1">G9+H9</f>
        <v>256608000</v>
      </c>
      <c r="J9" s="25"/>
      <c r="K9" s="134"/>
      <c r="L9" s="115"/>
      <c r="M9" s="160"/>
      <c r="N9" s="115"/>
    </row>
    <row r="10" spans="1:14" s="26" customFormat="1" ht="15.5" x14ac:dyDescent="0.3">
      <c r="A10" s="118" t="s">
        <v>484</v>
      </c>
      <c r="B10" s="157" t="s">
        <v>480</v>
      </c>
      <c r="C10" s="126" t="s">
        <v>262</v>
      </c>
      <c r="D10" s="121"/>
      <c r="E10" s="122"/>
      <c r="F10" s="125" t="s">
        <v>487</v>
      </c>
      <c r="G10" s="123">
        <f>I10/1.08</f>
        <v>101913888.88888888</v>
      </c>
      <c r="H10" s="123">
        <f t="shared" ref="H10" si="2">G10*8%</f>
        <v>8153111.111111111</v>
      </c>
      <c r="I10" s="123">
        <v>110067000</v>
      </c>
      <c r="J10" s="25"/>
      <c r="K10" s="134"/>
      <c r="L10" s="115"/>
      <c r="M10" s="160"/>
      <c r="N10" s="115"/>
    </row>
    <row r="11" spans="1:14" s="26" customFormat="1" ht="17.25" customHeight="1" x14ac:dyDescent="0.3">
      <c r="A11" s="118" t="s">
        <v>479</v>
      </c>
      <c r="B11" s="169" t="s">
        <v>491</v>
      </c>
      <c r="C11" s="126" t="s">
        <v>299</v>
      </c>
      <c r="D11" s="121"/>
      <c r="E11" s="122"/>
      <c r="F11" s="125" t="s">
        <v>179</v>
      </c>
      <c r="G11" s="123">
        <v>65000000</v>
      </c>
      <c r="H11" s="123">
        <f>G11*8%</f>
        <v>5200000</v>
      </c>
      <c r="I11" s="123">
        <f>G11+H11</f>
        <v>70200000</v>
      </c>
      <c r="J11" s="25"/>
      <c r="K11" s="134"/>
      <c r="L11" s="115"/>
      <c r="M11" s="160"/>
      <c r="N11" s="115"/>
    </row>
    <row r="12" spans="1:14" s="26" customFormat="1" ht="31.5" customHeight="1" x14ac:dyDescent="0.3">
      <c r="A12" s="118" t="s">
        <v>481</v>
      </c>
      <c r="B12" s="169" t="s">
        <v>482</v>
      </c>
      <c r="C12" s="126" t="s">
        <v>385</v>
      </c>
      <c r="D12" s="121"/>
      <c r="E12" s="122"/>
      <c r="F12" s="125" t="s">
        <v>179</v>
      </c>
      <c r="G12" s="123">
        <v>50000000</v>
      </c>
      <c r="H12" s="123">
        <f t="shared" si="0"/>
        <v>4000000</v>
      </c>
      <c r="I12" s="123">
        <f t="shared" si="1"/>
        <v>54000000</v>
      </c>
      <c r="J12" s="25" t="s">
        <v>50</v>
      </c>
      <c r="K12" s="132">
        <f>+G7</f>
        <v>910513888.88888884</v>
      </c>
      <c r="L12" s="134"/>
      <c r="M12" s="160"/>
      <c r="N12" s="115"/>
    </row>
    <row r="13" spans="1:14" s="26" customFormat="1" ht="17.25" customHeight="1" x14ac:dyDescent="0.25">
      <c r="A13" s="135" t="s">
        <v>38</v>
      </c>
      <c r="B13" s="129" t="s">
        <v>49</v>
      </c>
      <c r="C13" s="130" t="s">
        <v>50</v>
      </c>
      <c r="D13" s="171">
        <v>3.4459999999999998E-2</v>
      </c>
      <c r="E13" s="172"/>
      <c r="F13" s="131" t="s">
        <v>467</v>
      </c>
      <c r="G13" s="173">
        <f>ROUND(D13*(G7),0)</f>
        <v>31376309</v>
      </c>
      <c r="H13" s="173">
        <f>SUM(H14:H17)</f>
        <v>12602240.64888889</v>
      </c>
      <c r="I13" s="173">
        <f>ROUND(G13+H13,-3)</f>
        <v>43979000</v>
      </c>
      <c r="J13" s="25" t="s">
        <v>53</v>
      </c>
      <c r="K13" s="132"/>
      <c r="L13" s="115"/>
      <c r="M13" s="160"/>
      <c r="N13" s="115"/>
    </row>
    <row r="14" spans="1:14" s="56" customFormat="1" ht="15.5" x14ac:dyDescent="0.25">
      <c r="A14" s="135" t="s">
        <v>39</v>
      </c>
      <c r="B14" s="129" t="s">
        <v>52</v>
      </c>
      <c r="C14" s="130" t="s">
        <v>53</v>
      </c>
      <c r="D14" s="171"/>
      <c r="E14" s="172"/>
      <c r="F14" s="131" t="s">
        <v>476</v>
      </c>
      <c r="G14" s="173">
        <f>SUM(G15:G18)</f>
        <v>93719194.555555552</v>
      </c>
      <c r="H14" s="173">
        <f>SUM(H15:H18)</f>
        <v>7497535.5644444451</v>
      </c>
      <c r="I14" s="173">
        <f>ROUND(SUM(I15:I18),-3)</f>
        <v>101216000</v>
      </c>
      <c r="J14" s="55" t="s">
        <v>61</v>
      </c>
      <c r="K14" s="113" t="e">
        <f>#REF!+#REF!+I15+I20+#REF!+#REF!</f>
        <v>#REF!</v>
      </c>
      <c r="L14" s="136">
        <f>6.5-((6.5-4.7)*(G7/10^9-1))/2</f>
        <v>6.5805375000000002</v>
      </c>
      <c r="M14" s="161">
        <f>6.5-((6.5-4.7)*(G7/10^9-1))/2</f>
        <v>6.5805375000000002</v>
      </c>
      <c r="N14" s="136"/>
    </row>
    <row r="15" spans="1:14" s="56" customFormat="1" ht="15.5" x14ac:dyDescent="0.25">
      <c r="A15" s="118" t="s">
        <v>464</v>
      </c>
      <c r="B15" s="119" t="s">
        <v>456</v>
      </c>
      <c r="C15" s="120" t="s">
        <v>55</v>
      </c>
      <c r="D15" s="121">
        <v>6.5000000000000002E-2</v>
      </c>
      <c r="E15" s="122"/>
      <c r="F15" s="125" t="s">
        <v>474</v>
      </c>
      <c r="G15" s="123">
        <f>ROUND(D15*(G7),0)</f>
        <v>59183403</v>
      </c>
      <c r="H15" s="123">
        <f t="shared" ref="H15:H18" si="3">8%*G15</f>
        <v>4734672.24</v>
      </c>
      <c r="I15" s="123">
        <f>ROUND(G15+H15,-3)</f>
        <v>63918000</v>
      </c>
      <c r="J15" s="55"/>
      <c r="K15" s="113"/>
      <c r="L15" s="136"/>
      <c r="M15" s="161"/>
      <c r="N15" s="136"/>
    </row>
    <row r="16" spans="1:14" s="56" customFormat="1" ht="15.5" x14ac:dyDescent="0.25">
      <c r="A16" s="118" t="s">
        <v>465</v>
      </c>
      <c r="B16" s="119" t="s">
        <v>469</v>
      </c>
      <c r="C16" s="120" t="s">
        <v>58</v>
      </c>
      <c r="D16" s="121">
        <v>2.5799999999999998E-3</v>
      </c>
      <c r="E16" s="122"/>
      <c r="F16" s="125" t="s">
        <v>471</v>
      </c>
      <c r="G16" s="123">
        <f>D16*G7</f>
        <v>2349125.833333333</v>
      </c>
      <c r="H16" s="123">
        <f t="shared" si="3"/>
        <v>187930.06666666665</v>
      </c>
      <c r="I16" s="123">
        <f t="shared" ref="I16:I17" si="4">ROUND(G16+H16,-3)</f>
        <v>2537000</v>
      </c>
      <c r="J16" s="55"/>
      <c r="K16" s="113"/>
      <c r="L16" s="136"/>
      <c r="M16" s="161"/>
      <c r="N16" s="136"/>
    </row>
    <row r="17" spans="1:14" s="26" customFormat="1" ht="17.25" customHeight="1" x14ac:dyDescent="0.25">
      <c r="A17" s="118" t="s">
        <v>466</v>
      </c>
      <c r="B17" s="119" t="s">
        <v>470</v>
      </c>
      <c r="C17" s="120" t="s">
        <v>278</v>
      </c>
      <c r="D17" s="121">
        <v>2.5000000000000001E-3</v>
      </c>
      <c r="E17" s="122"/>
      <c r="F17" s="125" t="s">
        <v>472</v>
      </c>
      <c r="G17" s="123">
        <f>D17*G7</f>
        <v>2276284.722222222</v>
      </c>
      <c r="H17" s="123">
        <f t="shared" si="3"/>
        <v>182102.77777777775</v>
      </c>
      <c r="I17" s="123">
        <f t="shared" si="4"/>
        <v>2458000</v>
      </c>
      <c r="J17" s="25" t="s">
        <v>70</v>
      </c>
      <c r="K17" s="115"/>
      <c r="L17" s="115"/>
      <c r="M17" s="160"/>
      <c r="N17" s="115"/>
    </row>
    <row r="18" spans="1:14" s="26" customFormat="1" ht="17.25" customHeight="1" x14ac:dyDescent="0.25">
      <c r="A18" s="118" t="s">
        <v>483</v>
      </c>
      <c r="B18" s="124" t="s">
        <v>69</v>
      </c>
      <c r="C18" s="120" t="s">
        <v>280</v>
      </c>
      <c r="D18" s="121">
        <v>3.2849999999999997E-2</v>
      </c>
      <c r="E18" s="122"/>
      <c r="F18" s="125" t="str">
        <f>D18*100&amp;"% x Gxd"</f>
        <v>3.285% x Gxd</v>
      </c>
      <c r="G18" s="123">
        <f>ROUND(D18*G7,0)</f>
        <v>29910381</v>
      </c>
      <c r="H18" s="123">
        <f t="shared" si="3"/>
        <v>2392830.48</v>
      </c>
      <c r="I18" s="123">
        <f>ROUND(G18+H18,-3)</f>
        <v>32303000</v>
      </c>
      <c r="J18" s="25" t="s">
        <v>74</v>
      </c>
      <c r="K18" s="132"/>
      <c r="L18" s="115"/>
      <c r="M18" s="160"/>
      <c r="N18" s="115"/>
    </row>
    <row r="19" spans="1:14" s="156" customFormat="1" ht="15.5" x14ac:dyDescent="0.25">
      <c r="A19" s="135" t="s">
        <v>51</v>
      </c>
      <c r="B19" s="129" t="s">
        <v>73</v>
      </c>
      <c r="C19" s="130" t="s">
        <v>74</v>
      </c>
      <c r="D19" s="171"/>
      <c r="E19" s="172"/>
      <c r="F19" s="131" t="s">
        <v>473</v>
      </c>
      <c r="G19" s="173">
        <f>SUM(G20:G22)</f>
        <v>10051565.277777778</v>
      </c>
      <c r="H19" s="173">
        <f>SUM(H20:H22)</f>
        <v>80125.222222222219</v>
      </c>
      <c r="I19" s="173">
        <f>ROUND(SUM(I20:I22),-3)</f>
        <v>10132000</v>
      </c>
      <c r="J19" s="155" t="s">
        <v>78</v>
      </c>
      <c r="K19" s="113"/>
      <c r="M19" s="162"/>
    </row>
    <row r="20" spans="1:14" s="56" customFormat="1" ht="31.5" customHeight="1" x14ac:dyDescent="0.25">
      <c r="A20" s="118" t="s">
        <v>54</v>
      </c>
      <c r="B20" s="154" t="s">
        <v>468</v>
      </c>
      <c r="C20" s="126" t="s">
        <v>281</v>
      </c>
      <c r="D20" s="137">
        <v>1.9000000000000001E-4</v>
      </c>
      <c r="E20" s="122"/>
      <c r="F20" s="125" t="s">
        <v>459</v>
      </c>
      <c r="G20" s="138">
        <v>500000</v>
      </c>
      <c r="H20" s="138">
        <v>0</v>
      </c>
      <c r="I20" s="138">
        <f>ROUND(G20+H20,-3)</f>
        <v>500000</v>
      </c>
      <c r="J20" s="55" t="s">
        <v>86</v>
      </c>
      <c r="K20" s="113"/>
      <c r="L20" s="136"/>
      <c r="M20" s="167">
        <f>I7+I13+I14+I19+I23</f>
        <v>1195000000</v>
      </c>
      <c r="N20" s="136"/>
    </row>
    <row r="21" spans="1:14" s="26" customFormat="1" ht="15.5" x14ac:dyDescent="0.25">
      <c r="A21" s="118" t="s">
        <v>57</v>
      </c>
      <c r="B21" s="119" t="s">
        <v>458</v>
      </c>
      <c r="C21" s="126" t="s">
        <v>84</v>
      </c>
      <c r="D21" s="139">
        <v>5.7000000000000002E-3</v>
      </c>
      <c r="E21" s="122"/>
      <c r="F21" s="120" t="s">
        <v>463</v>
      </c>
      <c r="G21" s="140">
        <f>(M24-M23)*D21</f>
        <v>8550000</v>
      </c>
      <c r="H21" s="138">
        <v>0</v>
      </c>
      <c r="I21" s="140">
        <f>+H21+G21</f>
        <v>8550000</v>
      </c>
      <c r="J21" s="25" t="s">
        <v>87</v>
      </c>
      <c r="K21" s="115"/>
      <c r="L21" s="115"/>
      <c r="M21" s="160"/>
      <c r="N21" s="115"/>
    </row>
    <row r="22" spans="1:14" s="26" customFormat="1" ht="17.25" customHeight="1" x14ac:dyDescent="0.25">
      <c r="A22" s="118" t="s">
        <v>59</v>
      </c>
      <c r="B22" s="124" t="s">
        <v>462</v>
      </c>
      <c r="C22" s="126" t="s">
        <v>252</v>
      </c>
      <c r="D22" s="121">
        <v>1.1000000000000001E-3</v>
      </c>
      <c r="E22" s="122"/>
      <c r="F22" s="125" t="str">
        <f>D22*100&amp;"% x Gxd"</f>
        <v>0.11% x Gxd</v>
      </c>
      <c r="G22" s="123">
        <f>G7*D22</f>
        <v>1001565.2777777778</v>
      </c>
      <c r="H22" s="123">
        <f>8%*G22</f>
        <v>80125.222222222219</v>
      </c>
      <c r="I22" s="123">
        <f>G22+H22</f>
        <v>1081690.5</v>
      </c>
      <c r="J22" s="25" t="s">
        <v>90</v>
      </c>
      <c r="K22" s="115"/>
      <c r="L22" s="115"/>
      <c r="M22" s="160"/>
      <c r="N22" s="115"/>
    </row>
    <row r="23" spans="1:14" s="57" customFormat="1" ht="15.5" x14ac:dyDescent="0.25">
      <c r="A23" s="135" t="s">
        <v>72</v>
      </c>
      <c r="B23" s="129" t="s">
        <v>89</v>
      </c>
      <c r="C23" s="130" t="s">
        <v>90</v>
      </c>
      <c r="D23" s="171"/>
      <c r="E23" s="172"/>
      <c r="F23" s="131" t="s">
        <v>272</v>
      </c>
      <c r="G23" s="173">
        <f>SUM(G24:G24)</f>
        <v>52146296.296296291</v>
      </c>
      <c r="H23" s="173">
        <f>SUM(H24:H24)</f>
        <v>4171703.7037037034</v>
      </c>
      <c r="I23" s="173">
        <v>56318000</v>
      </c>
      <c r="J23" s="68" t="s">
        <v>272</v>
      </c>
      <c r="K23" s="115" t="e">
        <f>#REF!/(I7+I13+I14+I19)*100</f>
        <v>#REF!</v>
      </c>
      <c r="L23" s="116">
        <f>I24+L24</f>
        <v>56318000</v>
      </c>
      <c r="M23" s="163"/>
      <c r="N23" s="115"/>
    </row>
    <row r="24" spans="1:14" s="26" customFormat="1" ht="16.5" customHeight="1" x14ac:dyDescent="0.25">
      <c r="A24" s="118" t="s">
        <v>75</v>
      </c>
      <c r="B24" s="124" t="s">
        <v>271</v>
      </c>
      <c r="C24" s="126" t="s">
        <v>272</v>
      </c>
      <c r="D24" s="174"/>
      <c r="E24" s="122"/>
      <c r="F24" s="125" t="s">
        <v>179</v>
      </c>
      <c r="G24" s="123">
        <f>I24/1.08</f>
        <v>52146296.296296291</v>
      </c>
      <c r="H24" s="123">
        <f>8%*G24</f>
        <v>4171703.7037037034</v>
      </c>
      <c r="I24" s="123">
        <f>I23</f>
        <v>56318000</v>
      </c>
      <c r="J24" s="25" t="s">
        <v>91</v>
      </c>
      <c r="K24" s="113">
        <v>4500000000</v>
      </c>
      <c r="L24" s="116"/>
      <c r="M24" s="164">
        <v>1500000000</v>
      </c>
      <c r="N24" s="115"/>
    </row>
    <row r="25" spans="1:14" s="26" customFormat="1" ht="19.5" hidden="1" customHeight="1" x14ac:dyDescent="0.25">
      <c r="A25" s="141"/>
      <c r="B25" s="131" t="s">
        <v>460</v>
      </c>
      <c r="C25" s="130"/>
      <c r="D25" s="171"/>
      <c r="E25" s="172"/>
      <c r="F25" s="131"/>
      <c r="G25" s="173">
        <f>+G23+G19+G14+G13+G7</f>
        <v>1097807254.0185184</v>
      </c>
      <c r="H25" s="173">
        <f>+H23+H19+H14+H13+H7</f>
        <v>97192716.250370368</v>
      </c>
      <c r="I25" s="173">
        <v>1195000000</v>
      </c>
      <c r="K25" s="145">
        <v>11000000000</v>
      </c>
      <c r="L25" s="115"/>
      <c r="M25" s="165">
        <v>11000000000</v>
      </c>
      <c r="N25" s="115"/>
    </row>
    <row r="26" spans="1:14" ht="17.5" x14ac:dyDescent="0.25">
      <c r="A26" s="142"/>
      <c r="B26" s="143" t="s">
        <v>92</v>
      </c>
      <c r="C26" s="175" t="s">
        <v>91</v>
      </c>
      <c r="D26" s="176"/>
      <c r="E26" s="177"/>
      <c r="F26" s="144" t="s">
        <v>453</v>
      </c>
      <c r="G26" s="178"/>
      <c r="H26" s="178"/>
      <c r="I26" s="178">
        <f>ROUND((I7+I13+I14+I19+I23),-3)</f>
        <v>1195000000</v>
      </c>
      <c r="M26" s="166">
        <f>+H25+G25</f>
        <v>1194999970.2688887</v>
      </c>
    </row>
    <row r="27" spans="1:14" x14ac:dyDescent="0.25">
      <c r="D27" s="170"/>
      <c r="E27" s="170"/>
      <c r="F27" s="170"/>
      <c r="G27" s="170"/>
      <c r="H27" s="170"/>
      <c r="I27" s="170"/>
    </row>
    <row r="28" spans="1:14" ht="15" x14ac:dyDescent="0.25">
      <c r="A28" s="187"/>
      <c r="B28" s="187"/>
      <c r="C28" s="187"/>
      <c r="D28" s="187"/>
      <c r="E28" s="187"/>
      <c r="F28" s="187"/>
      <c r="G28" s="187"/>
      <c r="H28" s="187"/>
      <c r="I28" s="187"/>
      <c r="M28" s="166">
        <f>M24-I25</f>
        <v>305000000</v>
      </c>
    </row>
    <row r="29" spans="1:14" ht="17.25" customHeight="1" x14ac:dyDescent="0.25">
      <c r="B29" s="147"/>
      <c r="C29" s="148"/>
      <c r="D29" s="147"/>
      <c r="E29" s="147"/>
      <c r="F29" s="147"/>
      <c r="G29" s="147"/>
      <c r="H29" s="147"/>
      <c r="I29" s="147"/>
    </row>
    <row r="30" spans="1:14" ht="2.25" hidden="1" customHeight="1" x14ac:dyDescent="0.25">
      <c r="B30" s="149"/>
      <c r="C30" s="148"/>
      <c r="D30" s="149"/>
      <c r="E30" s="149"/>
      <c r="F30" s="149"/>
      <c r="G30" s="168">
        <f>G25+H25</f>
        <v>1194999970.2688887</v>
      </c>
      <c r="H30" s="150">
        <f>G25+H25</f>
        <v>1194999970.2688887</v>
      </c>
      <c r="I30" s="151"/>
    </row>
    <row r="31" spans="1:14" ht="15.5" x14ac:dyDescent="0.25">
      <c r="B31" s="149"/>
      <c r="C31" s="148"/>
      <c r="D31" s="149"/>
      <c r="E31" s="149"/>
      <c r="F31" s="149"/>
      <c r="G31" s="149"/>
      <c r="H31" s="152"/>
      <c r="I31" s="151"/>
    </row>
    <row r="32" spans="1:14" ht="15.5" x14ac:dyDescent="0.25">
      <c r="B32" s="153"/>
      <c r="C32" s="148"/>
      <c r="D32" s="179"/>
      <c r="E32" s="179"/>
      <c r="F32" s="179"/>
      <c r="G32" s="179"/>
      <c r="H32" s="179"/>
      <c r="I32" s="179"/>
    </row>
    <row r="33" spans="3:9" ht="15.5" x14ac:dyDescent="0.25">
      <c r="C33" s="148"/>
      <c r="D33" s="180"/>
      <c r="E33" s="180"/>
      <c r="F33" s="180"/>
      <c r="G33" s="180"/>
      <c r="H33" s="180"/>
      <c r="I33" s="180"/>
    </row>
  </sheetData>
  <mergeCells count="7">
    <mergeCell ref="D32:I32"/>
    <mergeCell ref="D33:I33"/>
    <mergeCell ref="A2:I2"/>
    <mergeCell ref="A3:I3"/>
    <mergeCell ref="A5:I5"/>
    <mergeCell ref="A28:I28"/>
    <mergeCell ref="A4:I4"/>
  </mergeCells>
  <phoneticPr fontId="40" type="noConversion"/>
  <pageMargins left="0.78740157480314965" right="0.39370078740157483" top="0.43307086614173229" bottom="0.78740157480314965" header="0" footer="0"/>
  <pageSetup paperSize="9" scale="8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96"/>
  <sheetViews>
    <sheetView topLeftCell="A2" zoomScaleNormal="100" workbookViewId="0">
      <selection activeCell="E9" sqref="E9"/>
    </sheetView>
  </sheetViews>
  <sheetFormatPr defaultColWidth="10" defaultRowHeight="15" customHeight="1" x14ac:dyDescent="0.25"/>
  <cols>
    <col min="1" max="1" width="6.6640625" customWidth="1"/>
    <col min="2" max="2" width="50.33203125" customWidth="1"/>
    <col min="3" max="3" width="10.44140625" customWidth="1"/>
    <col min="4" max="4" width="12.6640625" customWidth="1"/>
    <col min="5" max="5" width="6.6640625" customWidth="1"/>
    <col min="6" max="6" width="31.44140625" customWidth="1"/>
    <col min="7" max="7" width="24.109375" customWidth="1"/>
    <col min="8" max="8" width="20.88671875" customWidth="1"/>
    <col min="9" max="9" width="22.6640625" customWidth="1"/>
    <col min="10" max="10" width="10" hidden="1" customWidth="1"/>
    <col min="11" max="11" width="24.88671875" customWidth="1"/>
    <col min="12" max="12" width="19.33203125" customWidth="1"/>
    <col min="15" max="15" width="22.44140625" customWidth="1"/>
    <col min="16" max="16" width="17.44140625" customWidth="1"/>
  </cols>
  <sheetData>
    <row r="1" spans="1:21" ht="26.25" customHeight="1" x14ac:dyDescent="0.25">
      <c r="A1" s="190" t="s">
        <v>451</v>
      </c>
      <c r="B1" s="191"/>
      <c r="C1" s="191"/>
      <c r="D1" s="191"/>
      <c r="E1" s="191"/>
      <c r="F1" s="191"/>
      <c r="G1" s="191"/>
      <c r="H1" s="191"/>
      <c r="I1" s="191"/>
    </row>
    <row r="2" spans="1:21" ht="21" customHeight="1" x14ac:dyDescent="0.25">
      <c r="A2" s="183" t="s">
        <v>292</v>
      </c>
      <c r="B2" s="184"/>
      <c r="C2" s="184"/>
      <c r="D2" s="184"/>
      <c r="E2" s="184"/>
      <c r="F2" s="184"/>
      <c r="G2" s="184"/>
      <c r="H2" s="184"/>
      <c r="I2" s="184"/>
    </row>
    <row r="3" spans="1:21" ht="48" customHeight="1" x14ac:dyDescent="0.25">
      <c r="A3" s="1" t="s">
        <v>3</v>
      </c>
      <c r="B3" s="2" t="s">
        <v>23</v>
      </c>
      <c r="C3" s="2" t="s">
        <v>24</v>
      </c>
      <c r="D3" s="2" t="s">
        <v>11</v>
      </c>
      <c r="E3" s="2" t="s">
        <v>6</v>
      </c>
      <c r="F3" s="2" t="s">
        <v>25</v>
      </c>
      <c r="G3" s="2" t="s">
        <v>244</v>
      </c>
      <c r="H3" s="2" t="s">
        <v>245</v>
      </c>
      <c r="I3" s="2" t="s">
        <v>246</v>
      </c>
    </row>
    <row r="4" spans="1:21" s="17" customFormat="1" ht="17.25" customHeight="1" x14ac:dyDescent="0.25">
      <c r="A4" s="9" t="s">
        <v>37</v>
      </c>
      <c r="B4" s="10" t="s">
        <v>41</v>
      </c>
      <c r="C4" s="11" t="s">
        <v>42</v>
      </c>
      <c r="D4" s="12"/>
      <c r="E4" s="13"/>
      <c r="F4" s="14" t="s">
        <v>43</v>
      </c>
      <c r="G4" s="15">
        <f>G5+G28</f>
        <v>86760584949</v>
      </c>
      <c r="H4" s="15">
        <f>H5+H28</f>
        <v>8676058494.8999996</v>
      </c>
      <c r="I4" s="15">
        <f>I5+I28</f>
        <v>95436643443.899994</v>
      </c>
      <c r="J4" s="16" t="s">
        <v>33</v>
      </c>
      <c r="K4" s="15">
        <v>5800000</v>
      </c>
    </row>
    <row r="5" spans="1:21" s="26" customFormat="1" ht="18.75" customHeight="1" x14ac:dyDescent="0.25">
      <c r="A5" s="18" t="s">
        <v>44</v>
      </c>
      <c r="B5" s="19" t="s">
        <v>247</v>
      </c>
      <c r="C5" s="20" t="s">
        <v>33</v>
      </c>
      <c r="D5" s="21"/>
      <c r="E5" s="22"/>
      <c r="F5" s="23" t="s">
        <v>375</v>
      </c>
      <c r="G5" s="46">
        <f>SUM(G6:G27)</f>
        <v>86760584949</v>
      </c>
      <c r="H5" s="24">
        <f>G5*10%</f>
        <v>8676058494.8999996</v>
      </c>
      <c r="I5" s="24">
        <f>G5+H5</f>
        <v>95436643443.899994</v>
      </c>
      <c r="J5" s="25" t="s">
        <v>30</v>
      </c>
      <c r="K5" s="15"/>
    </row>
    <row r="6" spans="1:21" s="26" customFormat="1" ht="18.75" customHeight="1" x14ac:dyDescent="0.25">
      <c r="A6" s="18"/>
      <c r="B6" s="27" t="s">
        <v>409</v>
      </c>
      <c r="C6" s="28" t="s">
        <v>249</v>
      </c>
      <c r="D6" s="21"/>
      <c r="E6" s="22"/>
      <c r="F6" s="44" t="s">
        <v>417</v>
      </c>
      <c r="G6" s="45">
        <f>+K6*K4</f>
        <v>8850800000</v>
      </c>
      <c r="H6" s="45">
        <f t="shared" ref="H6:H28" si="0">G6*10%</f>
        <v>885080000</v>
      </c>
      <c r="I6" s="45">
        <f t="shared" ref="I6:I21" si="1">G6+H6</f>
        <v>9735880000</v>
      </c>
      <c r="J6" s="25"/>
      <c r="K6" s="84">
        <v>1526</v>
      </c>
      <c r="L6" s="73">
        <v>757</v>
      </c>
    </row>
    <row r="7" spans="1:21" s="26" customFormat="1" ht="18.75" customHeight="1" x14ac:dyDescent="0.25">
      <c r="A7" s="18"/>
      <c r="B7" s="27" t="s">
        <v>410</v>
      </c>
      <c r="C7" s="28" t="s">
        <v>260</v>
      </c>
      <c r="D7" s="21"/>
      <c r="E7" s="22"/>
      <c r="F7" s="44" t="s">
        <v>418</v>
      </c>
      <c r="G7" s="45">
        <f>+K7*K4</f>
        <v>11107000000</v>
      </c>
      <c r="H7" s="45">
        <f>G7*10%</f>
        <v>1110700000</v>
      </c>
      <c r="I7" s="45">
        <f>G7+H7</f>
        <v>12217700000</v>
      </c>
      <c r="J7" s="25"/>
      <c r="K7" s="84">
        <v>1915</v>
      </c>
      <c r="L7" s="73">
        <v>224</v>
      </c>
    </row>
    <row r="8" spans="1:21" s="26" customFormat="1" ht="18.75" customHeight="1" x14ac:dyDescent="0.25">
      <c r="A8" s="18"/>
      <c r="B8" s="27" t="s">
        <v>411</v>
      </c>
      <c r="C8" s="28" t="s">
        <v>261</v>
      </c>
      <c r="D8" s="21"/>
      <c r="E8" s="22"/>
      <c r="F8" s="44" t="s">
        <v>419</v>
      </c>
      <c r="G8" s="45">
        <f>+K8*K4</f>
        <v>10846000000</v>
      </c>
      <c r="H8" s="45">
        <f t="shared" si="0"/>
        <v>1084600000</v>
      </c>
      <c r="I8" s="45">
        <f t="shared" si="1"/>
        <v>11930600000</v>
      </c>
      <c r="J8" s="25"/>
      <c r="K8" s="84">
        <v>1870</v>
      </c>
      <c r="L8" s="26">
        <v>220</v>
      </c>
      <c r="O8" s="26">
        <f>300000/1.1</f>
        <v>272727.27272727271</v>
      </c>
    </row>
    <row r="9" spans="1:21" s="26" customFormat="1" ht="18.75" customHeight="1" x14ac:dyDescent="0.25">
      <c r="A9" s="18"/>
      <c r="B9" s="27" t="s">
        <v>413</v>
      </c>
      <c r="C9" s="28" t="s">
        <v>262</v>
      </c>
      <c r="D9" s="21"/>
      <c r="E9" s="22"/>
      <c r="F9" s="44" t="s">
        <v>420</v>
      </c>
      <c r="G9" s="45">
        <f>+K9*K4</f>
        <v>7400800000</v>
      </c>
      <c r="H9" s="45">
        <f t="shared" si="0"/>
        <v>740080000</v>
      </c>
      <c r="I9" s="45">
        <f t="shared" si="1"/>
        <v>8140880000</v>
      </c>
      <c r="J9" s="25"/>
      <c r="K9" s="84">
        <v>1276</v>
      </c>
      <c r="L9" s="26">
        <v>535</v>
      </c>
    </row>
    <row r="10" spans="1:21" s="26" customFormat="1" ht="18.75" customHeight="1" x14ac:dyDescent="0.25">
      <c r="A10" s="18"/>
      <c r="B10" s="27" t="s">
        <v>412</v>
      </c>
      <c r="C10" s="28" t="s">
        <v>299</v>
      </c>
      <c r="D10" s="21"/>
      <c r="E10" s="22"/>
      <c r="F10" s="44" t="s">
        <v>421</v>
      </c>
      <c r="G10" s="45">
        <f>+K10*K4</f>
        <v>20508800000</v>
      </c>
      <c r="H10" s="45">
        <f t="shared" si="0"/>
        <v>2050880000</v>
      </c>
      <c r="I10" s="45">
        <f t="shared" si="1"/>
        <v>22559680000</v>
      </c>
      <c r="J10" s="25"/>
      <c r="K10" s="84">
        <v>3536</v>
      </c>
      <c r="O10" s="46">
        <f>4784*6000000</f>
        <v>28704000000</v>
      </c>
    </row>
    <row r="11" spans="1:21" s="26" customFormat="1" ht="18.75" customHeight="1" x14ac:dyDescent="0.25">
      <c r="A11" s="18"/>
      <c r="B11" s="27" t="s">
        <v>414</v>
      </c>
      <c r="C11" s="28" t="s">
        <v>299</v>
      </c>
      <c r="D11" s="21"/>
      <c r="E11" s="22"/>
      <c r="F11" s="44" t="s">
        <v>422</v>
      </c>
      <c r="G11" s="45">
        <f>+K11*K4</f>
        <v>9349600000</v>
      </c>
      <c r="H11" s="45">
        <f>G11*10%</f>
        <v>934960000</v>
      </c>
      <c r="I11" s="45">
        <f>G11+H11</f>
        <v>10284560000</v>
      </c>
      <c r="J11" s="25"/>
      <c r="K11" s="84">
        <v>1612</v>
      </c>
      <c r="O11" s="86"/>
    </row>
    <row r="12" spans="1:21" s="26" customFormat="1" ht="18.75" customHeight="1" x14ac:dyDescent="0.25">
      <c r="A12" s="18"/>
      <c r="B12" s="27" t="s">
        <v>415</v>
      </c>
      <c r="C12" s="28" t="s">
        <v>385</v>
      </c>
      <c r="D12" s="21"/>
      <c r="E12" s="22"/>
      <c r="F12" s="44" t="s">
        <v>424</v>
      </c>
      <c r="G12" s="45">
        <f>+K12*4500000</f>
        <v>5346000000</v>
      </c>
      <c r="H12" s="45">
        <f t="shared" si="0"/>
        <v>534600000</v>
      </c>
      <c r="I12" s="45">
        <f t="shared" si="1"/>
        <v>5880600000</v>
      </c>
      <c r="J12" s="25"/>
      <c r="K12" s="84">
        <v>1188</v>
      </c>
      <c r="L12" s="26">
        <v>45</v>
      </c>
    </row>
    <row r="13" spans="1:21" s="26" customFormat="1" ht="18.75" customHeight="1" x14ac:dyDescent="0.25">
      <c r="A13" s="18"/>
      <c r="B13" s="27" t="s">
        <v>351</v>
      </c>
      <c r="C13" s="28" t="s">
        <v>386</v>
      </c>
      <c r="D13" s="21"/>
      <c r="E13" s="22"/>
      <c r="F13" s="44" t="s">
        <v>423</v>
      </c>
      <c r="G13" s="45">
        <f>+K13*6500000</f>
        <v>156000000</v>
      </c>
      <c r="H13" s="45">
        <f t="shared" si="0"/>
        <v>15600000</v>
      </c>
      <c r="I13" s="45">
        <f t="shared" si="1"/>
        <v>171600000</v>
      </c>
      <c r="J13" s="25"/>
      <c r="K13" s="84">
        <v>24</v>
      </c>
      <c r="L13" s="26">
        <v>20</v>
      </c>
    </row>
    <row r="14" spans="1:21" s="26" customFormat="1" ht="18.75" customHeight="1" x14ac:dyDescent="0.25">
      <c r="A14" s="18"/>
      <c r="B14" s="27" t="s">
        <v>339</v>
      </c>
      <c r="C14" s="28" t="s">
        <v>336</v>
      </c>
      <c r="D14" s="21"/>
      <c r="E14" s="22"/>
      <c r="F14" s="44" t="s">
        <v>400</v>
      </c>
      <c r="G14" s="45">
        <f>+K14*150000</f>
        <v>497200499.99999994</v>
      </c>
      <c r="H14" s="45">
        <f t="shared" si="0"/>
        <v>49720050</v>
      </c>
      <c r="I14" s="45">
        <f t="shared" si="1"/>
        <v>546920550</v>
      </c>
      <c r="J14" s="25"/>
      <c r="K14" s="73">
        <f>11048.9*0.3</f>
        <v>3314.6699999999996</v>
      </c>
      <c r="L14" s="26">
        <f>SUM(L6:L13)</f>
        <v>1801</v>
      </c>
      <c r="O14" s="45">
        <v>9150.5</v>
      </c>
      <c r="P14" s="45">
        <v>2761</v>
      </c>
      <c r="Q14" s="45"/>
      <c r="R14" s="45"/>
      <c r="S14" s="45"/>
      <c r="T14" s="45"/>
      <c r="U14" s="45"/>
    </row>
    <row r="15" spans="1:21" s="26" customFormat="1" ht="18.75" customHeight="1" x14ac:dyDescent="0.25">
      <c r="A15" s="18"/>
      <c r="B15" s="27" t="s">
        <v>363</v>
      </c>
      <c r="C15" s="28" t="s">
        <v>397</v>
      </c>
      <c r="D15" s="21"/>
      <c r="E15" s="22"/>
      <c r="F15" s="44" t="s">
        <v>401</v>
      </c>
      <c r="G15" s="45">
        <f>+K15*350000</f>
        <v>2008300000</v>
      </c>
      <c r="H15" s="45">
        <f t="shared" si="0"/>
        <v>200830000</v>
      </c>
      <c r="I15" s="45">
        <f t="shared" si="1"/>
        <v>2209130000</v>
      </c>
      <c r="J15" s="25"/>
      <c r="K15" s="84">
        <v>5738</v>
      </c>
      <c r="L15" s="84">
        <f>11048.9-K6*2/4-K8/4-K9/4-K10/2-K13</f>
        <v>7707.4</v>
      </c>
      <c r="O15" s="45" t="s">
        <v>340</v>
      </c>
      <c r="P15" s="45">
        <v>810</v>
      </c>
      <c r="Q15" s="45"/>
      <c r="R15" s="45"/>
      <c r="S15" s="45"/>
      <c r="T15" s="45"/>
      <c r="U15" s="45"/>
    </row>
    <row r="16" spans="1:21" s="26" customFormat="1" ht="18.75" customHeight="1" x14ac:dyDescent="0.25">
      <c r="A16" s="18"/>
      <c r="B16" s="27" t="s">
        <v>406</v>
      </c>
      <c r="C16" s="28" t="s">
        <v>337</v>
      </c>
      <c r="D16" s="21"/>
      <c r="E16" s="22"/>
      <c r="F16" s="44" t="s">
        <v>407</v>
      </c>
      <c r="G16" s="45">
        <f>+K16*2500000</f>
        <v>1015000000</v>
      </c>
      <c r="H16" s="45">
        <f t="shared" si="0"/>
        <v>101500000</v>
      </c>
      <c r="I16" s="45">
        <f t="shared" si="1"/>
        <v>1116500000</v>
      </c>
      <c r="J16" s="25"/>
      <c r="K16" s="73">
        <f>260+146</f>
        <v>406</v>
      </c>
      <c r="O16" s="45" t="s">
        <v>340</v>
      </c>
      <c r="P16" s="45">
        <v>810</v>
      </c>
      <c r="Q16" s="45"/>
      <c r="R16" s="45"/>
      <c r="S16" s="45"/>
      <c r="T16" s="45"/>
      <c r="U16" s="45"/>
    </row>
    <row r="17" spans="1:21" s="26" customFormat="1" ht="18.75" customHeight="1" x14ac:dyDescent="0.25">
      <c r="A17" s="18"/>
      <c r="B17" s="27" t="s">
        <v>405</v>
      </c>
      <c r="C17" s="28" t="s">
        <v>338</v>
      </c>
      <c r="D17" s="21"/>
      <c r="E17" s="22"/>
      <c r="F17" s="44" t="s">
        <v>396</v>
      </c>
      <c r="G17" s="45">
        <f>2*100000000</f>
        <v>200000000</v>
      </c>
      <c r="H17" s="45">
        <f t="shared" si="0"/>
        <v>20000000</v>
      </c>
      <c r="I17" s="45">
        <f t="shared" si="1"/>
        <v>220000000</v>
      </c>
      <c r="J17" s="25"/>
      <c r="K17" s="73">
        <v>2</v>
      </c>
      <c r="O17" s="45" t="s">
        <v>340</v>
      </c>
      <c r="P17" s="45">
        <v>810</v>
      </c>
      <c r="Q17" s="45"/>
      <c r="R17" s="45"/>
      <c r="S17" s="45"/>
      <c r="T17" s="45"/>
      <c r="U17" s="45"/>
    </row>
    <row r="18" spans="1:21" s="26" customFormat="1" ht="18.75" customHeight="1" x14ac:dyDescent="0.25">
      <c r="A18" s="18"/>
      <c r="B18" s="27" t="s">
        <v>347</v>
      </c>
      <c r="C18" s="28" t="s">
        <v>353</v>
      </c>
      <c r="D18" s="21"/>
      <c r="E18" s="22"/>
      <c r="F18" s="44" t="s">
        <v>402</v>
      </c>
      <c r="G18" s="45">
        <f>+K18*1000000</f>
        <v>530000000</v>
      </c>
      <c r="H18" s="45">
        <f t="shared" si="0"/>
        <v>53000000</v>
      </c>
      <c r="I18" s="45">
        <f t="shared" si="1"/>
        <v>583000000</v>
      </c>
      <c r="J18" s="25"/>
      <c r="K18" s="73">
        <v>530</v>
      </c>
      <c r="O18" s="45" t="s">
        <v>340</v>
      </c>
      <c r="P18" s="45">
        <v>810</v>
      </c>
      <c r="Q18" s="45"/>
      <c r="R18" s="45"/>
      <c r="S18" s="45"/>
      <c r="T18" s="45"/>
      <c r="U18" s="45"/>
    </row>
    <row r="19" spans="1:21" s="26" customFormat="1" ht="18.75" customHeight="1" x14ac:dyDescent="0.25">
      <c r="A19" s="18"/>
      <c r="B19" s="27" t="s">
        <v>348</v>
      </c>
      <c r="C19" s="28" t="s">
        <v>354</v>
      </c>
      <c r="D19" s="21"/>
      <c r="E19" s="22"/>
      <c r="F19" s="44" t="s">
        <v>403</v>
      </c>
      <c r="G19" s="45">
        <f>+K19*250000</f>
        <v>383875000</v>
      </c>
      <c r="H19" s="45">
        <f t="shared" si="0"/>
        <v>38387500</v>
      </c>
      <c r="I19" s="45">
        <f t="shared" si="1"/>
        <v>422262500</v>
      </c>
      <c r="J19" s="25"/>
      <c r="K19" s="84">
        <f>[1]Sheet1!$F$126/2</f>
        <v>1535.5</v>
      </c>
      <c r="O19" s="45" t="s">
        <v>340</v>
      </c>
      <c r="P19" s="45">
        <v>810</v>
      </c>
      <c r="Q19" s="45"/>
      <c r="R19" s="45"/>
      <c r="S19" s="45"/>
      <c r="T19" s="45"/>
      <c r="U19" s="45"/>
    </row>
    <row r="20" spans="1:21" s="26" customFormat="1" ht="18.75" customHeight="1" x14ac:dyDescent="0.25">
      <c r="A20" s="18"/>
      <c r="B20" s="27" t="s">
        <v>349</v>
      </c>
      <c r="C20" s="28" t="s">
        <v>355</v>
      </c>
      <c r="D20" s="21"/>
      <c r="E20" s="22"/>
      <c r="F20" s="44" t="s">
        <v>374</v>
      </c>
      <c r="G20" s="45">
        <v>500000000</v>
      </c>
      <c r="H20" s="45">
        <f t="shared" si="0"/>
        <v>50000000</v>
      </c>
      <c r="I20" s="45">
        <f t="shared" si="1"/>
        <v>550000000</v>
      </c>
      <c r="J20" s="25"/>
      <c r="K20" s="73">
        <v>970</v>
      </c>
      <c r="O20" s="45" t="s">
        <v>340</v>
      </c>
      <c r="P20" s="45">
        <v>810</v>
      </c>
      <c r="Q20" s="45"/>
      <c r="R20" s="45"/>
      <c r="S20" s="45"/>
      <c r="T20" s="45"/>
      <c r="U20" s="45"/>
    </row>
    <row r="21" spans="1:21" s="26" customFormat="1" ht="18.75" customHeight="1" x14ac:dyDescent="0.25">
      <c r="A21" s="18"/>
      <c r="B21" s="27" t="s">
        <v>350</v>
      </c>
      <c r="C21" s="28" t="s">
        <v>356</v>
      </c>
      <c r="D21" s="21"/>
      <c r="E21" s="22"/>
      <c r="F21" s="44" t="s">
        <v>399</v>
      </c>
      <c r="G21" s="45">
        <v>760000000</v>
      </c>
      <c r="H21" s="45">
        <f t="shared" si="0"/>
        <v>76000000</v>
      </c>
      <c r="I21" s="45">
        <f t="shared" si="1"/>
        <v>836000000</v>
      </c>
      <c r="J21" s="25"/>
      <c r="K21" s="73">
        <v>970</v>
      </c>
      <c r="O21" s="45" t="s">
        <v>340</v>
      </c>
      <c r="P21" s="45">
        <v>810</v>
      </c>
      <c r="Q21" s="45"/>
      <c r="R21" s="45"/>
      <c r="S21" s="45"/>
      <c r="T21" s="45"/>
      <c r="U21" s="45"/>
    </row>
    <row r="22" spans="1:21" s="26" customFormat="1" ht="18.75" customHeight="1" x14ac:dyDescent="0.25">
      <c r="A22" s="18"/>
      <c r="B22" s="27" t="s">
        <v>265</v>
      </c>
      <c r="C22" s="28" t="s">
        <v>357</v>
      </c>
      <c r="D22" s="21"/>
      <c r="E22" s="22"/>
      <c r="F22" s="92" t="s">
        <v>365</v>
      </c>
      <c r="G22" s="45">
        <f>+'[2]THKP hạng mục'!$H$19</f>
        <v>867299409</v>
      </c>
      <c r="H22" s="45">
        <f t="shared" si="0"/>
        <v>86729940.900000006</v>
      </c>
      <c r="I22" s="45">
        <f>G22+H22</f>
        <v>954029349.89999998</v>
      </c>
      <c r="J22" s="25"/>
      <c r="K22" s="73"/>
      <c r="N22" s="70"/>
      <c r="O22" s="45" t="s">
        <v>341</v>
      </c>
      <c r="P22" s="45">
        <f>68.6*2</f>
        <v>137.19999999999999</v>
      </c>
      <c r="Q22" s="45"/>
      <c r="R22" s="45"/>
      <c r="S22" s="45"/>
      <c r="T22" s="45"/>
      <c r="U22" s="45"/>
    </row>
    <row r="23" spans="1:21" s="26" customFormat="1" ht="18.75" customHeight="1" x14ac:dyDescent="0.25">
      <c r="A23" s="18"/>
      <c r="B23" s="27" t="s">
        <v>352</v>
      </c>
      <c r="C23" s="28" t="s">
        <v>358</v>
      </c>
      <c r="D23" s="21"/>
      <c r="E23" s="22"/>
      <c r="F23" s="44" t="s">
        <v>408</v>
      </c>
      <c r="G23" s="45">
        <f>+K23*2000000</f>
        <v>760000000</v>
      </c>
      <c r="H23" s="45">
        <f t="shared" si="0"/>
        <v>76000000</v>
      </c>
      <c r="I23" s="45">
        <f t="shared" ref="I23:I28" si="2">G23+H23</f>
        <v>836000000</v>
      </c>
      <c r="J23" s="25"/>
      <c r="K23" s="73">
        <f>[3]Sheet2!$E$19</f>
        <v>380</v>
      </c>
      <c r="O23" s="45" t="s">
        <v>342</v>
      </c>
      <c r="P23" s="45">
        <v>68.16</v>
      </c>
      <c r="Q23" s="45"/>
      <c r="R23" s="45"/>
      <c r="S23" s="45"/>
      <c r="T23" s="45"/>
      <c r="U23" s="45"/>
    </row>
    <row r="24" spans="1:21" s="96" customFormat="1" ht="18.75" customHeight="1" x14ac:dyDescent="0.25">
      <c r="A24" s="98"/>
      <c r="B24" s="88" t="s">
        <v>293</v>
      </c>
      <c r="C24" s="89" t="s">
        <v>359</v>
      </c>
      <c r="D24" s="99"/>
      <c r="E24" s="100"/>
      <c r="F24" s="92" t="s">
        <v>365</v>
      </c>
      <c r="G24" s="93">
        <f>+'[4]THKP hạng mục'!$H$17</f>
        <v>4184728694</v>
      </c>
      <c r="H24" s="93">
        <f t="shared" si="0"/>
        <v>418472869.40000004</v>
      </c>
      <c r="I24" s="93">
        <f t="shared" si="2"/>
        <v>4603201563.3999996</v>
      </c>
      <c r="J24" s="94"/>
      <c r="K24" s="102">
        <f>+K6+K7+K8+K9+K10</f>
        <v>10123</v>
      </c>
      <c r="O24" s="93" t="s">
        <v>342</v>
      </c>
      <c r="P24" s="93">
        <v>68.16</v>
      </c>
      <c r="Q24" s="93"/>
      <c r="R24" s="93"/>
      <c r="S24" s="93"/>
      <c r="T24" s="93"/>
      <c r="U24" s="93"/>
    </row>
    <row r="25" spans="1:21" s="26" customFormat="1" ht="18.75" customHeight="1" x14ac:dyDescent="0.25">
      <c r="A25" s="18"/>
      <c r="B25" s="27" t="s">
        <v>454</v>
      </c>
      <c r="C25" s="28" t="s">
        <v>360</v>
      </c>
      <c r="D25" s="21"/>
      <c r="E25" s="22"/>
      <c r="F25" s="44" t="s">
        <v>365</v>
      </c>
      <c r="G25" s="45">
        <f>'[5]THKP hạng mục'!$H$21</f>
        <v>822925124</v>
      </c>
      <c r="H25" s="45">
        <f t="shared" si="0"/>
        <v>82292512.400000006</v>
      </c>
      <c r="I25" s="45">
        <f t="shared" si="2"/>
        <v>905217636.39999998</v>
      </c>
      <c r="J25" s="25"/>
      <c r="K25" s="84">
        <f>[1]Sheet1!$F$124</f>
        <v>1025</v>
      </c>
      <c r="O25" s="71" t="s">
        <v>343</v>
      </c>
      <c r="P25" s="45">
        <v>59.3</v>
      </c>
      <c r="Q25" s="45"/>
      <c r="R25" s="45"/>
      <c r="S25" s="45"/>
      <c r="T25" s="45"/>
      <c r="U25" s="45"/>
    </row>
    <row r="26" spans="1:21" s="26" customFormat="1" ht="18.75" customHeight="1" x14ac:dyDescent="0.25">
      <c r="A26" s="18"/>
      <c r="B26" s="27" t="s">
        <v>364</v>
      </c>
      <c r="C26" s="28" t="s">
        <v>361</v>
      </c>
      <c r="D26" s="21"/>
      <c r="E26" s="22"/>
      <c r="F26" s="44" t="s">
        <v>452</v>
      </c>
      <c r="G26" s="45">
        <v>15000000</v>
      </c>
      <c r="H26" s="45">
        <f t="shared" si="0"/>
        <v>1500000</v>
      </c>
      <c r="I26" s="45">
        <f t="shared" si="2"/>
        <v>16500000</v>
      </c>
      <c r="J26" s="25"/>
      <c r="O26" s="71" t="s">
        <v>343</v>
      </c>
      <c r="P26" s="45">
        <v>59.3</v>
      </c>
      <c r="Q26" s="45"/>
      <c r="R26" s="45"/>
      <c r="S26" s="45"/>
      <c r="T26" s="45"/>
      <c r="U26" s="45"/>
    </row>
    <row r="27" spans="1:21" s="96" customFormat="1" ht="18.75" customHeight="1" x14ac:dyDescent="0.25">
      <c r="A27" s="98"/>
      <c r="B27" s="88" t="s">
        <v>298</v>
      </c>
      <c r="C27" s="89" t="s">
        <v>362</v>
      </c>
      <c r="D27" s="99"/>
      <c r="E27" s="100"/>
      <c r="F27" s="92" t="s">
        <v>179</v>
      </c>
      <c r="G27" s="93">
        <f>+'[6]TH chi phi XD'!$I$40</f>
        <v>651256222</v>
      </c>
      <c r="H27" s="93">
        <f t="shared" si="0"/>
        <v>65125622.200000003</v>
      </c>
      <c r="I27" s="93">
        <f t="shared" si="2"/>
        <v>716381844.20000005</v>
      </c>
      <c r="J27" s="94"/>
      <c r="O27" s="101" t="s">
        <v>343</v>
      </c>
      <c r="P27" s="93">
        <v>59.3</v>
      </c>
      <c r="Q27" s="93"/>
      <c r="R27" s="93"/>
      <c r="S27" s="93"/>
      <c r="T27" s="93"/>
      <c r="U27" s="93"/>
    </row>
    <row r="28" spans="1:21" s="26" customFormat="1" ht="31.5" hidden="1" customHeight="1" x14ac:dyDescent="0.25">
      <c r="A28" s="18" t="s">
        <v>45</v>
      </c>
      <c r="B28" s="19" t="s">
        <v>46</v>
      </c>
      <c r="C28" s="28" t="s">
        <v>387</v>
      </c>
      <c r="D28" s="21">
        <v>0</v>
      </c>
      <c r="E28" s="22"/>
      <c r="F28" s="23" t="s">
        <v>291</v>
      </c>
      <c r="G28" s="24">
        <f>G5*0%</f>
        <v>0</v>
      </c>
      <c r="H28" s="24">
        <f t="shared" si="0"/>
        <v>0</v>
      </c>
      <c r="I28" s="24">
        <f t="shared" si="2"/>
        <v>0</v>
      </c>
      <c r="J28" s="25" t="s">
        <v>31</v>
      </c>
      <c r="K28" s="57"/>
      <c r="O28" s="45"/>
      <c r="P28" s="45"/>
      <c r="Q28" s="45"/>
      <c r="R28" s="45"/>
      <c r="S28" s="45"/>
      <c r="T28" s="45"/>
      <c r="U28" s="45"/>
    </row>
    <row r="29" spans="1:21" s="26" customFormat="1" ht="17.25" customHeight="1" x14ac:dyDescent="0.25">
      <c r="A29" s="29" t="s">
        <v>38</v>
      </c>
      <c r="B29" s="30" t="s">
        <v>47</v>
      </c>
      <c r="C29" s="31" t="s">
        <v>48</v>
      </c>
      <c r="D29" s="32"/>
      <c r="E29" s="33"/>
      <c r="F29" s="23" t="s">
        <v>393</v>
      </c>
      <c r="G29" s="35">
        <f>SUM(G30:G35)</f>
        <v>13875492494.686138</v>
      </c>
      <c r="H29" s="35">
        <f>SUM(H30:H35)</f>
        <v>1387549249.4686136</v>
      </c>
      <c r="I29" s="35">
        <f>SUM(I30:I35)</f>
        <v>15263041744.154751</v>
      </c>
      <c r="J29" s="25" t="s">
        <v>48</v>
      </c>
      <c r="K29" s="26">
        <f>84+15.3</f>
        <v>99.3</v>
      </c>
      <c r="O29" s="45"/>
      <c r="P29" s="45">
        <f>119*2</f>
        <v>238</v>
      </c>
      <c r="Q29" s="45"/>
      <c r="R29" s="45">
        <f>583+384</f>
        <v>967</v>
      </c>
      <c r="S29" s="45"/>
      <c r="T29" s="45"/>
      <c r="U29" s="45"/>
    </row>
    <row r="30" spans="1:21" s="96" customFormat="1" ht="17.25" customHeight="1" x14ac:dyDescent="0.25">
      <c r="A30" s="87"/>
      <c r="B30" s="88" t="s">
        <v>335</v>
      </c>
      <c r="C30" s="89" t="s">
        <v>295</v>
      </c>
      <c r="D30" s="90"/>
      <c r="E30" s="91"/>
      <c r="F30" s="92" t="s">
        <v>365</v>
      </c>
      <c r="G30" s="93">
        <f>+'[6]TH chi phi TB'!$F$26</f>
        <v>1154637712</v>
      </c>
      <c r="H30" s="93">
        <f t="shared" ref="H30:H35" si="3">+G30*10%</f>
        <v>115463771.2</v>
      </c>
      <c r="I30" s="93">
        <f>+G30+H30</f>
        <v>1270101483.2</v>
      </c>
      <c r="J30" s="94"/>
      <c r="K30" s="95"/>
      <c r="O30" s="93"/>
      <c r="P30" s="93">
        <f>6.16*10</f>
        <v>61.6</v>
      </c>
      <c r="Q30" s="93"/>
      <c r="R30" s="93"/>
      <c r="S30" s="93"/>
      <c r="T30" s="93"/>
      <c r="U30" s="93"/>
    </row>
    <row r="31" spans="1:21" s="96" customFormat="1" ht="17.25" customHeight="1" x14ac:dyDescent="0.25">
      <c r="A31" s="87"/>
      <c r="B31" s="88" t="s">
        <v>294</v>
      </c>
      <c r="C31" s="89" t="s">
        <v>297</v>
      </c>
      <c r="D31" s="90"/>
      <c r="E31" s="91"/>
      <c r="F31" s="92" t="s">
        <v>365</v>
      </c>
      <c r="G31" s="93">
        <f>+'[4]TH chi phí TB'!$F$11</f>
        <v>400060000</v>
      </c>
      <c r="H31" s="93">
        <f t="shared" si="3"/>
        <v>40006000</v>
      </c>
      <c r="I31" s="93">
        <f>+H31+G31</f>
        <v>440066000</v>
      </c>
      <c r="J31" s="94"/>
      <c r="K31" s="95"/>
      <c r="N31" s="97"/>
      <c r="O31" s="93"/>
      <c r="P31" s="93">
        <f>9.14*8</f>
        <v>73.12</v>
      </c>
      <c r="Q31" s="93"/>
      <c r="R31" s="93"/>
      <c r="S31" s="93"/>
      <c r="T31" s="93"/>
      <c r="U31" s="93"/>
    </row>
    <row r="32" spans="1:21" s="96" customFormat="1" ht="17.25" customHeight="1" x14ac:dyDescent="0.25">
      <c r="A32" s="87"/>
      <c r="B32" s="88" t="s">
        <v>389</v>
      </c>
      <c r="C32" s="89" t="s">
        <v>300</v>
      </c>
      <c r="D32" s="90"/>
      <c r="E32" s="91"/>
      <c r="F32" s="92" t="s">
        <v>365</v>
      </c>
      <c r="G32" s="93">
        <f>+[7]!THCP_G</f>
        <v>426653873.59522909</v>
      </c>
      <c r="H32" s="93">
        <f t="shared" si="3"/>
        <v>42665387.359522909</v>
      </c>
      <c r="I32" s="93">
        <f>+H32+G32</f>
        <v>469319260.95475197</v>
      </c>
      <c r="J32" s="94"/>
      <c r="K32" s="95"/>
      <c r="N32" s="97"/>
      <c r="O32" s="93"/>
      <c r="P32" s="93"/>
      <c r="Q32" s="93"/>
      <c r="R32" s="93"/>
      <c r="S32" s="93"/>
      <c r="T32" s="93"/>
      <c r="U32" s="93"/>
    </row>
    <row r="33" spans="1:21" s="26" customFormat="1" ht="17.25" customHeight="1" x14ac:dyDescent="0.25">
      <c r="A33" s="29"/>
      <c r="B33" s="27" t="s">
        <v>394</v>
      </c>
      <c r="C33" s="28" t="s">
        <v>390</v>
      </c>
      <c r="D33" s="32"/>
      <c r="E33" s="33"/>
      <c r="F33" s="44" t="s">
        <v>179</v>
      </c>
      <c r="G33" s="45">
        <f>1500000000/1.1</f>
        <v>1363636363.6363635</v>
      </c>
      <c r="H33" s="45">
        <f t="shared" si="3"/>
        <v>136363636.36363634</v>
      </c>
      <c r="I33" s="45">
        <f>+H33+G33</f>
        <v>1499999999.9999998</v>
      </c>
      <c r="J33" s="25"/>
      <c r="K33" s="17"/>
      <c r="N33" s="70"/>
      <c r="O33" s="45"/>
      <c r="P33" s="45"/>
      <c r="Q33" s="45"/>
      <c r="R33" s="45"/>
      <c r="S33" s="45"/>
      <c r="T33" s="45"/>
      <c r="U33" s="45"/>
    </row>
    <row r="34" spans="1:21" s="26" customFormat="1" ht="17.25" customHeight="1" x14ac:dyDescent="0.25">
      <c r="A34" s="29"/>
      <c r="B34" s="27" t="s">
        <v>296</v>
      </c>
      <c r="C34" s="28" t="s">
        <v>391</v>
      </c>
      <c r="D34" s="32"/>
      <c r="E34" s="33"/>
      <c r="F34" s="44" t="s">
        <v>179</v>
      </c>
      <c r="G34" s="45">
        <f>150000000/1.1</f>
        <v>136363636.36363634</v>
      </c>
      <c r="H34" s="45">
        <f t="shared" si="3"/>
        <v>13636363.636363635</v>
      </c>
      <c r="I34" s="45">
        <f>+H34+G34</f>
        <v>149999999.99999997</v>
      </c>
      <c r="J34" s="25"/>
      <c r="K34" s="17"/>
      <c r="O34" s="45"/>
      <c r="P34" s="45">
        <f>4.59*2</f>
        <v>9.18</v>
      </c>
      <c r="Q34" s="45"/>
      <c r="R34" s="45"/>
      <c r="S34" s="45"/>
      <c r="T34" s="45"/>
      <c r="U34" s="45"/>
    </row>
    <row r="35" spans="1:21" s="26" customFormat="1" ht="17.25" customHeight="1" x14ac:dyDescent="0.25">
      <c r="A35" s="29"/>
      <c r="B35" s="27" t="s">
        <v>392</v>
      </c>
      <c r="C35" s="28" t="s">
        <v>395</v>
      </c>
      <c r="D35" s="32"/>
      <c r="E35" s="33"/>
      <c r="F35" s="44" t="s">
        <v>179</v>
      </c>
      <c r="G35" s="45">
        <f>+I35/1.1</f>
        <v>10394140909.090908</v>
      </c>
      <c r="H35" s="45">
        <f t="shared" si="3"/>
        <v>1039414090.9090909</v>
      </c>
      <c r="I35" s="45">
        <f>+'[8]Danh muc'!$F$459</f>
        <v>11433555000</v>
      </c>
      <c r="J35" s="25"/>
      <c r="K35" s="17"/>
      <c r="O35" s="45"/>
      <c r="P35" s="45">
        <f>4.59*2</f>
        <v>9.18</v>
      </c>
      <c r="Q35" s="45"/>
      <c r="R35" s="45"/>
      <c r="S35" s="45"/>
      <c r="T35" s="45"/>
      <c r="U35" s="45"/>
    </row>
    <row r="36" spans="1:21" s="26" customFormat="1" ht="18" customHeight="1" x14ac:dyDescent="0.25">
      <c r="A36" s="29" t="s">
        <v>39</v>
      </c>
      <c r="B36" s="30" t="s">
        <v>49</v>
      </c>
      <c r="C36" s="31" t="s">
        <v>50</v>
      </c>
      <c r="D36" s="32">
        <v>1.9179999999999999E-2</v>
      </c>
      <c r="E36" s="33"/>
      <c r="F36" s="34" t="str">
        <f>D36*100&amp;"% x (Gxd+Gtb)"</f>
        <v>1.918% x (Gxd+Gtb)</v>
      </c>
      <c r="G36" s="35">
        <f>ROUND(D36*(G5+G29),0)</f>
        <v>1930199965</v>
      </c>
      <c r="H36" s="35">
        <v>0</v>
      </c>
      <c r="I36" s="35">
        <f>G36+H36</f>
        <v>1930199965</v>
      </c>
      <c r="J36" s="25" t="s">
        <v>50</v>
      </c>
      <c r="K36" s="15">
        <f>+G5+G29</f>
        <v>100636077443.68614</v>
      </c>
      <c r="O36" s="45"/>
      <c r="P36" s="45">
        <f>4.9*15</f>
        <v>73.5</v>
      </c>
      <c r="Q36" s="45"/>
      <c r="R36" s="45"/>
      <c r="S36" s="45"/>
      <c r="T36" s="45"/>
      <c r="U36" s="45"/>
    </row>
    <row r="37" spans="1:21" s="26" customFormat="1" ht="17.25" customHeight="1" x14ac:dyDescent="0.25">
      <c r="A37" s="29" t="s">
        <v>51</v>
      </c>
      <c r="B37" s="30" t="s">
        <v>52</v>
      </c>
      <c r="C37" s="31" t="s">
        <v>53</v>
      </c>
      <c r="D37" s="32"/>
      <c r="E37" s="33"/>
      <c r="F37" s="63" t="s">
        <v>334</v>
      </c>
      <c r="G37" s="35">
        <f>SUM(G38:G53)</f>
        <v>6642747869.636363</v>
      </c>
      <c r="H37" s="35">
        <f>SUM(H38:H53)</f>
        <v>664274786.96363628</v>
      </c>
      <c r="I37" s="35">
        <f>SUM(I38:I53)</f>
        <v>7307022656.6000004</v>
      </c>
      <c r="J37" s="25" t="s">
        <v>53</v>
      </c>
      <c r="K37" s="15"/>
      <c r="O37" s="45" t="s">
        <v>344</v>
      </c>
      <c r="P37" s="45">
        <v>12</v>
      </c>
      <c r="Q37" s="45"/>
      <c r="R37" s="45"/>
      <c r="S37" s="45"/>
      <c r="T37" s="45"/>
      <c r="U37" s="45"/>
    </row>
    <row r="38" spans="1:21" s="26" customFormat="1" ht="15.5" x14ac:dyDescent="0.25">
      <c r="A38" s="49" t="s">
        <v>373</v>
      </c>
      <c r="B38" s="69" t="s">
        <v>398</v>
      </c>
      <c r="C38" s="50" t="s">
        <v>55</v>
      </c>
      <c r="D38" s="51"/>
      <c r="E38" s="52"/>
      <c r="F38" s="58" t="s">
        <v>179</v>
      </c>
      <c r="G38" s="53">
        <f>+I38/1.1</f>
        <v>62017873.636363633</v>
      </c>
      <c r="H38" s="53">
        <f>G38*10%</f>
        <v>6201787.3636363633</v>
      </c>
      <c r="I38" s="53">
        <f>+'[9]THKP hạng mục'!$H$34+'[10]Cho duoi 01'!$G$15</f>
        <v>68219661</v>
      </c>
      <c r="J38" s="25" t="s">
        <v>56</v>
      </c>
      <c r="K38" s="36"/>
      <c r="O38" s="45" t="s">
        <v>345</v>
      </c>
      <c r="P38" s="45">
        <v>30</v>
      </c>
      <c r="Q38" s="45"/>
      <c r="R38" s="45"/>
      <c r="S38" s="45"/>
      <c r="T38" s="45"/>
      <c r="U38" s="45"/>
    </row>
    <row r="39" spans="1:21" s="96" customFormat="1" ht="31" x14ac:dyDescent="0.25">
      <c r="A39" s="103" t="s">
        <v>54</v>
      </c>
      <c r="B39" s="104" t="s">
        <v>301</v>
      </c>
      <c r="C39" s="105" t="s">
        <v>55</v>
      </c>
      <c r="D39" s="108"/>
      <c r="E39" s="109"/>
      <c r="F39" s="110" t="s">
        <v>179</v>
      </c>
      <c r="G39" s="111">
        <f>+I39/1.1</f>
        <v>323754545.45454544</v>
      </c>
      <c r="H39" s="111">
        <f>G39*10%</f>
        <v>32375454.545454547</v>
      </c>
      <c r="I39" s="111">
        <v>356130000</v>
      </c>
      <c r="J39" s="94" t="s">
        <v>56</v>
      </c>
      <c r="K39" s="112"/>
      <c r="O39" s="93" t="s">
        <v>345</v>
      </c>
      <c r="P39" s="93">
        <v>30</v>
      </c>
      <c r="Q39" s="93"/>
      <c r="R39" s="93"/>
      <c r="S39" s="93"/>
      <c r="T39" s="93"/>
      <c r="U39" s="93"/>
    </row>
    <row r="40" spans="1:21" s="96" customFormat="1" ht="31" x14ac:dyDescent="0.25">
      <c r="A40" s="103" t="s">
        <v>57</v>
      </c>
      <c r="B40" s="104" t="s">
        <v>302</v>
      </c>
      <c r="C40" s="105" t="s">
        <v>58</v>
      </c>
      <c r="D40" s="108"/>
      <c r="E40" s="109"/>
      <c r="F40" s="110" t="s">
        <v>179</v>
      </c>
      <c r="G40" s="111">
        <f>+I40/1.1</f>
        <v>431499999.99999994</v>
      </c>
      <c r="H40" s="111">
        <f>G40*10%</f>
        <v>43150000</v>
      </c>
      <c r="I40" s="111">
        <v>474650000</v>
      </c>
      <c r="J40" s="94" t="s">
        <v>56</v>
      </c>
      <c r="K40" s="112"/>
      <c r="O40" s="93" t="s">
        <v>346</v>
      </c>
      <c r="P40" s="93">
        <v>220</v>
      </c>
      <c r="Q40" s="93"/>
      <c r="R40" s="93"/>
      <c r="S40" s="93"/>
      <c r="T40" s="93"/>
      <c r="U40" s="93"/>
    </row>
    <row r="41" spans="1:21" s="96" customFormat="1" ht="31" x14ac:dyDescent="0.25">
      <c r="A41" s="103" t="s">
        <v>59</v>
      </c>
      <c r="B41" s="104" t="s">
        <v>404</v>
      </c>
      <c r="C41" s="105" t="s">
        <v>278</v>
      </c>
      <c r="D41" s="99"/>
      <c r="E41" s="100"/>
      <c r="F41" s="106" t="s">
        <v>416</v>
      </c>
      <c r="G41" s="93">
        <f>+I41/1.1</f>
        <v>529516363.63636357</v>
      </c>
      <c r="H41" s="93">
        <f t="shared" ref="H41:H46" si="4">10%*G41</f>
        <v>52951636.36363636</v>
      </c>
      <c r="I41" s="93">
        <v>582468000</v>
      </c>
      <c r="J41" s="94" t="s">
        <v>67</v>
      </c>
      <c r="K41" s="93">
        <f>+(G5+G29)*0.808%</f>
        <v>813139505.74498403</v>
      </c>
      <c r="P41" s="107">
        <f>SUM(P14:P40)</f>
        <v>9639</v>
      </c>
    </row>
    <row r="42" spans="1:21" s="56" customFormat="1" ht="31" x14ac:dyDescent="0.25">
      <c r="A42" s="49" t="s">
        <v>60</v>
      </c>
      <c r="B42" s="59" t="s">
        <v>303</v>
      </c>
      <c r="C42" s="50" t="s">
        <v>279</v>
      </c>
      <c r="D42" s="21">
        <v>2.6009999999999998E-2</v>
      </c>
      <c r="E42" s="22"/>
      <c r="F42" s="74" t="str">
        <f>D42*100&amp;"% x (Gxd+Gtb)"</f>
        <v>2.601% x (Gxd+Gtb)</v>
      </c>
      <c r="G42" s="24">
        <f>ROUND(D42*(G5+G29),0)</f>
        <v>2617544374</v>
      </c>
      <c r="H42" s="24">
        <f t="shared" si="4"/>
        <v>261754437.40000001</v>
      </c>
      <c r="I42" s="24">
        <f t="shared" ref="I42:I51" si="5">G42+H42</f>
        <v>2879298811.4000001</v>
      </c>
      <c r="J42" s="55" t="s">
        <v>61</v>
      </c>
      <c r="K42" s="53"/>
      <c r="P42" s="72">
        <f>+O14-P41</f>
        <v>-488.5</v>
      </c>
    </row>
    <row r="43" spans="1:21" s="56" customFormat="1" ht="31" x14ac:dyDescent="0.25">
      <c r="A43" s="49" t="s">
        <v>62</v>
      </c>
      <c r="B43" s="69" t="s">
        <v>366</v>
      </c>
      <c r="C43" s="50" t="s">
        <v>280</v>
      </c>
      <c r="D43" s="21">
        <v>9.6000000000000002E-4</v>
      </c>
      <c r="E43" s="22"/>
      <c r="F43" s="23" t="str">
        <f>D43*100&amp;"% x Gxd"</f>
        <v>0.096% x Gxd</v>
      </c>
      <c r="G43" s="24">
        <f>ROUND(D43*G5,0)</f>
        <v>83290162</v>
      </c>
      <c r="H43" s="24">
        <f t="shared" si="4"/>
        <v>8329016.2000000002</v>
      </c>
      <c r="I43" s="24">
        <f>G43+H43</f>
        <v>91619178.200000003</v>
      </c>
      <c r="J43" s="55" t="s">
        <v>61</v>
      </c>
      <c r="K43" s="53"/>
      <c r="P43" s="72" t="e">
        <f>+O15-P42</f>
        <v>#VALUE!</v>
      </c>
    </row>
    <row r="44" spans="1:21" s="56" customFormat="1" ht="15.5" x14ac:dyDescent="0.25">
      <c r="A44" s="49" t="s">
        <v>63</v>
      </c>
      <c r="B44" s="59" t="s">
        <v>304</v>
      </c>
      <c r="C44" s="50" t="s">
        <v>64</v>
      </c>
      <c r="D44" s="21">
        <v>1.5E-3</v>
      </c>
      <c r="E44" s="22"/>
      <c r="F44" s="23" t="str">
        <f>D44*100&amp;"% x Gxd"</f>
        <v>0.15% x Gxd</v>
      </c>
      <c r="G44" s="24">
        <f>ROUND(D44*G5,0)</f>
        <v>130140877</v>
      </c>
      <c r="H44" s="24">
        <f t="shared" si="4"/>
        <v>13014087.700000001</v>
      </c>
      <c r="I44" s="24">
        <f t="shared" si="5"/>
        <v>143154964.69999999</v>
      </c>
      <c r="J44" s="55" t="s">
        <v>67</v>
      </c>
    </row>
    <row r="45" spans="1:21" s="56" customFormat="1" ht="15.5" x14ac:dyDescent="0.25">
      <c r="A45" s="49" t="s">
        <v>65</v>
      </c>
      <c r="B45" s="59" t="s">
        <v>305</v>
      </c>
      <c r="C45" s="50" t="s">
        <v>66</v>
      </c>
      <c r="D45" s="21">
        <v>1.4599999999999999E-3</v>
      </c>
      <c r="E45" s="22"/>
      <c r="F45" s="23" t="str">
        <f>D45*100&amp;"% x Gxd"</f>
        <v>0.146% x Gxd</v>
      </c>
      <c r="G45" s="24">
        <f>ROUND(D45*G5,0)</f>
        <v>126670454</v>
      </c>
      <c r="H45" s="24">
        <f t="shared" si="4"/>
        <v>12667045.4</v>
      </c>
      <c r="I45" s="24">
        <f t="shared" si="5"/>
        <v>139337499.40000001</v>
      </c>
      <c r="J45" s="55" t="s">
        <v>67</v>
      </c>
    </row>
    <row r="46" spans="1:21" s="26" customFormat="1" ht="33" customHeight="1" x14ac:dyDescent="0.25">
      <c r="A46" s="18" t="s">
        <v>284</v>
      </c>
      <c r="B46" s="19" t="s">
        <v>243</v>
      </c>
      <c r="C46" s="50" t="s">
        <v>286</v>
      </c>
      <c r="D46" s="21">
        <v>1.4300000000000001E-3</v>
      </c>
      <c r="E46" s="22"/>
      <c r="F46" s="23" t="str">
        <f>D46*100&amp;"% x Gxd"</f>
        <v>0.143% x Gxd</v>
      </c>
      <c r="G46" s="24">
        <f>ROUND(D46*G5,0)</f>
        <v>124067636</v>
      </c>
      <c r="H46" s="24">
        <f t="shared" si="4"/>
        <v>12406763.600000001</v>
      </c>
      <c r="I46" s="24">
        <f t="shared" si="5"/>
        <v>136474399.59999999</v>
      </c>
      <c r="J46" s="25" t="s">
        <v>68</v>
      </c>
    </row>
    <row r="47" spans="1:21" s="26" customFormat="1" ht="17.25" customHeight="1" x14ac:dyDescent="0.25">
      <c r="A47" s="18" t="s">
        <v>285</v>
      </c>
      <c r="B47" s="19" t="s">
        <v>69</v>
      </c>
      <c r="C47" s="50" t="s">
        <v>287</v>
      </c>
      <c r="D47" s="21">
        <v>1.983E-2</v>
      </c>
      <c r="E47" s="22"/>
      <c r="F47" s="23" t="str">
        <f>D47*100&amp;"% x Gxd"</f>
        <v>1.983% x Gxd</v>
      </c>
      <c r="G47" s="24">
        <f>ROUND(D47*G5,0)</f>
        <v>1720462400</v>
      </c>
      <c r="H47" s="24">
        <f t="shared" ref="H47:H53" si="6">10%*G47</f>
        <v>172046240</v>
      </c>
      <c r="I47" s="24">
        <f t="shared" si="5"/>
        <v>1892508640</v>
      </c>
      <c r="J47" s="25" t="s">
        <v>70</v>
      </c>
    </row>
    <row r="48" spans="1:21" s="26" customFormat="1" ht="17.25" customHeight="1" x14ac:dyDescent="0.25">
      <c r="A48" s="18" t="s">
        <v>308</v>
      </c>
      <c r="B48" s="54" t="s">
        <v>288</v>
      </c>
      <c r="C48" s="50" t="s">
        <v>313</v>
      </c>
      <c r="D48" s="21">
        <v>7.9399999999999991E-3</v>
      </c>
      <c r="E48" s="22"/>
      <c r="F48" s="60" t="s">
        <v>333</v>
      </c>
      <c r="G48" s="24">
        <f>ROUND(D48*G29,0)</f>
        <v>110171410</v>
      </c>
      <c r="H48" s="24">
        <f t="shared" si="6"/>
        <v>11017141</v>
      </c>
      <c r="I48" s="24">
        <f t="shared" si="5"/>
        <v>121188551</v>
      </c>
      <c r="J48" s="25" t="s">
        <v>70</v>
      </c>
    </row>
    <row r="49" spans="1:11" s="26" customFormat="1" ht="33" customHeight="1" x14ac:dyDescent="0.25">
      <c r="A49" s="18" t="s">
        <v>309</v>
      </c>
      <c r="B49" s="54" t="s">
        <v>289</v>
      </c>
      <c r="C49" s="50" t="s">
        <v>314</v>
      </c>
      <c r="D49" s="21">
        <v>3.5899999999999999E-3</v>
      </c>
      <c r="E49" s="22"/>
      <c r="F49" s="23" t="s">
        <v>367</v>
      </c>
      <c r="G49" s="24">
        <f>ROUND(D49*G29,0)</f>
        <v>49813018</v>
      </c>
      <c r="H49" s="24">
        <f t="shared" si="6"/>
        <v>4981301.8</v>
      </c>
      <c r="I49" s="24">
        <f t="shared" si="5"/>
        <v>54794319.799999997</v>
      </c>
      <c r="J49" s="25" t="s">
        <v>68</v>
      </c>
    </row>
    <row r="50" spans="1:11" s="26" customFormat="1" ht="33" customHeight="1" x14ac:dyDescent="0.25">
      <c r="A50" s="18" t="s">
        <v>310</v>
      </c>
      <c r="B50" s="54" t="s">
        <v>306</v>
      </c>
      <c r="C50" s="50" t="s">
        <v>315</v>
      </c>
      <c r="D50" s="21">
        <v>6.2199999999999998E-3</v>
      </c>
      <c r="E50" s="22"/>
      <c r="F50" s="23" t="s">
        <v>447</v>
      </c>
      <c r="G50" s="24">
        <f>ROUND(D50*G42,0)</f>
        <v>16281126</v>
      </c>
      <c r="H50" s="24">
        <f t="shared" si="6"/>
        <v>1628112.6</v>
      </c>
      <c r="I50" s="24">
        <f t="shared" si="5"/>
        <v>17909238.600000001</v>
      </c>
      <c r="J50" s="25" t="s">
        <v>68</v>
      </c>
    </row>
    <row r="51" spans="1:11" s="26" customFormat="1" ht="33" customHeight="1" x14ac:dyDescent="0.25">
      <c r="A51" s="18" t="s">
        <v>311</v>
      </c>
      <c r="B51" s="54" t="s">
        <v>307</v>
      </c>
      <c r="C51" s="50" t="s">
        <v>316</v>
      </c>
      <c r="D51" s="21">
        <v>7.28E-3</v>
      </c>
      <c r="E51" s="22"/>
      <c r="F51" s="23" t="s">
        <v>448</v>
      </c>
      <c r="G51" s="24">
        <f>ROUND(D51*G47,0)</f>
        <v>12524966</v>
      </c>
      <c r="H51" s="24">
        <f t="shared" si="6"/>
        <v>1252496.6000000001</v>
      </c>
      <c r="I51" s="24">
        <f t="shared" si="5"/>
        <v>13777462.6</v>
      </c>
      <c r="J51" s="25" t="s">
        <v>68</v>
      </c>
    </row>
    <row r="52" spans="1:11" s="26" customFormat="1" ht="17.25" customHeight="1" x14ac:dyDescent="0.25">
      <c r="A52" s="18" t="s">
        <v>312</v>
      </c>
      <c r="B52" s="19" t="s">
        <v>283</v>
      </c>
      <c r="C52" s="50" t="s">
        <v>317</v>
      </c>
      <c r="D52" s="21"/>
      <c r="E52" s="22"/>
      <c r="F52" s="23" t="s">
        <v>179</v>
      </c>
      <c r="G52" s="24">
        <f>100000000/1.1</f>
        <v>90909090.909090906</v>
      </c>
      <c r="H52" s="24">
        <f t="shared" si="6"/>
        <v>9090909.0909090918</v>
      </c>
      <c r="I52" s="24">
        <f>+H52+G52</f>
        <v>100000000</v>
      </c>
      <c r="J52" s="25" t="s">
        <v>71</v>
      </c>
    </row>
    <row r="53" spans="1:11" s="26" customFormat="1" ht="30.75" customHeight="1" x14ac:dyDescent="0.25">
      <c r="A53" s="49" t="s">
        <v>371</v>
      </c>
      <c r="B53" s="59" t="s">
        <v>258</v>
      </c>
      <c r="C53" s="50" t="s">
        <v>372</v>
      </c>
      <c r="D53" s="21"/>
      <c r="E53" s="22"/>
      <c r="F53" s="23" t="s">
        <v>365</v>
      </c>
      <c r="G53" s="24">
        <f>+'[11]THKP hạng mục'!$H$21</f>
        <v>214083573</v>
      </c>
      <c r="H53" s="24">
        <f t="shared" si="6"/>
        <v>21408357.300000001</v>
      </c>
      <c r="I53" s="24">
        <f>+H53+G53</f>
        <v>235491930.30000001</v>
      </c>
      <c r="J53" s="25" t="s">
        <v>71</v>
      </c>
    </row>
    <row r="54" spans="1:11" s="26" customFormat="1" ht="17.25" customHeight="1" x14ac:dyDescent="0.25">
      <c r="A54" s="29" t="s">
        <v>72</v>
      </c>
      <c r="B54" s="30" t="s">
        <v>73</v>
      </c>
      <c r="C54" s="31" t="s">
        <v>74</v>
      </c>
      <c r="D54" s="32"/>
      <c r="E54" s="33"/>
      <c r="F54" s="63" t="s">
        <v>332</v>
      </c>
      <c r="G54" s="35">
        <f>SUM(G55:G74)</f>
        <v>5009164900.2297516</v>
      </c>
      <c r="H54" s="35">
        <f>SUM(H55:H74)</f>
        <v>423718254.22897518</v>
      </c>
      <c r="I54" s="35">
        <f>SUM(I55:I74)</f>
        <v>5432883154.4587269</v>
      </c>
      <c r="J54" s="25" t="s">
        <v>74</v>
      </c>
      <c r="K54" s="15"/>
    </row>
    <row r="55" spans="1:11" s="26" customFormat="1" ht="31.5" customHeight="1" x14ac:dyDescent="0.25">
      <c r="A55" s="18" t="s">
        <v>75</v>
      </c>
      <c r="B55" s="19" t="s">
        <v>319</v>
      </c>
      <c r="C55" s="20" t="s">
        <v>281</v>
      </c>
      <c r="D55" s="37"/>
      <c r="E55" s="22"/>
      <c r="F55" s="23" t="s">
        <v>318</v>
      </c>
      <c r="G55" s="24">
        <f>G5*3.5%</f>
        <v>3036620473.2150002</v>
      </c>
      <c r="H55" s="24">
        <f>+G55*10%</f>
        <v>303662047.3215</v>
      </c>
      <c r="I55" s="24">
        <f>+H55+G55</f>
        <v>3340282520.5365</v>
      </c>
      <c r="J55" s="25" t="s">
        <v>78</v>
      </c>
    </row>
    <row r="56" spans="1:11" s="26" customFormat="1" ht="31.5" customHeight="1" x14ac:dyDescent="0.25">
      <c r="A56" s="18" t="s">
        <v>76</v>
      </c>
      <c r="B56" s="19" t="s">
        <v>368</v>
      </c>
      <c r="C56" s="20" t="s">
        <v>77</v>
      </c>
      <c r="D56" s="37">
        <v>2.7E-4</v>
      </c>
      <c r="E56" s="22"/>
      <c r="F56" s="23" t="str">
        <f>D56*100&amp;"% x Gxd"</f>
        <v>0.027% x Gxd</v>
      </c>
      <c r="G56" s="24">
        <f>ROUND(D56*G5,0)</f>
        <v>23425358</v>
      </c>
      <c r="H56" s="24">
        <v>0</v>
      </c>
      <c r="I56" s="24">
        <f>G56+H56</f>
        <v>23425358</v>
      </c>
      <c r="J56" s="25" t="s">
        <v>78</v>
      </c>
    </row>
    <row r="57" spans="1:11" s="26" customFormat="1" ht="31.5" customHeight="1" x14ac:dyDescent="0.25">
      <c r="A57" s="18" t="s">
        <v>248</v>
      </c>
      <c r="B57" s="19" t="s">
        <v>369</v>
      </c>
      <c r="C57" s="20" t="s">
        <v>79</v>
      </c>
      <c r="D57" s="21">
        <v>2.5999999999999998E-4</v>
      </c>
      <c r="E57" s="22"/>
      <c r="F57" s="23" t="str">
        <f>D57*100&amp;"% x Gxd"</f>
        <v>0.026% x Gxd</v>
      </c>
      <c r="G57" s="24">
        <f>ROUND(D57*G5,0)</f>
        <v>22557752</v>
      </c>
      <c r="H57" s="24">
        <v>0</v>
      </c>
      <c r="I57" s="24">
        <f>G57+H57</f>
        <v>22557752</v>
      </c>
      <c r="J57" s="25" t="s">
        <v>80</v>
      </c>
    </row>
    <row r="58" spans="1:11" s="26" customFormat="1" ht="15.5" x14ac:dyDescent="0.25">
      <c r="A58" s="49" t="s">
        <v>81</v>
      </c>
      <c r="B58" s="69" t="s">
        <v>276</v>
      </c>
      <c r="C58" s="20" t="s">
        <v>82</v>
      </c>
      <c r="D58" s="21">
        <v>1.1E-4</v>
      </c>
      <c r="E58" s="22"/>
      <c r="F58" s="23" t="s">
        <v>320</v>
      </c>
      <c r="G58" s="24">
        <f>D58*K79</f>
        <v>15657431.460000001</v>
      </c>
      <c r="H58" s="24">
        <v>0</v>
      </c>
      <c r="I58" s="24">
        <f>G58+H58</f>
        <v>15657431.460000001</v>
      </c>
      <c r="J58" s="25" t="s">
        <v>85</v>
      </c>
    </row>
    <row r="59" spans="1:11" s="26" customFormat="1" ht="31" x14ac:dyDescent="0.25">
      <c r="A59" s="18" t="s">
        <v>83</v>
      </c>
      <c r="B59" s="54" t="s">
        <v>282</v>
      </c>
      <c r="C59" s="50" t="s">
        <v>84</v>
      </c>
      <c r="D59" s="21">
        <v>5.4799999999999996E-3</v>
      </c>
      <c r="E59" s="22"/>
      <c r="F59" s="23" t="s">
        <v>449</v>
      </c>
      <c r="G59" s="24">
        <f>K79*D59</f>
        <v>780024767.27999997</v>
      </c>
      <c r="H59" s="24">
        <f>10%*G59</f>
        <v>78002476.728</v>
      </c>
      <c r="I59" s="24">
        <f>G59+H59</f>
        <v>858027244.00800002</v>
      </c>
      <c r="J59" s="25" t="s">
        <v>85</v>
      </c>
    </row>
    <row r="60" spans="1:11" s="56" customFormat="1" ht="62" x14ac:dyDescent="0.25">
      <c r="A60" s="49" t="s">
        <v>250</v>
      </c>
      <c r="B60" s="69" t="s">
        <v>370</v>
      </c>
      <c r="C60" s="50" t="s">
        <v>252</v>
      </c>
      <c r="D60" s="51">
        <v>3.5999999999999999E-3</v>
      </c>
      <c r="E60" s="52">
        <v>0.5</v>
      </c>
      <c r="F60" s="75" t="s">
        <v>450</v>
      </c>
      <c r="G60" s="53">
        <f>K79*D60*E60</f>
        <v>256212514.79999998</v>
      </c>
      <c r="H60" s="53">
        <v>0</v>
      </c>
      <c r="I60" s="53">
        <f>+H60+G60</f>
        <v>256212514.79999998</v>
      </c>
      <c r="J60" s="55" t="s">
        <v>86</v>
      </c>
    </row>
    <row r="61" spans="1:11" s="26" customFormat="1" ht="33" customHeight="1" x14ac:dyDescent="0.25">
      <c r="A61" s="18" t="s">
        <v>251</v>
      </c>
      <c r="B61" s="19" t="s">
        <v>321</v>
      </c>
      <c r="C61" s="20" t="s">
        <v>253</v>
      </c>
      <c r="D61" s="21">
        <v>3.8000000000000002E-4</v>
      </c>
      <c r="E61" s="22"/>
      <c r="F61" s="23" t="s">
        <v>322</v>
      </c>
      <c r="G61" s="24">
        <f>K79*D61</f>
        <v>54089308.68</v>
      </c>
      <c r="H61" s="24">
        <v>0</v>
      </c>
      <c r="I61" s="24">
        <f>G61+H61</f>
        <v>54089308.68</v>
      </c>
      <c r="J61" s="25"/>
    </row>
    <row r="62" spans="1:11" s="26" customFormat="1" ht="31" x14ac:dyDescent="0.25">
      <c r="A62" s="18" t="s">
        <v>254</v>
      </c>
      <c r="B62" s="19" t="s">
        <v>323</v>
      </c>
      <c r="C62" s="20" t="s">
        <v>255</v>
      </c>
      <c r="D62" s="21">
        <v>1.1999999999999999E-3</v>
      </c>
      <c r="E62" s="22"/>
      <c r="F62" s="23" t="s">
        <v>388</v>
      </c>
      <c r="G62" s="24">
        <f>G5*D62</f>
        <v>104112701.93879999</v>
      </c>
      <c r="H62" s="24">
        <f>10%*G62</f>
        <v>10411270.193879999</v>
      </c>
      <c r="I62" s="24">
        <f>G62+H62</f>
        <v>114523972.13268</v>
      </c>
      <c r="J62" s="25" t="s">
        <v>87</v>
      </c>
    </row>
    <row r="63" spans="1:11" s="26" customFormat="1" ht="15.5" x14ac:dyDescent="0.25">
      <c r="A63" s="61" t="s">
        <v>256</v>
      </c>
      <c r="B63" s="19" t="s">
        <v>264</v>
      </c>
      <c r="C63" s="62" t="s">
        <v>257</v>
      </c>
      <c r="D63" s="21"/>
      <c r="E63" s="22"/>
      <c r="F63" s="23" t="s">
        <v>179</v>
      </c>
      <c r="G63" s="53">
        <f>100000000/1.1</f>
        <v>90909090.909090906</v>
      </c>
      <c r="H63" s="53">
        <f>+G63*10%</f>
        <v>9090909.0909090918</v>
      </c>
      <c r="I63" s="53">
        <f>+G63+H63</f>
        <v>100000000</v>
      </c>
      <c r="J63" s="25"/>
    </row>
    <row r="64" spans="1:11" s="26" customFormat="1" ht="31" x14ac:dyDescent="0.25">
      <c r="A64" s="18" t="s">
        <v>263</v>
      </c>
      <c r="B64" s="19" t="s">
        <v>324</v>
      </c>
      <c r="C64" s="20" t="s">
        <v>267</v>
      </c>
      <c r="D64" s="21">
        <v>0.01</v>
      </c>
      <c r="E64" s="22"/>
      <c r="F64" s="23" t="s">
        <v>325</v>
      </c>
      <c r="G64" s="24">
        <f>D64*G29</f>
        <v>138754924.94686139</v>
      </c>
      <c r="H64" s="24">
        <f>10%*G64</f>
        <v>13875492.49468614</v>
      </c>
      <c r="I64" s="24">
        <f t="shared" ref="I64:I74" si="7">G64+H64</f>
        <v>152630417.44154751</v>
      </c>
      <c r="J64" s="25" t="s">
        <v>87</v>
      </c>
    </row>
    <row r="65" spans="1:11" s="26" customFormat="1" ht="31" x14ac:dyDescent="0.25">
      <c r="A65" s="61" t="s">
        <v>266</v>
      </c>
      <c r="B65" s="19" t="s">
        <v>328</v>
      </c>
      <c r="C65" s="64" t="s">
        <v>268</v>
      </c>
      <c r="D65" s="21"/>
      <c r="E65" s="22"/>
      <c r="F65" s="23" t="s">
        <v>329</v>
      </c>
      <c r="G65" s="24">
        <f>G36*20%</f>
        <v>386039993</v>
      </c>
      <c r="H65" s="24"/>
      <c r="I65" s="24">
        <f t="shared" si="7"/>
        <v>386039993</v>
      </c>
      <c r="J65" s="25"/>
    </row>
    <row r="66" spans="1:11" s="26" customFormat="1" ht="33" customHeight="1" x14ac:dyDescent="0.25">
      <c r="A66" s="61" t="s">
        <v>326</v>
      </c>
      <c r="B66" s="19" t="s">
        <v>259</v>
      </c>
      <c r="C66" s="62" t="s">
        <v>327</v>
      </c>
      <c r="D66" s="21">
        <v>5.0000000000000001E-4</v>
      </c>
      <c r="E66" s="22"/>
      <c r="F66" s="60" t="s">
        <v>290</v>
      </c>
      <c r="G66" s="24">
        <f>ROUND(D66*G5,0)</f>
        <v>43380292</v>
      </c>
      <c r="H66" s="24">
        <f>10%*G66</f>
        <v>4338029.2</v>
      </c>
      <c r="I66" s="24">
        <f t="shared" si="7"/>
        <v>47718321.200000003</v>
      </c>
      <c r="J66" s="25" t="s">
        <v>68</v>
      </c>
    </row>
    <row r="67" spans="1:11" s="26" customFormat="1" ht="33" customHeight="1" x14ac:dyDescent="0.25">
      <c r="A67" s="61" t="s">
        <v>330</v>
      </c>
      <c r="B67" s="54" t="s">
        <v>277</v>
      </c>
      <c r="C67" s="62" t="s">
        <v>331</v>
      </c>
      <c r="D67" s="21">
        <v>5.0000000000000001E-4</v>
      </c>
      <c r="E67" s="22"/>
      <c r="F67" s="60" t="s">
        <v>290</v>
      </c>
      <c r="G67" s="24">
        <f>ROUND(D67*G5,0)</f>
        <v>43380292</v>
      </c>
      <c r="H67" s="24">
        <f>10%*G67</f>
        <v>4338029.2</v>
      </c>
      <c r="I67" s="24">
        <f t="shared" si="7"/>
        <v>47718321.200000003</v>
      </c>
      <c r="J67" s="25" t="s">
        <v>68</v>
      </c>
    </row>
    <row r="68" spans="1:11" s="26" customFormat="1" ht="33" customHeight="1" x14ac:dyDescent="0.25">
      <c r="A68" s="61" t="s">
        <v>440</v>
      </c>
      <c r="B68" s="19" t="s">
        <v>425</v>
      </c>
      <c r="C68" s="20" t="s">
        <v>426</v>
      </c>
      <c r="D68" s="21"/>
      <c r="E68" s="22"/>
      <c r="F68" s="23" t="s">
        <v>427</v>
      </c>
      <c r="G68" s="24">
        <v>2000000</v>
      </c>
      <c r="H68" s="24"/>
      <c r="I68" s="24">
        <f t="shared" si="7"/>
        <v>2000000</v>
      </c>
      <c r="J68" s="25" t="s">
        <v>68</v>
      </c>
    </row>
    <row r="69" spans="1:11" s="26" customFormat="1" ht="33" customHeight="1" x14ac:dyDescent="0.25">
      <c r="A69" s="61" t="s">
        <v>441</v>
      </c>
      <c r="B69" s="19" t="s">
        <v>428</v>
      </c>
      <c r="C69" s="20" t="s">
        <v>429</v>
      </c>
      <c r="D69" s="21"/>
      <c r="E69" s="22"/>
      <c r="F69" s="23" t="s">
        <v>427</v>
      </c>
      <c r="G69" s="24">
        <v>2000000</v>
      </c>
      <c r="H69" s="24"/>
      <c r="I69" s="24">
        <f t="shared" si="7"/>
        <v>2000000</v>
      </c>
      <c r="J69" s="25" t="s">
        <v>68</v>
      </c>
    </row>
    <row r="70" spans="1:11" s="26" customFormat="1" ht="33" customHeight="1" x14ac:dyDescent="0.25">
      <c r="A70" s="61" t="s">
        <v>442</v>
      </c>
      <c r="B70" s="19" t="s">
        <v>430</v>
      </c>
      <c r="C70" s="20" t="s">
        <v>435</v>
      </c>
      <c r="D70" s="21"/>
      <c r="E70" s="22"/>
      <c r="F70" s="23" t="s">
        <v>427</v>
      </c>
      <c r="G70" s="24">
        <v>2000000</v>
      </c>
      <c r="H70" s="24"/>
      <c r="I70" s="24">
        <f t="shared" si="7"/>
        <v>2000000</v>
      </c>
      <c r="J70" s="25" t="s">
        <v>68</v>
      </c>
    </row>
    <row r="71" spans="1:11" s="26" customFormat="1" ht="33" customHeight="1" x14ac:dyDescent="0.25">
      <c r="A71" s="61" t="s">
        <v>443</v>
      </c>
      <c r="B71" s="19" t="s">
        <v>431</v>
      </c>
      <c r="C71" s="20" t="s">
        <v>436</v>
      </c>
      <c r="D71" s="21"/>
      <c r="E71" s="22"/>
      <c r="F71" s="23" t="s">
        <v>427</v>
      </c>
      <c r="G71" s="24">
        <v>2000000</v>
      </c>
      <c r="H71" s="24"/>
      <c r="I71" s="24">
        <f t="shared" si="7"/>
        <v>2000000</v>
      </c>
      <c r="J71" s="25" t="s">
        <v>68</v>
      </c>
    </row>
    <row r="72" spans="1:11" s="26" customFormat="1" ht="33" customHeight="1" x14ac:dyDescent="0.25">
      <c r="A72" s="61" t="s">
        <v>444</v>
      </c>
      <c r="B72" s="19" t="s">
        <v>432</v>
      </c>
      <c r="C72" s="20" t="s">
        <v>437</v>
      </c>
      <c r="D72" s="21"/>
      <c r="E72" s="22"/>
      <c r="F72" s="23" t="s">
        <v>427</v>
      </c>
      <c r="G72" s="24">
        <v>2000000</v>
      </c>
      <c r="H72" s="24"/>
      <c r="I72" s="24">
        <f t="shared" si="7"/>
        <v>2000000</v>
      </c>
      <c r="J72" s="25" t="s">
        <v>68</v>
      </c>
    </row>
    <row r="73" spans="1:11" s="26" customFormat="1" ht="33" customHeight="1" x14ac:dyDescent="0.25">
      <c r="A73" s="61" t="s">
        <v>445</v>
      </c>
      <c r="B73" s="19" t="s">
        <v>433</v>
      </c>
      <c r="C73" s="20" t="s">
        <v>438</v>
      </c>
      <c r="D73" s="21"/>
      <c r="E73" s="22"/>
      <c r="F73" s="23" t="s">
        <v>427</v>
      </c>
      <c r="G73" s="24">
        <v>2000000</v>
      </c>
      <c r="H73" s="24"/>
      <c r="I73" s="24">
        <f t="shared" si="7"/>
        <v>2000000</v>
      </c>
      <c r="J73" s="25" t="s">
        <v>68</v>
      </c>
    </row>
    <row r="74" spans="1:11" s="26" customFormat="1" ht="33" customHeight="1" x14ac:dyDescent="0.25">
      <c r="A74" s="61" t="s">
        <v>446</v>
      </c>
      <c r="B74" s="19" t="s">
        <v>434</v>
      </c>
      <c r="C74" s="20" t="s">
        <v>439</v>
      </c>
      <c r="D74" s="21"/>
      <c r="E74" s="22"/>
      <c r="F74" s="23" t="s">
        <v>427</v>
      </c>
      <c r="G74" s="24">
        <v>2000000</v>
      </c>
      <c r="H74" s="24"/>
      <c r="I74" s="24">
        <f t="shared" si="7"/>
        <v>2000000</v>
      </c>
      <c r="J74" s="25" t="s">
        <v>68</v>
      </c>
    </row>
    <row r="75" spans="1:11" s="26" customFormat="1" ht="17.25" customHeight="1" x14ac:dyDescent="0.25">
      <c r="A75" s="29" t="s">
        <v>88</v>
      </c>
      <c r="B75" s="30" t="s">
        <v>89</v>
      </c>
      <c r="C75" s="31" t="s">
        <v>90</v>
      </c>
      <c r="D75" s="32"/>
      <c r="E75" s="33"/>
      <c r="F75" s="34" t="s">
        <v>269</v>
      </c>
      <c r="G75" s="35">
        <f>SUM(G76:G77)</f>
        <v>0</v>
      </c>
      <c r="H75" s="35">
        <f>SUM(H76:H77)</f>
        <v>0</v>
      </c>
      <c r="I75" s="35">
        <f>SUM(I76:I77)</f>
        <v>15527048610</v>
      </c>
      <c r="J75" s="25" t="s">
        <v>90</v>
      </c>
    </row>
    <row r="76" spans="1:11" s="57" customFormat="1" ht="46.5" customHeight="1" x14ac:dyDescent="0.25">
      <c r="A76" s="61" t="s">
        <v>270</v>
      </c>
      <c r="B76" s="54" t="s">
        <v>271</v>
      </c>
      <c r="C76" s="62" t="s">
        <v>272</v>
      </c>
      <c r="D76" s="65">
        <v>0.1</v>
      </c>
      <c r="E76" s="66"/>
      <c r="F76" s="60" t="str">
        <f>D76*100&amp;"% x (Gcpxd+Gtb+Gqlda+Gtv+Gk)"</f>
        <v>10% x (Gcpxd+Gtb+Gqlda+Gtv+Gk)</v>
      </c>
      <c r="G76" s="67"/>
      <c r="H76" s="67"/>
      <c r="I76" s="67">
        <f>ROUND(D76*(I4+I29+I36+I37+I54),0)</f>
        <v>12536979096</v>
      </c>
      <c r="J76" s="68" t="s">
        <v>272</v>
      </c>
    </row>
    <row r="77" spans="1:11" s="26" customFormat="1" ht="33" customHeight="1" x14ac:dyDescent="0.25">
      <c r="A77" s="18" t="s">
        <v>273</v>
      </c>
      <c r="B77" s="19" t="s">
        <v>274</v>
      </c>
      <c r="C77" s="20" t="s">
        <v>275</v>
      </c>
      <c r="D77" s="65">
        <v>2.385E-2</v>
      </c>
      <c r="E77" s="66"/>
      <c r="F77" s="60" t="str">
        <f>D77*100&amp;"% x (Gcpxd+Gtb+Gqlda+Gtv+Gk)"</f>
        <v>2.385% x (Gcpxd+Gtb+Gqlda+Gtv+Gk)</v>
      </c>
      <c r="G77" s="67"/>
      <c r="H77" s="67"/>
      <c r="I77" s="67">
        <f>ROUND(D77*(I4+I29+I36+I37+I54),0)</f>
        <v>2990069514</v>
      </c>
      <c r="J77" s="25" t="s">
        <v>275</v>
      </c>
      <c r="K77" s="47"/>
    </row>
    <row r="78" spans="1:11" s="26" customFormat="1" ht="17.25" customHeight="1" x14ac:dyDescent="0.25">
      <c r="A78" s="38"/>
      <c r="B78" s="34" t="s">
        <v>32</v>
      </c>
      <c r="C78" s="31"/>
      <c r="D78" s="32"/>
      <c r="E78" s="33"/>
      <c r="F78" s="34"/>
      <c r="G78" s="35">
        <f>G4+G29+G36+G37+G54+G75</f>
        <v>114218190178.55226</v>
      </c>
      <c r="H78" s="35">
        <f>H4+H29+H36+H37+H54+H75</f>
        <v>11151600785.561226</v>
      </c>
      <c r="I78" s="35">
        <f>I4+I29+I36+I37+I54+I75+2271000</f>
        <v>140899110574.11346</v>
      </c>
      <c r="J78" s="25" t="s">
        <v>91</v>
      </c>
    </row>
    <row r="79" spans="1:11" s="26" customFormat="1" ht="17.25" customHeight="1" x14ac:dyDescent="0.25">
      <c r="A79" s="38"/>
      <c r="B79" s="34" t="s">
        <v>92</v>
      </c>
      <c r="C79" s="39" t="s">
        <v>91</v>
      </c>
      <c r="D79" s="40"/>
      <c r="E79" s="41"/>
      <c r="F79" s="30"/>
      <c r="G79" s="42"/>
      <c r="H79" s="42"/>
      <c r="I79" s="35">
        <f>ROUND(I78,-3)</f>
        <v>140899111000</v>
      </c>
      <c r="K79" s="47">
        <v>142340286000</v>
      </c>
    </row>
    <row r="80" spans="1:11" s="43" customFormat="1" ht="21" customHeight="1" x14ac:dyDescent="0.25">
      <c r="A80" s="192"/>
      <c r="B80" s="193"/>
      <c r="C80" s="193"/>
      <c r="D80" s="193"/>
      <c r="E80" s="193"/>
      <c r="F80" s="193"/>
      <c r="G80" s="193"/>
      <c r="H80" s="193"/>
      <c r="I80" s="194"/>
      <c r="K80" s="48"/>
    </row>
    <row r="81" spans="2:11" ht="15" customHeight="1" x14ac:dyDescent="0.25">
      <c r="K81" s="47">
        <v>142989938000</v>
      </c>
    </row>
    <row r="83" spans="2:11" ht="15" customHeight="1" x14ac:dyDescent="0.25">
      <c r="K83" s="85">
        <f>K81-I79</f>
        <v>2090827000</v>
      </c>
    </row>
    <row r="87" spans="2:11" s="83" customFormat="1" ht="20.149999999999999" customHeight="1" x14ac:dyDescent="0.25">
      <c r="B87" s="83" t="s">
        <v>376</v>
      </c>
      <c r="C87" s="195">
        <f>SUM(C90:D95)</f>
        <v>1688744270.6600001</v>
      </c>
      <c r="D87" s="195"/>
    </row>
    <row r="88" spans="2:11" s="83" customFormat="1" ht="20.149999999999999" customHeight="1" x14ac:dyDescent="0.25"/>
    <row r="89" spans="2:11" s="83" customFormat="1" ht="20.149999999999999" customHeight="1" x14ac:dyDescent="0.25">
      <c r="B89" s="76" t="s">
        <v>377</v>
      </c>
      <c r="C89" s="76"/>
      <c r="D89" s="77"/>
      <c r="E89" s="78"/>
    </row>
    <row r="90" spans="2:11" s="83" customFormat="1" ht="20.149999999999999" customHeight="1" x14ac:dyDescent="0.25">
      <c r="B90" s="79" t="s">
        <v>378</v>
      </c>
      <c r="C90" s="196">
        <f>I38</f>
        <v>68219661</v>
      </c>
      <c r="D90" s="196"/>
      <c r="E90" s="80" t="s">
        <v>379</v>
      </c>
    </row>
    <row r="91" spans="2:11" s="83" customFormat="1" ht="20.149999999999999" customHeight="1" x14ac:dyDescent="0.25">
      <c r="B91" s="81" t="s">
        <v>384</v>
      </c>
      <c r="C91" s="189">
        <f>I39+I40</f>
        <v>830780000</v>
      </c>
      <c r="D91" s="189"/>
      <c r="E91" s="82" t="s">
        <v>379</v>
      </c>
    </row>
    <row r="92" spans="2:11" s="83" customFormat="1" ht="20.149999999999999" customHeight="1" x14ac:dyDescent="0.25">
      <c r="B92" s="79" t="s">
        <v>380</v>
      </c>
      <c r="C92" s="189">
        <f>I41</f>
        <v>582468000</v>
      </c>
      <c r="D92" s="189"/>
      <c r="E92" s="82" t="s">
        <v>379</v>
      </c>
    </row>
    <row r="93" spans="2:11" s="83" customFormat="1" ht="20.149999999999999" customHeight="1" x14ac:dyDescent="0.25">
      <c r="B93" s="79" t="s">
        <v>381</v>
      </c>
      <c r="C93" s="189">
        <f>I43</f>
        <v>91619178.200000003</v>
      </c>
      <c r="D93" s="189"/>
      <c r="E93" s="82" t="s">
        <v>379</v>
      </c>
    </row>
    <row r="94" spans="2:11" s="83" customFormat="1" ht="20.149999999999999" customHeight="1" x14ac:dyDescent="0.25">
      <c r="B94" s="79" t="s">
        <v>382</v>
      </c>
      <c r="C94" s="189">
        <f>I58</f>
        <v>15657431.460000001</v>
      </c>
      <c r="D94" s="189"/>
      <c r="E94" s="82" t="s">
        <v>379</v>
      </c>
    </row>
    <row r="95" spans="2:11" s="83" customFormat="1" ht="20.149999999999999" customHeight="1" x14ac:dyDescent="0.25">
      <c r="B95" s="79" t="s">
        <v>383</v>
      </c>
      <c r="C95" s="189">
        <f>I52</f>
        <v>100000000</v>
      </c>
      <c r="D95" s="189"/>
      <c r="E95" s="82" t="s">
        <v>379</v>
      </c>
    </row>
    <row r="96" spans="2:11" s="83" customFormat="1" ht="20.149999999999999" customHeight="1" x14ac:dyDescent="0.25"/>
  </sheetData>
  <mergeCells count="10">
    <mergeCell ref="C92:D92"/>
    <mergeCell ref="C93:D93"/>
    <mergeCell ref="C94:D94"/>
    <mergeCell ref="C95:D95"/>
    <mergeCell ref="A1:I1"/>
    <mergeCell ref="A2:I2"/>
    <mergeCell ref="A80:I80"/>
    <mergeCell ref="C87:D87"/>
    <mergeCell ref="C90:D90"/>
    <mergeCell ref="C91:D91"/>
  </mergeCells>
  <phoneticPr fontId="0" type="noConversion"/>
  <pageMargins left="0.56000000000000005" right="0" top="0.31" bottom="0.35" header="0.2" footer="0.17"/>
  <pageSetup paperSize="9" scale="90" orientation="landscape" blackAndWhite="1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SGV</vt:lpstr>
      <vt:lpstr>foxz</vt:lpstr>
      <vt:lpstr>TH TĐịnh</vt:lpstr>
      <vt:lpstr>TH kinh phí</vt:lpstr>
      <vt:lpstr>PTH</vt:lpstr>
      <vt:lpstr>Công trình TL</vt:lpstr>
      <vt:lpstr>Hệ số</vt:lpstr>
      <vt:lpstr>Đơn giá TH</vt:lpstr>
      <vt:lpstr>Quyết toán</vt:lpstr>
      <vt:lpstr>Giá tháng QT</vt:lpstr>
      <vt:lpstr>HaoPhiVatTu QT</vt:lpstr>
      <vt:lpstr>Tổng hợp VT QT</vt:lpstr>
      <vt:lpstr>Cước VC QT</vt:lpstr>
      <vt:lpstr>Cước bộ QT</vt:lpstr>
      <vt:lpstr>NhiênLiệu QT</vt:lpstr>
      <vt:lpstr>Chiết tính QT</vt:lpstr>
      <vt:lpstr>Dự thầu QT</vt:lpstr>
      <vt:lpstr>Hệ số QT</vt:lpstr>
      <vt:lpstr>HSXLQT</vt:lpstr>
      <vt:lpstr>KL hoàn thành</vt:lpstr>
      <vt:lpstr>KL phát sinh</vt:lpstr>
      <vt:lpstr>Tổng hợp QT</vt:lpstr>
      <vt:lpstr>Cấu hình</vt:lpstr>
      <vt:lpstr>'Chiết tính QT'!Print_Area</vt:lpstr>
      <vt:lpstr>'Công trình TL'!Print_Area</vt:lpstr>
      <vt:lpstr>'Cước bộ QT'!Print_Area</vt:lpstr>
      <vt:lpstr>'Cước VC QT'!Print_Area</vt:lpstr>
      <vt:lpstr>'Đơn giá TH'!Print_Area</vt:lpstr>
      <vt:lpstr>'Dự thầu QT'!Print_Area</vt:lpstr>
      <vt:lpstr>'Giá tháng QT'!Print_Area</vt:lpstr>
      <vt:lpstr>'HaoPhiVatTu QT'!Print_Area</vt:lpstr>
      <vt:lpstr>'Hệ số'!Print_Area</vt:lpstr>
      <vt:lpstr>'Hệ số QT'!Print_Area</vt:lpstr>
      <vt:lpstr>HSXLQT!Print_Area</vt:lpstr>
      <vt:lpstr>'KL hoàn thành'!Print_Area</vt:lpstr>
      <vt:lpstr>'KL phát sinh'!Print_Area</vt:lpstr>
      <vt:lpstr>'NhiênLiệu QT'!Print_Area</vt:lpstr>
      <vt:lpstr>'Quyết toán'!Print_Area</vt:lpstr>
      <vt:lpstr>'TH kinh phí'!Print_Area</vt:lpstr>
      <vt:lpstr>'TH TĐịnh'!Print_Area</vt:lpstr>
      <vt:lpstr>'Tổng hợp QT'!Print_Area</vt:lpstr>
      <vt:lpstr>'Tổng hợp VT QT'!Print_Area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 TINH KHANH LOC</cp:lastModifiedBy>
  <cp:lastPrinted>2025-11-04T07:33:28Z</cp:lastPrinted>
  <dcterms:created xsi:type="dcterms:W3CDTF">2018-07-11T15:52:34Z</dcterms:created>
  <dcterms:modified xsi:type="dcterms:W3CDTF">2025-11-05T06:53:11Z</dcterms:modified>
</cp:coreProperties>
</file>